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23.xml" ContentType="application/vnd.openxmlformats-officedocument.spreadsheetml.comments+xml"/>
  <Override PartName="/xl/workbook.xml" ContentType="application/vnd.openxmlformats-officedocument.spreadsheetml.sheet.main+xml"/>
  <Override PartName="/xl/worksheets/_rels/sheet23.xml.rels" ContentType="application/vnd.openxmlformats-package.relationships+xml"/>
  <Override PartName="/xl/worksheets/_rels/sheet5.xml.rels" ContentType="application/vnd.openxmlformats-package.relationships+xml"/>
  <Override PartName="/xl/worksheets/_rels/sheet18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comments18.xml" ContentType="application/vnd.openxmlformats-officedocument.spreadsheetml.comment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6.xml" ContentType="application/vnd.openxmlformats-officedocument.drawing+xml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_rels/drawing6.xml.rels" ContentType="application/vnd.openxmlformats-package.relationships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C" sheetId="1" state="visible" r:id="rId3"/>
    <sheet name="Assm" sheetId="2" state="visible" r:id="rId4"/>
    <sheet name="CF" sheetId="3" state="visible" r:id="rId5"/>
    <sheet name="RAROC" sheetId="4" state="visible" r:id="rId6"/>
    <sheet name="CommonSize" sheetId="5" state="visible" r:id="rId7"/>
    <sheet name="BS_IS" sheetId="6" state="visible" r:id="rId8"/>
    <sheet name="Returns" sheetId="7" state="visible" r:id="rId9"/>
    <sheet name="CS_INC" sheetId="8" state="visible" r:id="rId10"/>
    <sheet name="EINC" sheetId="9" state="visible" r:id="rId11"/>
    <sheet name="PLRisk" sheetId="10" state="visible" r:id="rId12"/>
    <sheet name="Trapped" sheetId="11" state="visible" r:id="rId13"/>
    <sheet name="Turnkey" sheetId="12" state="visible" r:id="rId14"/>
    <sheet name="Drawdown" sheetId="13" state="visible" r:id="rId15"/>
    <sheet name="IDC" sheetId="14" state="visible" r:id="rId16"/>
    <sheet name="Debt Amort" sheetId="15" state="visible" r:id="rId17"/>
    <sheet name="Taxes" sheetId="16" state="visible" r:id="rId18"/>
    <sheet name="Depr" sheetId="17" state="visible" r:id="rId19"/>
    <sheet name="Ref1" sheetId="18" state="visible" r:id="rId20"/>
    <sheet name="Ref2" sheetId="19" state="visible" r:id="rId21"/>
    <sheet name="Ref3" sheetId="20" state="visible" r:id="rId22"/>
    <sheet name="Ref4" sheetId="21" state="visible" r:id="rId23"/>
    <sheet name="Ref5" sheetId="22" state="visible" r:id="rId24"/>
    <sheet name="Transportation" sheetId="23" state="visible" r:id="rId25"/>
    <sheet name="Escalation" sheetId="24" state="visible" r:id="rId26"/>
    <sheet name="Converge_Model" sheetId="25" state="hidden" r:id="rId27"/>
    <sheet name="Commit" sheetId="26" state="hidden" r:id="rId28"/>
  </sheets>
  <externalReferences>
    <externalReference r:id="rId29"/>
    <externalReference r:id="rId30"/>
    <externalReference r:id="rId31"/>
    <externalReference r:id="rId32"/>
  </externalReferences>
  <definedNames>
    <definedName function="false" hidden="false" localSheetId="1" name="_xlnm.Print_Area" vbProcedure="false">Assm!$A:$X</definedName>
    <definedName function="false" hidden="false" localSheetId="5" name="_xlnm.Print_Area" vbProcedure="false">BS_IS!$A:$AC</definedName>
    <definedName function="false" hidden="false" localSheetId="2" name="_xlnm.Print_Area" vbProcedure="false">CF!$A$1:$Z$79</definedName>
    <definedName function="false" hidden="false" localSheetId="4" name="_xlnm.Print_Area" vbProcedure="false">CommonSize!$A$1:$AA$67</definedName>
    <definedName function="false" hidden="false" localSheetId="14" name="_xlnm.Print_Area" vbProcedure="false">'Debt Amort'!$A$1:$AB$78</definedName>
    <definedName function="false" hidden="false" localSheetId="16" name="_xlnm.Print_Area" vbProcedure="false">Depr!$A:$AC</definedName>
    <definedName function="false" hidden="false" localSheetId="12" name="_xlnm.Print_Area" vbProcedure="false">Drawdown!$A$1:$AP$95</definedName>
    <definedName function="false" hidden="false" localSheetId="8" name="_xlnm.Print_Area" vbProcedure="false">EINC!$A:$AA</definedName>
    <definedName function="false" hidden="false" localSheetId="23" name="_xlnm.Print_Area" vbProcedure="false">Escalation!$A$12:$O$289</definedName>
    <definedName function="false" hidden="false" localSheetId="23" name="_xlnm.Print_Titles" vbProcedure="false">Escalation!$12:$18</definedName>
    <definedName function="false" hidden="false" localSheetId="13" name="_xlnm.Print_Area" vbProcedure="false">IDC!$A:$AO</definedName>
    <definedName function="false" hidden="false" localSheetId="9" name="_xlnm.Print_Area" vbProcedure="false">PLRisk!$A:$AA</definedName>
    <definedName function="false" hidden="false" localSheetId="17" name="_xlnm.Print_Area" vbProcedure="false">Ref1!$A:$I</definedName>
    <definedName function="false" hidden="false" localSheetId="18" name="_xlnm.Print_Area" vbProcedure="false">Ref2!$A:$I</definedName>
    <definedName function="false" hidden="false" localSheetId="20" name="_xlnm.Print_Area" vbProcedure="false">Ref4!$A:$I</definedName>
    <definedName function="false" hidden="false" localSheetId="21" name="_xlnm.Print_Area" vbProcedure="false">Ref5!$A:$I</definedName>
    <definedName function="false" hidden="false" localSheetId="6" name="_xlnm.Print_Area" vbProcedure="false">Returns!$A:$AB</definedName>
    <definedName function="false" hidden="false" localSheetId="15" name="_xlnm.Print_Area" vbProcedure="false">Taxes!$A:$Y</definedName>
    <definedName function="false" hidden="false" localSheetId="0" name="_xlnm.Print_Area" vbProcedure="false">TOC!$A:$D</definedName>
    <definedName function="false" hidden="false" localSheetId="10" name="_xlnm.Print_Area" vbProcedure="false">Trapped!$A$1:$AA$87</definedName>
    <definedName function="false" hidden="false" localSheetId="11" name="_xlnm.Print_Area" vbProcedure="false">Turnkey!$A:$K</definedName>
    <definedName function="false" hidden="false" name="BL" vbProcedure="false">Assm!$X$85</definedName>
    <definedName function="false" hidden="false" name="BL_Perc" vbProcedure="false">#REF!</definedName>
    <definedName function="false" hidden="false" name="BS_Table" vbProcedure="false">BS_IS!$G$7:$AB$35</definedName>
    <definedName function="false" hidden="false" name="Capacity" vbProcedure="false">Assm!$F$35</definedName>
    <definedName function="false" hidden="false" name="CF_Table" vbProcedure="false">CF!$E$7:$Y$76</definedName>
    <definedName function="false" hidden="false" name="Commit_Factor" vbProcedure="false">Drawdown!$AS$46</definedName>
    <definedName function="false" hidden="false" name="Com_Inputs" vbProcedure="false">IDC!$E$84:$AN$84</definedName>
    <definedName function="false" hidden="false" name="Com_Values" vbProcedure="false">Drawdown!$E$45:$AN$45</definedName>
    <definedName function="false" hidden="false" name="Corp_Tax" vbProcedure="false">Assm!$J$8</definedName>
    <definedName function="false" hidden="false" name="Cost" vbProcedure="false">Assm!$R$46</definedName>
    <definedName function="false" hidden="false" name="CPI" vbProcedure="false">Assm!$F$37</definedName>
    <definedName function="false" hidden="false" name="Curves_Table" vbProcedure="false">Escalation!$A$19:$S$288</definedName>
    <definedName function="false" hidden="false" name="Debt" vbProcedure="false">Assm!$X$68</definedName>
    <definedName function="false" hidden="false" name="Debt_Perc" vbProcedure="false">Assm!$W$68</definedName>
    <definedName function="false" hidden="false" name="Debt_Serv" vbProcedure="false">Assm!$F$25</definedName>
    <definedName function="false" hidden="false" name="Depr_Table" vbProcedure="false">Depr!$H$7:$AB$50</definedName>
    <definedName function="false" hidden="false" name="Dev_Fee1" vbProcedure="false">[2]Assm!$BG$80</definedName>
    <definedName function="false" hidden="false" name="Dev_Fee2" vbProcedure="false">[2]Assm!$BG$80</definedName>
    <definedName function="false" hidden="false" name="Dev_Fee3" vbProcedure="false">[2]Assm!$BG$80</definedName>
    <definedName function="false" hidden="false" name="Dilute_Date" vbProcedure="false">Assm!$J$59</definedName>
    <definedName function="false" hidden="false" name="Disc" vbProcedure="false">Assm!$P$51</definedName>
    <definedName function="false" hidden="false" name="Draw_Table" vbProcedure="false">Drawdown!$E$7:$AN$68</definedName>
    <definedName function="false" hidden="false" name="Draw_Table2" vbProcedure="false">Drawdown!$E$51:$AN$68</definedName>
    <definedName function="false" hidden="false" name="DS_Table" vbProcedure="false">'Debt Amort'!$A$7:$Y$17</definedName>
    <definedName function="false" hidden="false" name="Ecf" vbProcedure="false">Assm!$X$87</definedName>
    <definedName function="false" hidden="false" name="Endyr" vbProcedure="false">Assm!$F$17</definedName>
    <definedName function="false" hidden="false" name="Equity" vbProcedure="false">Assm!$X$70</definedName>
    <definedName function="false" hidden="false" name="Equity_Perc" vbProcedure="false">Assm!$W$70</definedName>
    <definedName function="false" hidden="false" name="Est_BL" vbProcedure="false">#REF!</definedName>
    <definedName function="false" hidden="false" name="Est_Commit" vbProcedure="false">Assm!$AD$11</definedName>
    <definedName function="false" hidden="false" name="Est_Cost" vbProcedure="false">Assm!$AD$8</definedName>
    <definedName function="false" hidden="false" name="Est_Fin" vbProcedure="false">Assm!$AD$12</definedName>
    <definedName function="false" hidden="false" name="Est_IDC" vbProcedure="false">Assm!$AD$9</definedName>
    <definedName function="false" hidden="false" name="Est_WhTax" vbProcedure="false">Assm!$AD$10</definedName>
    <definedName function="false" hidden="false" name="Exit_Table" vbProcedure="false">#REF!</definedName>
    <definedName function="false" hidden="false" name="Fin_Close" vbProcedure="false">Assm!$F$22</definedName>
    <definedName function="false" hidden="false" name="Fin_Table" vbProcedure="false">'Debt Amort'!$B$37:$AD$76</definedName>
    <definedName function="false" hidden="false" name="Guarantee_Fee_Table" vbProcedure="false">'Debt Amort'!$B$37:$AE$76</definedName>
    <definedName function="false" hidden="false" name="Idc_Table" vbProcedure="false">IDC!$E$7:$AN$75</definedName>
    <definedName function="false" hidden="false" name="Inputs" vbProcedure="false">Assm!$AE$7:$AE$13</definedName>
    <definedName function="false" hidden="false" name="Int_BL" vbProcedure="false">Assm!$U$87</definedName>
    <definedName function="false" hidden="false" name="IRR" vbProcedure="false">Assm!$Q$51</definedName>
    <definedName function="false" hidden="false" name="Linefill" vbProcedure="false">Assm!$R$15</definedName>
    <definedName function="false" hidden="false" name="Loopfactor" vbProcedure="false">Assm!$Z$12</definedName>
    <definedName function="false" hidden="false" name="MOSYR2" vbProcedure="false">[2]Assm!$BG$80</definedName>
    <definedName function="false" hidden="false" name="NGO_Table" vbProcedure="false">Assm!$B$64:$F$65</definedName>
    <definedName function="false" hidden="false" name="Nol" vbProcedure="false">Assm!$J$10</definedName>
    <definedName function="false" hidden="false" name="Npv" vbProcedure="false">Assm!$R$51</definedName>
    <definedName function="false" hidden="false" name="Opic" vbProcedure="false">Assm!$L$79</definedName>
    <definedName function="false" hidden="false" name="Pipe_NTP" vbProcedure="false">Assm!$F$12</definedName>
    <definedName function="false" hidden="false" name="Pipe_RFS" vbProcedure="false">Assm!$F$13</definedName>
    <definedName function="false" hidden="false" name="Promote_Fee_New" vbProcedure="false">[2]Assm!$BG$80</definedName>
    <definedName function="false" hidden="false" name="Promote_Fee_Orig" vbProcedure="false">[2]Assm!$BG$80</definedName>
    <definedName function="false" hidden="false" name="Promote_Rate_New" vbProcedure="false">[2]Assm!$BG$80</definedName>
    <definedName function="false" hidden="false" name="Promote_Rate_Orig" vbProcedure="false">[2]Assm!$BG$80</definedName>
    <definedName function="false" hidden="false" name="Promote_Return_Orig" vbProcedure="false">[2]Assm!$BG$80</definedName>
    <definedName function="false" hidden="false" name="Ret_Table" vbProcedure="false">Returns!$D$6:$Z$113</definedName>
    <definedName function="false" hidden="false" name="Revenue_Table" vbProcedure="false">Transportation!$A$12:$M$246</definedName>
    <definedName function="false" hidden="false" name="Sirese_Tax" vbProcedure="false">Assm!$J$25</definedName>
    <definedName function="false" hidden="false" name="Startconst" vbProcedure="false">Assm!$F$11</definedName>
    <definedName function="false" hidden="false" name="Startops1" vbProcedure="false">Assm!$F$15</definedName>
    <definedName function="false" hidden="false" name="Startops2" vbProcedure="false">Assm!$F$16</definedName>
    <definedName function="false" hidden="false" name="Startops3" vbProcedure="false">[2]Assm!$E$16</definedName>
    <definedName function="false" hidden="false" name="Subdebt" vbProcedure="false">Assm!$X$69</definedName>
    <definedName function="false" hidden="false" name="Subdebt_Perc" vbProcedure="false">Assm!$W$69</definedName>
    <definedName function="false" hidden="false" name="Target" vbProcedure="false">Assm!$Q$52</definedName>
    <definedName function="false" hidden="false" name="Tariff_Cap" vbProcedure="false">Assm!$D$29</definedName>
    <definedName function="false" hidden="false" name="Tariff_Var" vbProcedure="false">Assm!$D$30</definedName>
    <definedName function="false" hidden="false" name="Tax_Table" vbProcedure="false">Taxes!$D$7:$X$60</definedName>
    <definedName function="false" hidden="false" name="Term" vbProcedure="false">Assm!$F$18</definedName>
    <definedName function="false" hidden="false" name="Term_BL" vbProcedure="false">#REF!</definedName>
    <definedName function="false" hidden="false" name="Term_C" vbProcedure="false">Assm!$F$14</definedName>
    <definedName function="false" hidden="false" name="TOC" vbProcedure="false">TOC!$B$8:$C$24</definedName>
    <definedName function="false" hidden="false" name="Total_BL" vbProcedure="false">Assm!$U$86</definedName>
    <definedName function="false" hidden="false" name="Trans_Tax" vbProcedure="false">Assm!$J$9</definedName>
    <definedName function="false" hidden="false" name="Turnkey_Table1" vbProcedure="false">#REF!</definedName>
    <definedName function="false" hidden="false" name="USTax" vbProcedure="false">Assm!$J$29</definedName>
    <definedName function="false" hidden="false" name="Values" vbProcedure="false">Assm!$AD$7:$AD$13</definedName>
    <definedName function="false" hidden="false" name="Vat" vbProcedure="false">Assm!$J$15</definedName>
    <definedName function="false" hidden="false" name="Vat_Table" vbProcedure="false">Trapped!$E$68:$Z$87</definedName>
    <definedName function="false" hidden="false" name="Wcap" vbProcedure="false">Assm!$R$39</definedName>
    <definedName function="false" hidden="false" name="Wh_Div_NR" vbProcedure="false">Assm!$J$12</definedName>
    <definedName function="false" hidden="false" name="Wh_Int" vbProcedure="false">Assm!$J$13</definedName>
    <definedName function="false" hidden="false" name="Wh_Serv" vbProcedure="false">Assm!$J$14</definedName>
    <definedName function="false" hidden="false" name="X_Perc" vbProcedure="false">#REF!</definedName>
    <definedName function="false" hidden="false" name="X_Year" vbProcedure="false">#REF!</definedName>
    <definedName function="false" hidden="false" localSheetId="7" name="CPI" vbProcedure="false">[2]Turnkey!$BG$80</definedName>
    <definedName function="false" hidden="false" localSheetId="7" name="Exit_Table" vbProcedure="false">#REF!</definedName>
    <definedName function="false" hidden="false" localSheetId="23" name="Dec_Change" vbProcedure="false">Escalation!$G$13:$K$288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28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Updated by 09/07/99 regulatory model.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26</xdr:row>
                <xdr:rowOff>7</xdr:rowOff>
              </xdr:from>
              <xdr:to>
                <xdr:col>11</xdr:col>
                <xdr:colOff>15</xdr:colOff>
                <xdr:row>30</xdr:row>
                <xdr:rowOff>13</xdr:rowOff>
              </xdr:to>
            </anchor>
          </commentPr>
        </mc:Choice>
        <mc:Fallback/>
      </mc:AlternateContent>
    </comment>
    <comment ref="I29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Updated by 09/07/99 regulatory model.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27</xdr:row>
                <xdr:rowOff>7</xdr:rowOff>
              </xdr:from>
              <xdr:to>
                <xdr:col>11</xdr:col>
                <xdr:colOff>15</xdr:colOff>
                <xdr:row>31</xdr:row>
                <xdr:rowOff>12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R18" authorId="0">
      <text>
        <r>
          <rPr>
            <b val="true"/>
            <sz val="8"/>
            <color rgb="FF000000"/>
            <rFont val="Tahoma"/>
            <family val="0"/>
          </rPr>
          <t xml:space="preserve">Robert Sammon:
</t>
        </r>
        <r>
          <rPr>
            <sz val="8"/>
            <color rgb="FF000000"/>
            <rFont val="Tahoma"/>
            <family val="0"/>
          </rPr>
          <t xml:space="preserve">Increase Parson's per Jeremy Dawson on 2/16/2000.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16</xdr:row>
                <xdr:rowOff>7</xdr:rowOff>
              </xdr:from>
              <xdr:to>
                <xdr:col>19</xdr:col>
                <xdr:colOff>126</xdr:colOff>
                <xdr:row>20</xdr:row>
                <xdr:rowOff>12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22" authorId="0">
      <text>
        <r>
          <rPr>
            <b val="true"/>
            <sz val="8"/>
            <color rgb="FF000000"/>
            <rFont val="Tahoma"/>
            <family val="0"/>
          </rPr>
          <t xml:space="preserve">kkindal:
</t>
        </r>
        <r>
          <rPr>
            <sz val="8"/>
            <color rgb="FF000000"/>
            <rFont val="Tahoma"/>
            <family val="0"/>
          </rPr>
          <t xml:space="preserve">Links to the TBS model.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20</xdr:row>
                <xdr:rowOff>7</xdr:rowOff>
              </xdr:from>
              <xdr:to>
                <xdr:col>8</xdr:col>
                <xdr:colOff>71</xdr:colOff>
                <xdr:row>24</xdr:row>
                <xdr:rowOff>14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67" authorId="0">
      <text>
        <r>
          <rPr>
            <b val="true"/>
            <sz val="8"/>
            <color rgb="FF000000"/>
            <rFont val="Tahoma"/>
            <family val="0"/>
          </rPr>
          <t xml:space="preserve">D Carneiro:
</t>
        </r>
        <r>
          <rPr>
            <sz val="8"/>
            <color rgb="FF000000"/>
            <rFont val="Tahoma"/>
            <family val="0"/>
          </rPr>
          <t xml:space="preserve">Does not include servicing of Sub Debt which is being treated as additional equity contributions from partners.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65</xdr:row>
                <xdr:rowOff>7</xdr:rowOff>
              </xdr:from>
              <xdr:to>
                <xdr:col>6</xdr:col>
                <xdr:colOff>7</xdr:colOff>
                <xdr:row>75</xdr:row>
                <xdr:rowOff>11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51" authorId="0">
      <text>
        <r>
          <rPr>
            <b val="true"/>
            <sz val="8"/>
            <color rgb="FF000000"/>
            <rFont val="Tahoma"/>
            <family val="0"/>
          </rPr>
          <t xml:space="preserve">kkindal:
</t>
        </r>
        <r>
          <rPr>
            <sz val="8"/>
            <color rgb="FF000000"/>
            <rFont val="Tahoma"/>
            <family val="0"/>
          </rPr>
          <t xml:space="preserve">Trace starts here.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49</xdr:row>
                <xdr:rowOff>7</xdr:rowOff>
              </xdr:from>
              <xdr:to>
                <xdr:col>12</xdr:col>
                <xdr:colOff>72</xdr:colOff>
                <xdr:row>53</xdr:row>
                <xdr:rowOff>14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<sst xmlns="http://schemas.openxmlformats.org/spreadsheetml/2006/main" count="2048" uniqueCount="1184">
  <si>
    <t xml:space="preserve">GAS ORIENTE BOLIVIANO S.A. (GASBOL)</t>
  </si>
  <si>
    <t xml:space="preserve">369 KM PIPELINE SPUR FOR CUIABA POWER PLANT (BOLIVIA)</t>
  </si>
  <si>
    <t xml:space="preserve">ENRON INTERNATIONAL</t>
  </si>
  <si>
    <t xml:space="preserve">*** DRAFT COPY ***</t>
  </si>
  <si>
    <t xml:space="preserve">Table Of Contents</t>
  </si>
  <si>
    <t xml:space="preserve">Page #</t>
  </si>
  <si>
    <t xml:space="preserve">Assumptions</t>
  </si>
  <si>
    <t xml:space="preserve">Cash Flow</t>
  </si>
  <si>
    <t xml:space="preserve">2</t>
  </si>
  <si>
    <t xml:space="preserve">Project &amp; Partner Returns</t>
  </si>
  <si>
    <t xml:space="preserve">3</t>
  </si>
  <si>
    <t xml:space="preserve">Enron Book Income</t>
  </si>
  <si>
    <t xml:space="preserve">4</t>
  </si>
  <si>
    <t xml:space="preserve">Political Risk / DSCR Calculations</t>
  </si>
  <si>
    <t xml:space="preserve">5</t>
  </si>
  <si>
    <t xml:space="preserve">Trapped Cash / Partner Loans / Capital Budget</t>
  </si>
  <si>
    <t xml:space="preserve">6</t>
  </si>
  <si>
    <t xml:space="preserve">Turnkey Components &amp; Construction Taxes</t>
  </si>
  <si>
    <t xml:space="preserve">7</t>
  </si>
  <si>
    <t xml:space="preserve">Drawdown Schedule</t>
  </si>
  <si>
    <t xml:space="preserve">8</t>
  </si>
  <si>
    <t xml:space="preserve">Interest During Construction</t>
  </si>
  <si>
    <t xml:space="preserve">9</t>
  </si>
  <si>
    <t xml:space="preserve">Debt Amortization</t>
  </si>
  <si>
    <t xml:space="preserve">10</t>
  </si>
  <si>
    <t xml:space="preserve">Cash &amp; Book Taxes</t>
  </si>
  <si>
    <t xml:space="preserve">11</t>
  </si>
  <si>
    <t xml:space="preserve">Depreciation</t>
  </si>
  <si>
    <t xml:space="preserve">12</t>
  </si>
  <si>
    <t xml:space="preserve">Project Financial Statements</t>
  </si>
  <si>
    <t xml:space="preserve">13</t>
  </si>
  <si>
    <t xml:space="preserve">Reference Sheets</t>
  </si>
  <si>
    <t xml:space="preserve">14-18</t>
  </si>
  <si>
    <t xml:space="preserve">Appedix I - Transportation Revenues</t>
  </si>
  <si>
    <t xml:space="preserve">ASSUMPTIONS</t>
  </si>
  <si>
    <t xml:space="preserve">                                                                                       </t>
  </si>
  <si>
    <t xml:space="preserve">Pipeline Data</t>
  </si>
  <si>
    <t xml:space="preserve">Bolivia Taxes</t>
  </si>
  <si>
    <t xml:space="preserve">Project Structure:</t>
  </si>
  <si>
    <t xml:space="preserve">Limitada</t>
  </si>
  <si>
    <t xml:space="preserve">Project Costs ($000)</t>
  </si>
  <si>
    <t xml:space="preserve">Total</t>
  </si>
  <si>
    <t xml:space="preserve">Project Financing ($000)</t>
  </si>
  <si>
    <t xml:space="preserve">Model Convergence</t>
  </si>
  <si>
    <t xml:space="preserve">Values</t>
  </si>
  <si>
    <t xml:space="preserve">Inputs</t>
  </si>
  <si>
    <t xml:space="preserve">Difference</t>
  </si>
  <si>
    <t xml:space="preserve">Pipeline Length - Bolivia</t>
  </si>
  <si>
    <t xml:space="preserve">Kilometers</t>
  </si>
  <si>
    <t xml:space="preserve">Operating Taxes</t>
  </si>
  <si>
    <t xml:space="preserve">EPC Turnkey Contract</t>
  </si>
  <si>
    <t xml:space="preserve">Size of Pipe</t>
  </si>
  <si>
    <t xml:space="preserve">Inches</t>
  </si>
  <si>
    <t xml:space="preserve">Corporate Tax</t>
  </si>
  <si>
    <t xml:space="preserve">Of Taxable Income</t>
  </si>
  <si>
    <t xml:space="preserve">Approved Change Orders</t>
  </si>
  <si>
    <t xml:space="preserve">Tranche 1: MLA - OPIC</t>
  </si>
  <si>
    <t xml:space="preserve">Project Costs</t>
  </si>
  <si>
    <r>
      <rPr>
        <sz val="10"/>
        <rFont val="Arial"/>
        <family val="2"/>
      </rPr>
      <t xml:space="preserve">Transaction Tax </t>
    </r>
    <r>
      <rPr>
        <i val="true"/>
        <sz val="9"/>
        <rFont val="Arial"/>
        <family val="2"/>
      </rPr>
      <t xml:space="preserve">(Payable If &gt; Corporate Taxes)</t>
    </r>
  </si>
  <si>
    <t xml:space="preserve">On Gross Receipts</t>
  </si>
  <si>
    <t xml:space="preserve">Pending Change Orders</t>
  </si>
  <si>
    <t xml:space="preserve">Amount</t>
  </si>
  <si>
    <t xml:space="preserve">IDC</t>
  </si>
  <si>
    <t xml:space="preserve">Project Operations</t>
  </si>
  <si>
    <r>
      <rPr>
        <sz val="10"/>
        <rFont val="Arial"/>
        <family val="2"/>
      </rPr>
      <t xml:space="preserve">NOL </t>
    </r>
    <r>
      <rPr>
        <i val="true"/>
        <sz val="8"/>
        <rFont val="Arial"/>
        <family val="2"/>
      </rPr>
      <t xml:space="preserve">(Unlimited Carryforward, No Carryback) - Capped @</t>
    </r>
  </si>
  <si>
    <t xml:space="preserve">Of Taxable Income </t>
  </si>
  <si>
    <t xml:space="preserve">Other Change Orders</t>
  </si>
  <si>
    <t xml:space="preserve">Loan Amortization (1=S/L, 2=MTG, 3=Custom)</t>
  </si>
  <si>
    <t xml:space="preserve">W/H Tax - IDC</t>
  </si>
  <si>
    <t xml:space="preserve">Start Of Development</t>
  </si>
  <si>
    <t xml:space="preserve">Real Estate Tax</t>
  </si>
  <si>
    <t xml:space="preserve">Not Applicable - Non-Land Owner</t>
  </si>
  <si>
    <t xml:space="preserve">Onshore Payment Adjustment</t>
  </si>
  <si>
    <t xml:space="preserve">Term (Years) - Post Closing</t>
  </si>
  <si>
    <t xml:space="preserve"># Of Debt Service Pmts</t>
  </si>
  <si>
    <t xml:space="preserve">Loop Factor</t>
  </si>
  <si>
    <t xml:space="preserve">Commitment Fee</t>
  </si>
  <si>
    <t xml:space="preserve">Pipeline Notice To Proceed (NTP)</t>
  </si>
  <si>
    <t xml:space="preserve">Withholding Tax - Dividends (Non-Residents)</t>
  </si>
  <si>
    <t xml:space="preserve">On Dividend Payments</t>
  </si>
  <si>
    <t xml:space="preserve">Turnkey Tax Adjustment</t>
  </si>
  <si>
    <t xml:space="preserve">Grace (Periods) - Post Closing</t>
  </si>
  <si>
    <t xml:space="preserve">Grace - Post Phase III</t>
  </si>
  <si>
    <t xml:space="preserve">Upfront Fee</t>
  </si>
  <si>
    <t xml:space="preserve">Pipeline Ready For Service (RFS)</t>
  </si>
  <si>
    <t xml:space="preserve">Withholding Tax - Interest (Non-MLA's)</t>
  </si>
  <si>
    <t xml:space="preserve">On Interest Paid To Non MLA's</t>
  </si>
  <si>
    <t xml:space="preserve">Total Turnkey Construction</t>
  </si>
  <si>
    <t xml:space="preserve">Average Life Of Loan (Years)</t>
  </si>
  <si>
    <t xml:space="preserve">Months Of Development (Until Start Of Phase II)</t>
  </si>
  <si>
    <t xml:space="preserve">Withholding Tax - Services (Non-Residents)</t>
  </si>
  <si>
    <t xml:space="preserve">On Services Abroad</t>
  </si>
  <si>
    <t xml:space="preserve">Interest Rate / Spread</t>
  </si>
  <si>
    <t xml:space="preserve">Total Convergence Variance</t>
  </si>
  <si>
    <t xml:space="preserve">Start Date (Phase II - Power Plant)</t>
  </si>
  <si>
    <t xml:space="preserve">Value Added Tax - Sales</t>
  </si>
  <si>
    <t xml:space="preserve">Not Applicable - 0% Rated</t>
  </si>
  <si>
    <t xml:space="preserve">Linefill</t>
  </si>
  <si>
    <t xml:space="preserve">Start Date (Phase III - Power Plant)</t>
  </si>
  <si>
    <t xml:space="preserve">Value Added Tax - Goods / Services</t>
  </si>
  <si>
    <t xml:space="preserve">Grossed Up</t>
  </si>
  <si>
    <t xml:space="preserve">Land &amp; Rights Of Way</t>
  </si>
  <si>
    <t xml:space="preserve">End Of Operations - Cuiaba I</t>
  </si>
  <si>
    <t xml:space="preserve">Customs Duties</t>
  </si>
  <si>
    <t xml:space="preserve">Consulting Fees</t>
  </si>
  <si>
    <t xml:space="preserve">+W/H Taxes Of</t>
  </si>
  <si>
    <t xml:space="preserve">Tranche 2: KFW (Uncovered Loan)</t>
  </si>
  <si>
    <t xml:space="preserve">Term Of Contract (Yrs)</t>
  </si>
  <si>
    <t xml:space="preserve">Import Duties</t>
  </si>
  <si>
    <t xml:space="preserve">On CIF Value, Subject To VAT</t>
  </si>
  <si>
    <t xml:space="preserve">Owner's Engineer (Parsons)</t>
  </si>
  <si>
    <t xml:space="preserve">Project Type</t>
  </si>
  <si>
    <t xml:space="preserve">BOO</t>
  </si>
  <si>
    <t xml:space="preserve">Customs Agency Fees</t>
  </si>
  <si>
    <t xml:space="preserve">Other Engineering Costs</t>
  </si>
  <si>
    <t xml:space="preserve">Inspection / Verification Fees</t>
  </si>
  <si>
    <t xml:space="preserve">Environmental &amp; Permitting</t>
  </si>
  <si>
    <t xml:space="preserve">Financial Closing</t>
  </si>
  <si>
    <t xml:space="preserve">Customs Warehouse (AADAA) Fees</t>
  </si>
  <si>
    <t xml:space="preserve">Indigenous People Programs</t>
  </si>
  <si>
    <t xml:space="preserve">Date Of Financial Close</t>
  </si>
  <si>
    <t xml:space="preserve">GAC (Brazilian Imports)</t>
  </si>
  <si>
    <t xml:space="preserve">On CIF Value</t>
  </si>
  <si>
    <t xml:space="preserve">Total Other Construction</t>
  </si>
  <si>
    <t xml:space="preserve">Average Life Of Loan</t>
  </si>
  <si>
    <t xml:space="preserve">NTP To Financial Close  (Mos)</t>
  </si>
  <si>
    <t xml:space="preserve">GAC (Non-Brazilian Imports)</t>
  </si>
  <si>
    <t xml:space="preserve">Months (Post Power Plant Phase III) Until 1st Debt Service</t>
  </si>
  <si>
    <t xml:space="preserve">Other Fees</t>
  </si>
  <si>
    <t xml:space="preserve">Interest During Construction "IDC" </t>
  </si>
  <si>
    <t xml:space="preserve">First Debt Service Payment</t>
  </si>
  <si>
    <t xml:space="preserve">SIRESE Fee</t>
  </si>
  <si>
    <t xml:space="preserve">On Gross Invoice Amount</t>
  </si>
  <si>
    <t xml:space="preserve">W/H Tax - IDC (Shareholder Construction Loan)</t>
  </si>
  <si>
    <t xml:space="preserve">Tranche 3: </t>
  </si>
  <si>
    <t xml:space="preserve">Transport Charges</t>
  </si>
  <si>
    <t xml:space="preserve">US Taxes</t>
  </si>
  <si>
    <t xml:space="preserve">Escalation</t>
  </si>
  <si>
    <t xml:space="preserve">Tax Position</t>
  </si>
  <si>
    <t xml:space="preserve">Deferral</t>
  </si>
  <si>
    <t xml:space="preserve">Financing Costs (Borrower)</t>
  </si>
  <si>
    <t xml:space="preserve">Capacity Charge</t>
  </si>
  <si>
    <t xml:space="preserve">$ / MMBTU</t>
  </si>
  <si>
    <t xml:space="preserve">Greater Of CPI Or 1.005</t>
  </si>
  <si>
    <t xml:space="preserve">Federal Income Tax</t>
  </si>
  <si>
    <t xml:space="preserve">Financing Costs (Other)</t>
  </si>
  <si>
    <t xml:space="preserve">Variable Charge</t>
  </si>
  <si>
    <t xml:space="preserve">3rd Party Legal Fees</t>
  </si>
  <si>
    <t xml:space="preserve">VAT</t>
  </si>
  <si>
    <t xml:space="preserve">Construction Insurance </t>
  </si>
  <si>
    <t xml:space="preserve"> </t>
  </si>
  <si>
    <t xml:space="preserve">Firm Service TOP</t>
  </si>
  <si>
    <t xml:space="preserve">Start Date</t>
  </si>
  <si>
    <t xml:space="preserve">Assume we are a 0% rated company (no VAT received on revenues).</t>
  </si>
  <si>
    <t xml:space="preserve">Total 3rd Party Dev / Financing Costs</t>
  </si>
  <si>
    <t xml:space="preserve">Outage</t>
  </si>
  <si>
    <t xml:space="preserve">Average</t>
  </si>
  <si>
    <t xml:space="preserve">Receive VAT certificates annually (based on calc'd amount) to be sold to 3rd parties.</t>
  </si>
  <si>
    <t xml:space="preserve">MAXDTQ</t>
  </si>
  <si>
    <t xml:space="preserve">Days</t>
  </si>
  <si>
    <t xml:space="preserve">TOP%</t>
  </si>
  <si>
    <t xml:space="preserve">TOP Vol</t>
  </si>
  <si>
    <t xml:space="preserve">Loss On Sale Of Certificate</t>
  </si>
  <si>
    <t xml:space="preserve">Development Costs</t>
  </si>
  <si>
    <t xml:space="preserve">Development Fee</t>
  </si>
  <si>
    <t xml:space="preserve">Tranche 4:</t>
  </si>
  <si>
    <t xml:space="preserve">Legal Reserve</t>
  </si>
  <si>
    <t xml:space="preserve">Of Net Income</t>
  </si>
  <si>
    <t xml:space="preserve">Operations Mobilization</t>
  </si>
  <si>
    <t xml:space="preserve">Operating Expenses ($000)</t>
  </si>
  <si>
    <t xml:space="preserve">Escalation Rate:</t>
  </si>
  <si>
    <t xml:space="preserve">CPI Annual</t>
  </si>
  <si>
    <t xml:space="preserve">Capped @</t>
  </si>
  <si>
    <t xml:space="preserve">Of Original Equity Equal To</t>
  </si>
  <si>
    <t xml:space="preserve">Total Development Costs / Fees</t>
  </si>
  <si>
    <t xml:space="preserve">Fixed</t>
  </si>
  <si>
    <t xml:space="preserve">Depreciation Assumptions</t>
  </si>
  <si>
    <t xml:space="preserve">Basis ($000)</t>
  </si>
  <si>
    <t xml:space="preserve">Life (Yrs)</t>
  </si>
  <si>
    <t xml:space="preserve">Method</t>
  </si>
  <si>
    <t xml:space="preserve">Working Capital </t>
  </si>
  <si>
    <t xml:space="preserve">Funded By 1999 And 2000 Operating Cash</t>
  </si>
  <si>
    <t xml:space="preserve">Salaries &amp; Benefits</t>
  </si>
  <si>
    <t xml:space="preserve">Total Other Costs</t>
  </si>
  <si>
    <t xml:space="preserve">Administrative Expenses - General</t>
  </si>
  <si>
    <t xml:space="preserve">Tax</t>
  </si>
  <si>
    <t xml:space="preserve">S/L</t>
  </si>
  <si>
    <t xml:space="preserve">Administrative Expenses - Transredes</t>
  </si>
  <si>
    <t xml:space="preserve">Book</t>
  </si>
  <si>
    <t xml:space="preserve">Contingency - Change Orders</t>
  </si>
  <si>
    <t xml:space="preserve">Equipment Rental</t>
  </si>
  <si>
    <t xml:space="preserve">(Years 5 &amp; 15)</t>
  </si>
  <si>
    <t xml:space="preserve">GAAP</t>
  </si>
  <si>
    <t xml:space="preserve">Contingency - Other</t>
  </si>
  <si>
    <t xml:space="preserve">Other O&amp;M Expenses</t>
  </si>
  <si>
    <t xml:space="preserve">(Years 3 , 6 , 9, 12 , 15 &amp; 18)</t>
  </si>
  <si>
    <t xml:space="preserve">Total Contingency</t>
  </si>
  <si>
    <t xml:space="preserve">Tranche 5:</t>
  </si>
  <si>
    <t xml:space="preserve">Gas Loss</t>
  </si>
  <si>
    <t xml:space="preserve">Trapped Cash</t>
  </si>
  <si>
    <t xml:space="preserve">Technical Services Fee</t>
  </si>
  <si>
    <t xml:space="preserve">Distributions Limited To Retained Earnings</t>
  </si>
  <si>
    <t xml:space="preserve">Total Project Costs</t>
  </si>
  <si>
    <r>
      <rPr>
        <sz val="10"/>
        <rFont val="Arial"/>
        <family val="2"/>
      </rPr>
      <t xml:space="preserve">Capital Budget Expenses </t>
    </r>
    <r>
      <rPr>
        <i val="true"/>
        <sz val="9"/>
        <rFont val="Arial"/>
        <family val="2"/>
      </rPr>
      <t xml:space="preserve">(See Trapped Cash Sheet)</t>
    </r>
  </si>
  <si>
    <t xml:space="preserve">Apply Capital Reductions Of Excess Cash (0=No, 1=Yes)</t>
  </si>
  <si>
    <t xml:space="preserve">Total Project Costs ($/MCM/Day)</t>
  </si>
  <si>
    <t xml:space="preserve">Operating Insurance</t>
  </si>
  <si>
    <t xml:space="preserve">Trapped Cash Loans To Partners (0=No, 1=Yes)</t>
  </si>
  <si>
    <t xml:space="preserve">Total Operating Expenses</t>
  </si>
  <si>
    <t xml:space="preserve">Capital Reduction In Final Year To Liquidate Partner Loans</t>
  </si>
  <si>
    <t xml:space="preserve">Project &amp; Enron Economics ($000)</t>
  </si>
  <si>
    <t xml:space="preserve">Disc Rate</t>
  </si>
  <si>
    <t xml:space="preserve">IRR</t>
  </si>
  <si>
    <t xml:space="preserve">NPV</t>
  </si>
  <si>
    <t xml:space="preserve">TBS Transport Option ($000)</t>
  </si>
  <si>
    <t xml:space="preserve">Option Paid By TBS To GasBol To Expand Pipeline</t>
  </si>
  <si>
    <t xml:space="preserve">Interest Income To Project On Trapped Cash Loans</t>
  </si>
  <si>
    <t xml:space="preserve">Project</t>
  </si>
  <si>
    <t xml:space="preserve">Facilities From 102,990 To 182,540 MMBTU/Day</t>
  </si>
  <si>
    <t xml:space="preserve">Interest Expense To Shareholders On Trapped Cash Loans</t>
  </si>
  <si>
    <t xml:space="preserve">Target IRR</t>
  </si>
  <si>
    <t xml:space="preserve">Tranche 6: Subordinated Debt</t>
  </si>
  <si>
    <t xml:space="preserve">Option Scenario</t>
  </si>
  <si>
    <t xml:space="preserve">Year Of Option Payment</t>
  </si>
  <si>
    <t xml:space="preserve">Escalators</t>
  </si>
  <si>
    <t xml:space="preserve">Option Amount</t>
  </si>
  <si>
    <t xml:space="preserve">Use 09/04/98 Curves used for Bank Models (0=No, 1=Yes)</t>
  </si>
  <si>
    <t xml:space="preserve">Project Ownership (Pre-Dilution)</t>
  </si>
  <si>
    <t xml:space="preserve">TOTAL PARTNERS</t>
  </si>
  <si>
    <t xml:space="preserve">Units Used</t>
  </si>
  <si>
    <t xml:space="preserve">Dilution Date</t>
  </si>
  <si>
    <t xml:space="preserve">Conversion Of MCM To MMBTU</t>
  </si>
  <si>
    <t xml:space="preserve">1 CM = </t>
  </si>
  <si>
    <t xml:space="preserve">Kcal</t>
  </si>
  <si>
    <t xml:space="preserve">Pre-Dilution Equity</t>
  </si>
  <si>
    <t xml:space="preserve">Plus: Withholding Tax On Dividends</t>
  </si>
  <si>
    <t xml:space="preserve">(1)</t>
  </si>
  <si>
    <t xml:space="preserve">1 Kcal =</t>
  </si>
  <si>
    <t xml:space="preserve">BTU</t>
  </si>
  <si>
    <t xml:space="preserve">Equity ($000)</t>
  </si>
  <si>
    <t xml:space="preserve">Equity %</t>
  </si>
  <si>
    <t xml:space="preserve">Cashflow %</t>
  </si>
  <si>
    <t xml:space="preserve">Plus: Interest Expense On Trapped Cash Loans</t>
  </si>
  <si>
    <t xml:space="preserve">1 MMCM = </t>
  </si>
  <si>
    <t xml:space="preserve">MMBTU</t>
  </si>
  <si>
    <t xml:space="preserve">Enron</t>
  </si>
  <si>
    <t xml:space="preserve">Plus:  Political Risk Insurance</t>
  </si>
  <si>
    <t xml:space="preserve">Shell</t>
  </si>
  <si>
    <t xml:space="preserve">Less: Indemnity Fee</t>
  </si>
  <si>
    <t xml:space="preserve">NGO Settlement ($000)</t>
  </si>
  <si>
    <t xml:space="preserve">Transredes</t>
  </si>
  <si>
    <t xml:space="preserve">Less: Withholding Tax On Indemnity Fee</t>
  </si>
  <si>
    <t xml:space="preserve">Other Senior Debt Fees</t>
  </si>
  <si>
    <t xml:space="preserve">OPIC Agency Fee ($000)</t>
  </si>
  <si>
    <t xml:space="preserve">   Total</t>
  </si>
  <si>
    <t xml:space="preserve">Consulting Fees Above $4,000 Cap</t>
  </si>
  <si>
    <t xml:space="preserve">EPE Percent / Amount</t>
  </si>
  <si>
    <t xml:space="preserve">Houston Overheads Not Included In Project Costs</t>
  </si>
  <si>
    <t xml:space="preserve">Final Year Of Payment</t>
  </si>
  <si>
    <t xml:space="preserve">Project Ownership (Post-Dilution)</t>
  </si>
  <si>
    <t xml:space="preserve">Assume Dilution</t>
  </si>
  <si>
    <t xml:space="preserve">Less: Development Fee</t>
  </si>
  <si>
    <t xml:space="preserve">Less: Technical Services Fee</t>
  </si>
  <si>
    <t xml:space="preserve">Capital Structure ($000)</t>
  </si>
  <si>
    <t xml:space="preserve">Less: Tax Cost / (Benefit) On (1)'s Above</t>
  </si>
  <si>
    <t xml:space="preserve">Senior Debt</t>
  </si>
  <si>
    <t xml:space="preserve">Plus: Bridge Loan Amount</t>
  </si>
  <si>
    <t xml:space="preserve">Subordinated Debt</t>
  </si>
  <si>
    <t xml:space="preserve">Less: Bridge Loan Repayment</t>
  </si>
  <si>
    <t xml:space="preserve">Equity</t>
  </si>
  <si>
    <t xml:space="preserve">new equity</t>
  </si>
  <si>
    <t xml:space="preserve">Less: Bridge Loan Interest Income</t>
  </si>
  <si>
    <t xml:space="preserve">(2)</t>
  </si>
  <si>
    <t xml:space="preserve">Total Investment</t>
  </si>
  <si>
    <t xml:space="preserve">Plus: Bridge Loan Political Risk Insurance</t>
  </si>
  <si>
    <t xml:space="preserve">Maximum Life Of Financing (Years)</t>
  </si>
  <si>
    <t xml:space="preserve">Less:  Tax Cost / (Benefit) On (2)'s Above</t>
  </si>
  <si>
    <t xml:space="preserve">Weighted Average Rate / Spread</t>
  </si>
  <si>
    <t xml:space="preserve">Division Of Project Fees</t>
  </si>
  <si>
    <t xml:space="preserve">Sub-total Partner Level Adjustments</t>
  </si>
  <si>
    <t xml:space="preserve">Weighted Average Upfront Fee</t>
  </si>
  <si>
    <t xml:space="preserve">Weighted Average Commitment Fee</t>
  </si>
  <si>
    <t xml:space="preserve">Reconciled Project NPV</t>
  </si>
  <si>
    <t xml:space="preserve">Unreconciled Difference</t>
  </si>
  <si>
    <t xml:space="preserve">DS Coverage Ratios</t>
  </si>
  <si>
    <t xml:space="preserve">Pre-Tax</t>
  </si>
  <si>
    <t xml:space="preserve">After-Tax</t>
  </si>
  <si>
    <t xml:space="preserve">A-T Target</t>
  </si>
  <si>
    <t xml:space="preserve">Political Risk Insurance</t>
  </si>
  <si>
    <t xml:space="preserve">Minimum</t>
  </si>
  <si>
    <t xml:space="preserve">Book Earnings Method</t>
  </si>
  <si>
    <t xml:space="preserve">Partner Level Only</t>
  </si>
  <si>
    <t xml:space="preserve">Enron Book Income ($000)</t>
  </si>
  <si>
    <t xml:space="preserve">Terminal Value</t>
  </si>
  <si>
    <t xml:space="preserve">Include In Valuation</t>
  </si>
  <si>
    <t xml:space="preserve">Debt Reserve</t>
  </si>
  <si>
    <t xml:space="preserve">Service To Be Provided By</t>
  </si>
  <si>
    <t xml:space="preserve">Dressner Bank</t>
  </si>
  <si>
    <t xml:space="preserve">Final Year EBITDA</t>
  </si>
  <si>
    <t xml:space="preserve">Months Of Debt Service Required</t>
  </si>
  <si>
    <t xml:space="preserve">Months In Final Year Of Service</t>
  </si>
  <si>
    <t xml:space="preserve">L/C Fee p.a.</t>
  </si>
  <si>
    <t xml:space="preserve">Adjusted Final Year EBITDA</t>
  </si>
  <si>
    <t xml:space="preserve">EBITDA Multiple</t>
  </si>
  <si>
    <t xml:space="preserve">Shareholder Constr Loan</t>
  </si>
  <si>
    <t xml:space="preserve">After Initial Equity &amp; Before Permanent Financing</t>
  </si>
  <si>
    <t xml:space="preserve">Interest Rate</t>
  </si>
  <si>
    <t xml:space="preserve">Enron Cost Of Funds</t>
  </si>
  <si>
    <t xml:space="preserve">Leverage Option</t>
  </si>
  <si>
    <t xml:space="preserve">Valuation Assumption</t>
  </si>
  <si>
    <t xml:space="preserve">Assume Principal Repayment (Keep Original Level Of Leverage)</t>
  </si>
  <si>
    <t xml:space="preserve">INCOME STATEMENT - CASH FLOW ($000)</t>
  </si>
  <si>
    <t xml:space="preserve">Offset For</t>
  </si>
  <si>
    <t xml:space="preserve">Contract Year</t>
  </si>
  <si>
    <t xml:space="preserve">"CF_Table"</t>
  </si>
  <si>
    <t xml:space="preserve">Calendar Year</t>
  </si>
  <si>
    <t xml:space="preserve">Totals</t>
  </si>
  <si>
    <t xml:space="preserve">Months Of Operation </t>
  </si>
  <si>
    <t xml:space="preserve">Escalation Factor - Fixed Transportation</t>
  </si>
  <si>
    <t xml:space="preserve">Escalation Factor - Operating Expenses</t>
  </si>
  <si>
    <t xml:space="preserve">Escalation Factor - NGO Settlement</t>
  </si>
  <si>
    <t xml:space="preserve">Revenues</t>
  </si>
  <si>
    <t xml:space="preserve">Transportation Payments</t>
  </si>
  <si>
    <t xml:space="preserve">Transportation Revenues</t>
  </si>
  <si>
    <t xml:space="preserve">Gross Revenues (Billed To TBS)</t>
  </si>
  <si>
    <t xml:space="preserve">Expenses</t>
  </si>
  <si>
    <t xml:space="preserve">Operation &amp; Maintenance</t>
  </si>
  <si>
    <t xml:space="preserve">Reserve During Term Of Debt</t>
  </si>
  <si>
    <t xml:space="preserve">Total O&amp;M </t>
  </si>
  <si>
    <t xml:space="preserve">WH Tax On Off Shore Service (1's) - Grossed Up</t>
  </si>
  <si>
    <t xml:space="preserve">SIRESE Tax Amount</t>
  </si>
  <si>
    <t xml:space="preserve">Calc'd On Taxes Sheet</t>
  </si>
  <si>
    <t xml:space="preserve">Transaction Tax Amount</t>
  </si>
  <si>
    <t xml:space="preserve">Total Operating Expenses Including Taxes</t>
  </si>
  <si>
    <t xml:space="preserve">Other Income/(Expenses)</t>
  </si>
  <si>
    <t xml:space="preserve">Less: Loss On Sale Of VAT Certificates</t>
  </si>
  <si>
    <t xml:space="preserve">Plus: Interest Income - Partner / Shareholder Loans</t>
  </si>
  <si>
    <t xml:space="preserve">Plus: Transport Option Payment From TBS</t>
  </si>
  <si>
    <r>
      <rPr>
        <sz val="10"/>
        <rFont val="Arial"/>
        <family val="2"/>
      </rPr>
      <t xml:space="preserve">Less: OPIC Agency Fee +</t>
    </r>
    <r>
      <rPr>
        <b val="true"/>
        <sz val="10"/>
        <color rgb="FFFF00FF"/>
        <rFont val="arial"/>
        <family val="2"/>
      </rPr>
      <t xml:space="preserve"> Loan Guarantee Fee</t>
    </r>
  </si>
  <si>
    <t xml:space="preserve">Less: L/C Fee - Debt Reserve</t>
  </si>
  <si>
    <t xml:space="preserve">Less: NGO Settlement Payments</t>
  </si>
  <si>
    <t xml:space="preserve">Total Other Income / (Expenses)</t>
  </si>
  <si>
    <t xml:space="preserve">Earnings Before Depr, Int &amp; Taxes (EBDIT)</t>
  </si>
  <si>
    <t xml:space="preserve">Less: Book Depreciation Expense</t>
  </si>
  <si>
    <t xml:space="preserve">Earnings Before Int &amp; Taxes (EBIT)</t>
  </si>
  <si>
    <t xml:space="preserve">Less: Interest Expense - Senior Debt</t>
  </si>
  <si>
    <t xml:space="preserve">Less: Interest Expense - Subordinated Debt</t>
  </si>
  <si>
    <t xml:space="preserve">Less: IDC To Be Expensed</t>
  </si>
  <si>
    <t xml:space="preserve">Earnings Before Taxes (EBT)</t>
  </si>
  <si>
    <t xml:space="preserve">Less: Book Provision For Income Taxes</t>
  </si>
  <si>
    <t xml:space="preserve">PROJECT BOOK INCOME</t>
  </si>
  <si>
    <t xml:space="preserve">Plus: Book Depreciation</t>
  </si>
  <si>
    <t xml:space="preserve">Plus: Sale Of VAT (Net Of Losses)</t>
  </si>
  <si>
    <t xml:space="preserve">Plus: Loss Due To Sale Of VAT Certificates</t>
  </si>
  <si>
    <t xml:space="preserve">Plus: IDC To Be Expensed</t>
  </si>
  <si>
    <t xml:space="preserve">Plus: Book Provision For Income Taxes</t>
  </si>
  <si>
    <t xml:space="preserve">Less: Cash Taxes</t>
  </si>
  <si>
    <t xml:space="preserve">Less: Principal Payments - Senior Debt</t>
  </si>
  <si>
    <t xml:space="preserve">NET A-T CASH FLOW BEFORE SUBORDINATED DEBT REPAYMENT</t>
  </si>
  <si>
    <t xml:space="preserve">Less: Principal Payments - Subordinated Debt</t>
  </si>
  <si>
    <t xml:space="preserve">NET A-T CASH FLOW BEFORE TRAPPED CASH</t>
  </si>
  <si>
    <t xml:space="preserve">Trapped Cash Loaned To Partners</t>
  </si>
  <si>
    <t xml:space="preserve">Recovery Of Prior Year Trapped Cash Loans</t>
  </si>
  <si>
    <t xml:space="preserve">NET A-T CASH FLOW DISTRIBUTED</t>
  </si>
  <si>
    <t xml:space="preserve">RAROC</t>
  </si>
  <si>
    <t xml:space="preserve">Cash Flow Date</t>
  </si>
  <si>
    <t xml:space="preserve">Valutation Date</t>
  </si>
  <si>
    <t xml:space="preserve">Equity Outflows</t>
  </si>
  <si>
    <t xml:space="preserve">Fees</t>
  </si>
  <si>
    <t xml:space="preserve">Ongoing Cash Flows</t>
  </si>
  <si>
    <t xml:space="preserve">Total Cash Flows</t>
  </si>
  <si>
    <t xml:space="preserve">Valuation Date</t>
  </si>
  <si>
    <t xml:space="preserve">Enron's Stake</t>
  </si>
  <si>
    <t xml:space="preserve">Cuiaba Start Date</t>
  </si>
  <si>
    <t xml:space="preserve">Volume Shift</t>
  </si>
  <si>
    <t xml:space="preserve">Capital Price</t>
  </si>
  <si>
    <t xml:space="preserve">Shell's Stake</t>
  </si>
  <si>
    <t xml:space="preserve">Cuiaba III Start Date</t>
  </si>
  <si>
    <t xml:space="preserve">Transredes Stake</t>
  </si>
  <si>
    <t xml:space="preserve">Interest Rate on Loan</t>
  </si>
  <si>
    <t xml:space="preserve">Table Plug</t>
  </si>
  <si>
    <t xml:space="preserve">Construction overrun</t>
  </si>
  <si>
    <t xml:space="preserve">EBDIT NPV</t>
  </si>
  <si>
    <t xml:space="preserve">Balance sheet Test</t>
  </si>
  <si>
    <t xml:space="preserve">Sensitivities (Graphs to the right)</t>
  </si>
  <si>
    <t xml:space="preserve">Cuiaba Phase II Start Date</t>
  </si>
  <si>
    <t xml:space="preserve">ENE NPV14</t>
  </si>
  <si>
    <t xml:space="preserve">EBDIT NPV14</t>
  </si>
  <si>
    <t xml:space="preserve">Cuiaba Phase III Start Date</t>
  </si>
  <si>
    <t xml:space="preserve">Construction Overrun</t>
  </si>
  <si>
    <t xml:space="preserve">Comp Analysis</t>
  </si>
  <si>
    <t xml:space="preserve">TGS</t>
  </si>
  <si>
    <t xml:space="preserve">Northern Border</t>
  </si>
  <si>
    <t xml:space="preserve">Buckeye</t>
  </si>
  <si>
    <t xml:space="preserve">Lakehead</t>
  </si>
  <si>
    <t xml:space="preserve">GasBol</t>
  </si>
  <si>
    <t xml:space="preserve">1999A</t>
  </si>
  <si>
    <t xml:space="preserve">1999E</t>
  </si>
  <si>
    <t xml:space="preserve"> Average</t>
  </si>
  <si>
    <t xml:space="preserve">EBITDA Margin</t>
  </si>
  <si>
    <t xml:space="preserve">Net Margin</t>
  </si>
  <si>
    <t xml:space="preserve">Operating CF / Income</t>
  </si>
  <si>
    <t xml:space="preserve">ROE</t>
  </si>
  <si>
    <t xml:space="preserve">ROA</t>
  </si>
  <si>
    <t xml:space="preserve">Asset Turnover</t>
  </si>
  <si>
    <t xml:space="preserve">Net Fixed Asset Turnover</t>
  </si>
  <si>
    <t xml:space="preserve">Interest Coverage</t>
  </si>
  <si>
    <t xml:space="preserve">GASBOL COMMONSIZE</t>
  </si>
  <si>
    <t xml:space="preserve">BALANCE SHEET</t>
  </si>
  <si>
    <t xml:space="preserve">Assets</t>
  </si>
  <si>
    <t xml:space="preserve">Cash &amp; Cash Equivalents</t>
  </si>
  <si>
    <t xml:space="preserve">Accounts Receivable - VAT To Be Sold</t>
  </si>
  <si>
    <t xml:space="preserve">Inventory - Linefill</t>
  </si>
  <si>
    <t xml:space="preserve">Notes Receivable - Trapped Cash Loans</t>
  </si>
  <si>
    <t xml:space="preserve">Property, Plant &amp; Equipment</t>
  </si>
  <si>
    <t xml:space="preserve">Deferred Tax Asset</t>
  </si>
  <si>
    <t xml:space="preserve">Total Assets</t>
  </si>
  <si>
    <t xml:space="preserve">Liabilities</t>
  </si>
  <si>
    <t xml:space="preserve">Deferred Tax Liability</t>
  </si>
  <si>
    <t xml:space="preserve">Bridge Loan</t>
  </si>
  <si>
    <t xml:space="preserve">Total Liabilities</t>
  </si>
  <si>
    <t xml:space="preserve">Stockholder's Equity</t>
  </si>
  <si>
    <t xml:space="preserve">Capital Stock</t>
  </si>
  <si>
    <t xml:space="preserve">Net Income</t>
  </si>
  <si>
    <t xml:space="preserve">Dividends</t>
  </si>
  <si>
    <t xml:space="preserve">Total Stockholder's Equity</t>
  </si>
  <si>
    <t xml:space="preserve">Total Liabilities &amp; Stockholder's Equity</t>
  </si>
  <si>
    <t xml:space="preserve">Balance Check:</t>
  </si>
  <si>
    <t xml:space="preserve">INCOME STATEMENT</t>
  </si>
  <si>
    <t xml:space="preserve">Sales Revenues</t>
  </si>
  <si>
    <t xml:space="preserve">Operations &amp; Maintenance</t>
  </si>
  <si>
    <t xml:space="preserve">Interest Expense - Senior Debt</t>
  </si>
  <si>
    <t xml:space="preserve">Interest Expense - Subordinated Debt</t>
  </si>
  <si>
    <t xml:space="preserve">Other Income / (Expenses)</t>
  </si>
  <si>
    <t xml:space="preserve">EBT Margin</t>
  </si>
  <si>
    <t xml:space="preserve">Less: Provision For Income Taxes (Income &amp; Surtax)</t>
  </si>
  <si>
    <t xml:space="preserve">RATIO ANALYSIS</t>
  </si>
  <si>
    <t xml:space="preserve">Avg</t>
  </si>
  <si>
    <t xml:space="preserve">Return on Invested Capital</t>
  </si>
  <si>
    <t xml:space="preserve">Profitability</t>
  </si>
  <si>
    <t xml:space="preserve">Operating Profit Margin</t>
  </si>
  <si>
    <t xml:space="preserve">Net Profit Margin</t>
  </si>
  <si>
    <t xml:space="preserve">Operating CF to Income</t>
  </si>
  <si>
    <t xml:space="preserve">Asset Utilization</t>
  </si>
  <si>
    <t xml:space="preserve">Cash Turnover</t>
  </si>
  <si>
    <t xml:space="preserve">n/m</t>
  </si>
  <si>
    <t xml:space="preserve">Liquidity</t>
  </si>
  <si>
    <t xml:space="preserve">Current Ratio</t>
  </si>
  <si>
    <t xml:space="preserve">Quick Ratio</t>
  </si>
  <si>
    <t xml:space="preserve">Interest Coverage (EBIT/Interest)</t>
  </si>
  <si>
    <t xml:space="preserve">n/a</t>
  </si>
  <si>
    <t xml:space="preserve">Debt Service Coverage (EBITDA/Debt Service)</t>
  </si>
  <si>
    <t xml:space="preserve">FINANCIAL STATEMENTS ($000)</t>
  </si>
  <si>
    <t xml:space="preserve">Opening</t>
  </si>
  <si>
    <t xml:space="preserve">"BS_Table"</t>
  </si>
  <si>
    <t xml:space="preserve">Balance</t>
  </si>
  <si>
    <t xml:space="preserve">Cost (Less Sale Of VAT)</t>
  </si>
  <si>
    <t xml:space="preserve">Less: Accumulated Depreciation</t>
  </si>
  <si>
    <t xml:space="preserve">Property, Plant &amp; Equipment (Net)</t>
  </si>
  <si>
    <t xml:space="preserve">Earnings Before Depr, Int, &amp; Taxes (EBDIT)</t>
  </si>
  <si>
    <t xml:space="preserve">IDC To Be Expensed</t>
  </si>
  <si>
    <t xml:space="preserve">Total Depreciation &amp; Interest</t>
  </si>
  <si>
    <t xml:space="preserve">Income Before Income Taxes</t>
  </si>
  <si>
    <t xml:space="preserve">STATEMENT OF CASH FLOWS</t>
  </si>
  <si>
    <t xml:space="preserve">Cash Flows From Operating Activities</t>
  </si>
  <si>
    <t xml:space="preserve">Cash Received From Customers</t>
  </si>
  <si>
    <t xml:space="preserve">Cash Paid To Suppliers &amp; Employees</t>
  </si>
  <si>
    <t xml:space="preserve">VAT Recoverable On Project Costs</t>
  </si>
  <si>
    <t xml:space="preserve">Sale Of VAT (Construction)</t>
  </si>
  <si>
    <t xml:space="preserve">Payment From TBS (Gas Expansion Option)</t>
  </si>
  <si>
    <t xml:space="preserve">NGO Settlement Payments</t>
  </si>
  <si>
    <t xml:space="preserve">Income Taxes Paid</t>
  </si>
  <si>
    <t xml:space="preserve">Net Cash Provided By Operating Activities</t>
  </si>
  <si>
    <t xml:space="preserve">Cash Flows From Financing Activities</t>
  </si>
  <si>
    <t xml:space="preserve">Capital Contributions</t>
  </si>
  <si>
    <t xml:space="preserve">Bridge Loan - Proceeds</t>
  </si>
  <si>
    <t xml:space="preserve">Bridge Loan - Repayment</t>
  </si>
  <si>
    <t xml:space="preserve">Senior Debt - Proceeds</t>
  </si>
  <si>
    <t xml:space="preserve">Senior Debt - Principal Repayment</t>
  </si>
  <si>
    <t xml:space="preserve">Subordinated Debt - Proceeds</t>
  </si>
  <si>
    <t xml:space="preserve">Subordinated Debt - Principal Repayment</t>
  </si>
  <si>
    <t xml:space="preserve">Construction In Progress</t>
  </si>
  <si>
    <t xml:space="preserve">Purchase Of Initial Line Fill</t>
  </si>
  <si>
    <t xml:space="preserve">Shareholder Loans</t>
  </si>
  <si>
    <t xml:space="preserve">Shareholder Loan Repayment - Trapped Cash</t>
  </si>
  <si>
    <t xml:space="preserve">Interest Income - Loans To Shareholders</t>
  </si>
  <si>
    <t xml:space="preserve">Interest Paid - Senior Debt</t>
  </si>
  <si>
    <t xml:space="preserve">Interest Paid - Subordinated Debt</t>
  </si>
  <si>
    <t xml:space="preserve">OPIC Agency Fee</t>
  </si>
  <si>
    <t xml:space="preserve">L/C Fee - Debt Service</t>
  </si>
  <si>
    <t xml:space="preserve">Dividends Paid</t>
  </si>
  <si>
    <t xml:space="preserve">Net Cash Provided By Financing Activities</t>
  </si>
  <si>
    <t xml:space="preserve">Net Increase In Cash &amp; Cash Equivalents</t>
  </si>
  <si>
    <t xml:space="preserve">Cash &amp; Cash Equivalents (BOY)</t>
  </si>
  <si>
    <t xml:space="preserve">Cash &amp; Cash Equivalents (EOY)</t>
  </si>
  <si>
    <t xml:space="preserve">PROJECT &amp; PARTNER RETURNS ($000)</t>
  </si>
  <si>
    <t xml:space="preserve">Recon</t>
  </si>
  <si>
    <t xml:space="preserve">Project Returns</t>
  </si>
  <si>
    <t xml:space="preserve">Equity Injection</t>
  </si>
  <si>
    <t xml:space="preserve">Net A-T Cash Flow After Trapped Cash - Dividends</t>
  </si>
  <si>
    <t xml:space="preserve">Plus: Trapped / (Recovered) Cash</t>
  </si>
  <si>
    <t xml:space="preserve">Plus: Terminal Value</t>
  </si>
  <si>
    <t xml:space="preserve">Total Cash Flow</t>
  </si>
  <si>
    <t xml:space="preserve">20 Year Running NPV</t>
  </si>
  <si>
    <t xml:space="preserve">20 Year Running IRR</t>
  </si>
  <si>
    <t xml:space="preserve">Project IRR (w/o TC)</t>
  </si>
  <si>
    <t xml:space="preserve">Discounted Payback Year</t>
  </si>
  <si>
    <t xml:space="preserve">Enron Returns</t>
  </si>
  <si>
    <t xml:space="preserve">Less: Withholding Tax - Dividends</t>
  </si>
  <si>
    <t xml:space="preserve">Plus: Trapped Cash Loans</t>
  </si>
  <si>
    <t xml:space="preserve">Less: Interest Expense - TC Loans</t>
  </si>
  <si>
    <t xml:space="preserve">Less: Political Risk Insurance</t>
  </si>
  <si>
    <t xml:space="preserve">Plus: Indemnity Fee</t>
  </si>
  <si>
    <t xml:space="preserve">Plus: Development Fee</t>
  </si>
  <si>
    <t xml:space="preserve">Plus: Technical Services Fee</t>
  </si>
  <si>
    <t xml:space="preserve">Enron IRR</t>
  </si>
  <si>
    <t xml:space="preserve">Enron Discounted Payback Year</t>
  </si>
  <si>
    <t xml:space="preserve">Cashflow Before Bridge Loan</t>
  </si>
  <si>
    <t xml:space="preserve">Bridge Loan Amount</t>
  </si>
  <si>
    <t xml:space="preserve">Bridge Loan Repayment</t>
  </si>
  <si>
    <t xml:space="preserve">Plus: Interest Income - Bridge Loan</t>
  </si>
  <si>
    <t xml:space="preserve">Less: WH Tax - Bridge Loan</t>
  </si>
  <si>
    <t xml:space="preserve">Less: Political Risk Insurance - Bridge Loan</t>
  </si>
  <si>
    <t xml:space="preserve">US Tax (Cost) / Benefit (2)'s Above</t>
  </si>
  <si>
    <t xml:space="preserve">Total Cash Flow w/ Bridge Loan</t>
  </si>
  <si>
    <t xml:space="preserve">Enron IRR w/ Bridge Loan</t>
  </si>
  <si>
    <t xml:space="preserve">Enron Discounted Payback Year w/ Bridge Loan</t>
  </si>
  <si>
    <t xml:space="preserve">Cashflow Before Subordinated Debt</t>
  </si>
  <si>
    <t xml:space="preserve">Subordinated Debt Amount</t>
  </si>
  <si>
    <t xml:space="preserve">Subordinated Debt Repayment</t>
  </si>
  <si>
    <t xml:space="preserve">Plus: Interest Income - Subordinated Debt</t>
  </si>
  <si>
    <t xml:space="preserve">Less: WH Tax -Subordinated Debt</t>
  </si>
  <si>
    <t xml:space="preserve">Less: Political Risk Insurance - Subordinated Debt</t>
  </si>
  <si>
    <t xml:space="preserve">Total Cash Flow w/ Subordinated Debt</t>
  </si>
  <si>
    <t xml:space="preserve">Enron IRR w/ Subordinated Debt</t>
  </si>
  <si>
    <t xml:space="preserve">Less: Tax (Cost) / Benefit On (1)'s Above</t>
  </si>
  <si>
    <t xml:space="preserve">Tax (Cost) / Benefit (2)'s Above</t>
  </si>
  <si>
    <t xml:space="preserve">Transredes IRR w/ Bridge Loan</t>
  </si>
  <si>
    <t xml:space="preserve">Less: WH Tax - Subordinated Debt</t>
  </si>
  <si>
    <t xml:space="preserve">Transredes IRR w/ Subordinated Debt</t>
  </si>
  <si>
    <t xml:space="preserve">Income Statement (Local GAAP in US$)</t>
  </si>
  <si>
    <t xml:space="preserve">Actual</t>
  </si>
  <si>
    <t xml:space="preserve">Projected</t>
  </si>
  <si>
    <t xml:space="preserve">2000E</t>
  </si>
  <si>
    <t xml:space="preserve">2001E</t>
  </si>
  <si>
    <t xml:space="preserve">2002E</t>
  </si>
  <si>
    <t xml:space="preserve">2003E</t>
  </si>
  <si>
    <t xml:space="preserve">2004E</t>
  </si>
  <si>
    <t xml:space="preserve">Gross Revenues</t>
  </si>
  <si>
    <t xml:space="preserve">Growth</t>
  </si>
  <si>
    <t xml:space="preserve">COGS</t>
  </si>
  <si>
    <t xml:space="preserve">Gross Margin</t>
  </si>
  <si>
    <t xml:space="preserve">Operating Expenses</t>
  </si>
  <si>
    <t xml:space="preserve">S, G &amp; A</t>
  </si>
  <si>
    <t xml:space="preserve">Other Expenses</t>
  </si>
  <si>
    <t xml:space="preserve">Investment &amp; Other Income</t>
  </si>
  <si>
    <t xml:space="preserve">EBITDA</t>
  </si>
  <si>
    <t xml:space="preserve">Amortization</t>
  </si>
  <si>
    <t xml:space="preserve">EBIT</t>
  </si>
  <si>
    <t xml:space="preserve">3rd Party Interest Expense</t>
  </si>
  <si>
    <t xml:space="preserve">Inter-Company Interest Expense</t>
  </si>
  <si>
    <t xml:space="preserve">Earnings Before Taxes</t>
  </si>
  <si>
    <t xml:space="preserve">Taxes</t>
  </si>
  <si>
    <t xml:space="preserve">Net Income </t>
  </si>
  <si>
    <t xml:space="preserve">US GAAP Income Before Goodwill</t>
  </si>
  <si>
    <t xml:space="preserve">Total Goodwill Outside Operating Company</t>
  </si>
  <si>
    <t xml:space="preserve">Amortization of Goodwill (years)</t>
  </si>
  <si>
    <t xml:space="preserve">Statement of Cash Flows</t>
  </si>
  <si>
    <t xml:space="preserve">Gross Receipts</t>
  </si>
  <si>
    <t xml:space="preserve">Cash Paid to Suppliers and Employees</t>
  </si>
  <si>
    <t xml:space="preserve">Other Operating Activities (Tax etc.)</t>
  </si>
  <si>
    <t xml:space="preserve">(-) Gain/(Loss) from Asset Sales</t>
  </si>
  <si>
    <t xml:space="preserve">(-) Environmental/Severance/Other</t>
  </si>
  <si>
    <t xml:space="preserve">Cash Flow from Operations</t>
  </si>
  <si>
    <t xml:space="preserve">Net Borrowings</t>
  </si>
  <si>
    <t xml:space="preserve">Equity Issued (Redeemed)</t>
  </si>
  <si>
    <t xml:space="preserve">Cash Flow from Financing</t>
  </si>
  <si>
    <t xml:space="preserve">Capital Expenditures</t>
  </si>
  <si>
    <t xml:space="preserve">Net Cash from Asset Sales</t>
  </si>
  <si>
    <t xml:space="preserve">Decommissioning</t>
  </si>
  <si>
    <t xml:space="preserve">Cash Flow from Investing</t>
  </si>
  <si>
    <t xml:space="preserve">Net Change in Cash</t>
  </si>
  <si>
    <t xml:space="preserve">Historical Balance Sheet</t>
  </si>
  <si>
    <t xml:space="preserve">Current Assets</t>
  </si>
  <si>
    <t xml:space="preserve">Accounts Receivable - 3rd Party</t>
  </si>
  <si>
    <t xml:space="preserve">Accounts Receivable - Inter-company</t>
  </si>
  <si>
    <t xml:space="preserve">Other</t>
  </si>
  <si>
    <t xml:space="preserve">Total Current Assets</t>
  </si>
  <si>
    <t xml:space="preserve">Property &amp; Investments</t>
  </si>
  <si>
    <t xml:space="preserve">Net PP&amp;E</t>
  </si>
  <si>
    <t xml:space="preserve">Notes Receivable - 3rd Party</t>
  </si>
  <si>
    <t xml:space="preserve">Notes Receivable - Inter-company</t>
  </si>
  <si>
    <t xml:space="preserve">Other Investments</t>
  </si>
  <si>
    <t xml:space="preserve">Total Property &amp; Investments</t>
  </si>
  <si>
    <t xml:space="preserve">Goodwill</t>
  </si>
  <si>
    <t xml:space="preserve">Current Liabilities</t>
  </si>
  <si>
    <t xml:space="preserve">Accounts Payable - 3rd Party</t>
  </si>
  <si>
    <t xml:space="preserve">Accounts Payable - Inter-company</t>
  </si>
  <si>
    <t xml:space="preserve">Short-term Debt</t>
  </si>
  <si>
    <t xml:space="preserve">Accrued Liabilities/Other</t>
  </si>
  <si>
    <t xml:space="preserve">Total Current Liabilities</t>
  </si>
  <si>
    <t xml:space="preserve">Other Liabilities</t>
  </si>
  <si>
    <t xml:space="preserve">Long-term Debt</t>
  </si>
  <si>
    <t xml:space="preserve">Deferrals</t>
  </si>
  <si>
    <t xml:space="preserve">Total Other Liabilities</t>
  </si>
  <si>
    <t xml:space="preserve">Preferred Stock</t>
  </si>
  <si>
    <t xml:space="preserve">Shareholders Equity</t>
  </si>
  <si>
    <t xml:space="preserve">Total Liabilities &amp; Shareholder's Equity</t>
  </si>
  <si>
    <t xml:space="preserve">ENRON BOOK INCOME ($000)</t>
  </si>
  <si>
    <t xml:space="preserve">Current Year</t>
  </si>
  <si>
    <t xml:space="preserve">Months Of Operation</t>
  </si>
  <si>
    <t xml:space="preserve">Enron Earnings From Project Income</t>
  </si>
  <si>
    <t xml:space="preserve">Project Earnings Before Depr, Int, &amp; Taxes</t>
  </si>
  <si>
    <t xml:space="preserve">Less: US GAAP Depreciation</t>
  </si>
  <si>
    <t xml:space="preserve">Project Book Income Restated To GAAP</t>
  </si>
  <si>
    <t xml:space="preserve">Times: In Counry Tax Rate (Effective Tax Rate)</t>
  </si>
  <si>
    <t xml:space="preserve">Less: In Country Tax Expense</t>
  </si>
  <si>
    <t xml:space="preserve">Project Book Income Restated To US GAAP After Tax</t>
  </si>
  <si>
    <t xml:space="preserve">Times: Enron's Ownership Percentage</t>
  </si>
  <si>
    <t xml:space="preserve">Subtotal - Enron Earnings From Project Income</t>
  </si>
  <si>
    <t xml:space="preserve">Enron Earnings From Other Income / (Expense)</t>
  </si>
  <si>
    <t xml:space="preserve">Less: Political Risk Ins - Enron Equity Expensed Currently</t>
  </si>
  <si>
    <t xml:space="preserve">Less: Political Risk Ins - Enron Equity Capitalized &amp; Amort</t>
  </si>
  <si>
    <t xml:space="preserve">Plus: Indemnity Fee Recognized Currently</t>
  </si>
  <si>
    <t xml:space="preserve">Less: Indemnity Fee Capitalized and Amortized</t>
  </si>
  <si>
    <t xml:space="preserve">Less: Withholding Tax - Indemnity Fee</t>
  </si>
  <si>
    <t xml:space="preserve">Plus: Development Fee Recognized Currently</t>
  </si>
  <si>
    <t xml:space="preserve">Plus: Development Fee Capitalized &amp; Amortized</t>
  </si>
  <si>
    <t xml:space="preserve">Less: Interest Expense On Trapped Cash Loans</t>
  </si>
  <si>
    <t xml:space="preserve">Less: US Tax Cost / (Benefit) On (1)'s Above</t>
  </si>
  <si>
    <t xml:space="preserve">Subtotal - Enron Earnings From Other Income / (Expense)</t>
  </si>
  <si>
    <t xml:space="preserve">Enron Earnings From Bridge Loans</t>
  </si>
  <si>
    <t xml:space="preserve">Less: US Tax (Cost) / Benefit On (2)'s Above</t>
  </si>
  <si>
    <t xml:space="preserve">Subtotal - Enron Earnings From Bridge Loans</t>
  </si>
  <si>
    <t xml:space="preserve">Enron Combined Book Income</t>
  </si>
  <si>
    <t xml:space="preserve">Enron Book Income Prior To Cost Of Funds Charge</t>
  </si>
  <si>
    <t xml:space="preserve">Less: ENE Cost Of Funds Charge - Expensed Currently</t>
  </si>
  <si>
    <t xml:space="preserve">(3)</t>
  </si>
  <si>
    <t xml:space="preserve">Less: ENE Cost Of Funds Charge - Capitalized &amp; Amortized</t>
  </si>
  <si>
    <t xml:space="preserve">Less: US Tax (Cost) / Benefit On (3)'s Above</t>
  </si>
  <si>
    <t xml:space="preserve">Enron Book Income Including Cost Of Funds Charge</t>
  </si>
  <si>
    <t xml:space="preserve">Memo: Cumulative Book Income (Prior To Cost Of Funds Charge)</t>
  </si>
  <si>
    <t xml:space="preserve">Memo: Cumulative Book Income (Including Cost Of Funds Charge)</t>
  </si>
  <si>
    <t xml:space="preserve">w/o COF</t>
  </si>
  <si>
    <t xml:space="preserve">w/ COF</t>
  </si>
  <si>
    <r>
      <rPr>
        <b val="true"/>
        <sz val="10"/>
        <rFont val="Arial"/>
        <family val="2"/>
      </rPr>
      <t xml:space="preserve">Enron Avg Book Income (Years 1-5) </t>
    </r>
    <r>
      <rPr>
        <b val="true"/>
        <i val="true"/>
        <sz val="9"/>
        <rFont val="Arial"/>
        <family val="2"/>
      </rPr>
      <t xml:space="preserve">- Comm Ops</t>
    </r>
  </si>
  <si>
    <r>
      <rPr>
        <b val="true"/>
        <sz val="10"/>
        <rFont val="Arial"/>
        <family val="2"/>
      </rPr>
      <t xml:space="preserve">Enron Avg Book Income (Project Life) </t>
    </r>
    <r>
      <rPr>
        <b val="true"/>
        <i val="true"/>
        <sz val="9"/>
        <rFont val="Arial"/>
        <family val="2"/>
      </rPr>
      <t xml:space="preserve">- Comm Ops</t>
    </r>
  </si>
  <si>
    <t xml:space="preserve">Enron Equity Payback Year On Book Income</t>
  </si>
  <si>
    <t xml:space="preserve">ENE Cost Of Funds Charge Calculation (COF)</t>
  </si>
  <si>
    <t xml:space="preserve">Cumulative Equity Used</t>
  </si>
  <si>
    <t xml:space="preserve">Less: Cumulative A-T Cashflow</t>
  </si>
  <si>
    <t xml:space="preserve">Outstanding Equity Subject To Cost Of Funds Charge</t>
  </si>
  <si>
    <t xml:space="preserve">Times: Enron Cost Of Funds Rate</t>
  </si>
  <si>
    <t xml:space="preserve">ENE Cost Of Funds Charge / (Benefit)</t>
  </si>
  <si>
    <t xml:space="preserve">Memo: Cumulative ENE Cost Of Funds Charge / (Benefit)</t>
  </si>
  <si>
    <t xml:space="preserve">POLITICAL RISK CALCULATION ($000)</t>
  </si>
  <si>
    <t xml:space="preserve">Beginning Balance</t>
  </si>
  <si>
    <t xml:space="preserve">Current Year Capital Stock Issued</t>
  </si>
  <si>
    <t xml:space="preserve">Current Year Earnings</t>
  </si>
  <si>
    <t xml:space="preserve">Current Year Dividends</t>
  </si>
  <si>
    <t xml:space="preserve">Ending Balance</t>
  </si>
  <si>
    <t xml:space="preserve">Political Risk Calculation - Equity @ Risk</t>
  </si>
  <si>
    <t xml:space="preserve">Total Stockholder's Equity Balance (BOY)</t>
  </si>
  <si>
    <t xml:space="preserve">Times: Enron's Ownership %</t>
  </si>
  <si>
    <t xml:space="preserve">Enron's Equity Balance (BOY)</t>
  </si>
  <si>
    <t xml:space="preserve">a</t>
  </si>
  <si>
    <t xml:space="preserve">Total Stockholder's Equity Balance (EOY)</t>
  </si>
  <si>
    <t xml:space="preserve">Enron's Equity Balance (EOY)</t>
  </si>
  <si>
    <t xml:space="preserve">b</t>
  </si>
  <si>
    <t xml:space="preserve">Max Of (a &amp; b) &gt; 0</t>
  </si>
  <si>
    <t xml:space="preserve">c</t>
  </si>
  <si>
    <t xml:space="preserve">Min Of (a &amp; b) &gt; 0</t>
  </si>
  <si>
    <t xml:space="preserve">d</t>
  </si>
  <si>
    <r>
      <rPr>
        <sz val="10"/>
        <rFont val="Arial"/>
        <family val="2"/>
      </rPr>
      <t xml:space="preserve">Enron @ Risk Equity </t>
    </r>
    <r>
      <rPr>
        <i val="true"/>
        <sz val="9"/>
        <rFont val="Arial"/>
        <family val="2"/>
      </rPr>
      <t xml:space="preserve">[ (c x 2) + d ] / 3</t>
    </r>
  </si>
  <si>
    <t xml:space="preserve">Political Risk Rate</t>
  </si>
  <si>
    <r>
      <rPr>
        <sz val="10"/>
        <rFont val="Arial"/>
        <family val="2"/>
      </rPr>
      <t xml:space="preserve">Political Risk Insurance - Enron's @Risk Equity </t>
    </r>
    <r>
      <rPr>
        <i val="true"/>
        <sz val="9"/>
        <rFont val="Arial"/>
        <family val="2"/>
      </rPr>
      <t xml:space="preserve">(Cash Payment)</t>
    </r>
  </si>
  <si>
    <t xml:space="preserve">Political Risk Calculation - Bridge Loan</t>
  </si>
  <si>
    <t xml:space="preserve">Enron Bridge Loan Balance (BOY)</t>
  </si>
  <si>
    <t xml:space="preserve">Enron Bridge Loan Balance (EOY)</t>
  </si>
  <si>
    <r>
      <rPr>
        <sz val="10"/>
        <rFont val="Arial"/>
        <family val="2"/>
      </rPr>
      <t xml:space="preserve">Political Risk Insurance - Enron Bridge Loan </t>
    </r>
    <r>
      <rPr>
        <i val="true"/>
        <sz val="9"/>
        <rFont val="Arial"/>
        <family val="2"/>
      </rPr>
      <t xml:space="preserve">(Cash Payment)</t>
    </r>
  </si>
  <si>
    <t xml:space="preserve">Political Risk Calculation - Subordinated Debt</t>
  </si>
  <si>
    <t xml:space="preserve">Enron Subordinated Debt Balance (BOY)</t>
  </si>
  <si>
    <t xml:space="preserve">Enron Subordinated Debt Balance (EOY)</t>
  </si>
  <si>
    <r>
      <rPr>
        <sz val="10"/>
        <rFont val="Arial"/>
        <family val="2"/>
      </rPr>
      <t xml:space="preserve">Political Risk Insurance - Subordinated Debt </t>
    </r>
    <r>
      <rPr>
        <i val="true"/>
        <sz val="9"/>
        <rFont val="Arial"/>
        <family val="2"/>
      </rPr>
      <t xml:space="preserve">(Cash Payment)</t>
    </r>
  </si>
  <si>
    <t xml:space="preserve">Debt Service Coverage Ratio Calculation</t>
  </si>
  <si>
    <t xml:space="preserve">Current Year Debt Service</t>
  </si>
  <si>
    <t xml:space="preserve">Pre-Tax Debt Coverage Ratio</t>
  </si>
  <si>
    <t xml:space="preserve">(EBDIT / Current Year Debt Service)</t>
  </si>
  <si>
    <t xml:space="preserve">Earnings Before Depr, Int &amp; Taxes (EBDIT) - Less Cash Taxes</t>
  </si>
  <si>
    <t xml:space="preserve">After-Tax Debt Coverage Ratio</t>
  </si>
  <si>
    <t xml:space="preserve">(EBDIT-AT / Current Year Debt Service)</t>
  </si>
  <si>
    <t xml:space="preserve">TRAPPED CASH, PARTNER LOANS, CAPITAL BUDGET ($000)</t>
  </si>
  <si>
    <t xml:space="preserve">Retained Earnings</t>
  </si>
  <si>
    <t xml:space="preserve">Plus: Current Year Earnings</t>
  </si>
  <si>
    <t xml:space="preserve">Less: Legal Reserve</t>
  </si>
  <si>
    <t xml:space="preserve">Subtotal Available For Dividends</t>
  </si>
  <si>
    <t xml:space="preserve">Less: Current Year Dividends</t>
  </si>
  <si>
    <t xml:space="preserve">Cash (Excluding Working Capital)</t>
  </si>
  <si>
    <t xml:space="preserve">Plus: Prior Year Partner Loans Repayment</t>
  </si>
  <si>
    <t xml:space="preserve">Plus: Current Year Cashflow</t>
  </si>
  <si>
    <t xml:space="preserve">Subtotal Cashflow Available For Distribution</t>
  </si>
  <si>
    <t xml:space="preserve">Less: Current Year Capital Reductions</t>
  </si>
  <si>
    <t xml:space="preserve">Less: Current Year Partner Loans</t>
  </si>
  <si>
    <t xml:space="preserve">Beginning Trapped Cash</t>
  </si>
  <si>
    <t xml:space="preserve">Current Year Trapped Cash</t>
  </si>
  <si>
    <t xml:space="preserve">Relief Of Prior Years Trapped Cash</t>
  </si>
  <si>
    <t xml:space="preserve">Ending Trapped Cash</t>
  </si>
  <si>
    <t xml:space="preserve">Partner / Shareholder Loans</t>
  </si>
  <si>
    <t xml:space="preserve">Plus: Prior Year Trapped Cash - Loaned To Partners</t>
  </si>
  <si>
    <t xml:space="preserve">Less: Loan Repayment</t>
  </si>
  <si>
    <t xml:space="preserve">Interest Income - Partner / Shareholder Loans</t>
  </si>
  <si>
    <t xml:space="preserve">Interest Expense - Partner / Shareholder Loans</t>
  </si>
  <si>
    <t xml:space="preserve">Capital Budget Expenses</t>
  </si>
  <si>
    <t xml:space="preserve">Unescalated Capital Budget Expenses</t>
  </si>
  <si>
    <t xml:space="preserve">Net Income Per Books</t>
  </si>
  <si>
    <t xml:space="preserve">Potential Legal Reserve Requirement</t>
  </si>
  <si>
    <t xml:space="preserve">Actual Legal Reserve Requirement</t>
  </si>
  <si>
    <t xml:space="preserve">Distribution Of Reserves</t>
  </si>
  <si>
    <t xml:space="preserve">Reserve For Equipment Rental (Reserve During Term Of Debt Only)</t>
  </si>
  <si>
    <t xml:space="preserve">Base Equipment Rental Costs - Unescalated</t>
  </si>
  <si>
    <t xml:space="preserve">Additional Equipment Rental Costs - Unescalated</t>
  </si>
  <si>
    <t xml:space="preserve">Total Equipment Rental Costs - Unescalated</t>
  </si>
  <si>
    <t xml:space="preserve">Escalation Factor</t>
  </si>
  <si>
    <t xml:space="preserve">Total Equipment Rental Costs - Escalated</t>
  </si>
  <si>
    <t xml:space="preserve">Expense Accrual Account</t>
  </si>
  <si>
    <t xml:space="preserve">Accrual To Cash Adjustment</t>
  </si>
  <si>
    <t xml:space="preserve">Equipment Reserve Account</t>
  </si>
  <si>
    <t xml:space="preserve">Plus: Expense Accrual</t>
  </si>
  <si>
    <t xml:space="preserve">Less: Cash Expense</t>
  </si>
  <si>
    <t xml:space="preserve">"VAT_Table"</t>
  </si>
  <si>
    <t xml:space="preserve">VAT Reimbursement Calculation</t>
  </si>
  <si>
    <t xml:space="preserve">Implied VAT On Revenues</t>
  </si>
  <si>
    <t xml:space="preserve">Fixed Transportation Capacity </t>
  </si>
  <si>
    <t xml:space="preserve">Times: VAT Rate</t>
  </si>
  <si>
    <t xml:space="preserve">Total Implied VAT</t>
  </si>
  <si>
    <t xml:space="preserve">VAT Incurred (Construction)</t>
  </si>
  <si>
    <t xml:space="preserve">VAT Imputed On Construction</t>
  </si>
  <si>
    <t xml:space="preserve">VAT On Services</t>
  </si>
  <si>
    <t xml:space="preserve">VAT On Materials</t>
  </si>
  <si>
    <t xml:space="preserve">Total VAT On Construction</t>
  </si>
  <si>
    <t xml:space="preserve">VAT Beginning Balance</t>
  </si>
  <si>
    <t xml:space="preserve">Plus: Current Year VAT Incurred</t>
  </si>
  <si>
    <t xml:space="preserve">VAT Recovered Through Certificate Sales</t>
  </si>
  <si>
    <t xml:space="preserve">VAT Remitted To Gov't For Certificates</t>
  </si>
  <si>
    <t xml:space="preserve">Less: Calculated Loss On Sale</t>
  </si>
  <si>
    <t xml:space="preserve">Amount Of VAT To Be Recovered</t>
  </si>
  <si>
    <t xml:space="preserve">TURNKEY COMPONENTS &amp; CONSTRUCTION TAXES ($000)</t>
  </si>
  <si>
    <t xml:space="preserve">TURNKEY COMPONENTS</t>
  </si>
  <si>
    <t xml:space="preserve">CONSTRUCTION TAXES</t>
  </si>
  <si>
    <t xml:space="preserve">Turnkey</t>
  </si>
  <si>
    <t xml:space="preserve">Orig - Taxes</t>
  </si>
  <si>
    <t xml:space="preserve">New Taxes</t>
  </si>
  <si>
    <t xml:space="preserve">Tax Rate</t>
  </si>
  <si>
    <t xml:space="preserve">% Onshore</t>
  </si>
  <si>
    <t xml:space="preserve">Tax Basis</t>
  </si>
  <si>
    <t xml:space="preserve">Tax Amount</t>
  </si>
  <si>
    <t xml:space="preserve">Engineering</t>
  </si>
  <si>
    <r>
      <rPr>
        <sz val="10"/>
        <rFont val="Arial"/>
        <family val="2"/>
      </rPr>
      <t xml:space="preserve">Construction </t>
    </r>
    <r>
      <rPr>
        <i val="true"/>
        <sz val="9"/>
        <rFont val="Arial"/>
        <family val="2"/>
      </rPr>
      <t xml:space="preserve">(Included In Contract)</t>
    </r>
  </si>
  <si>
    <t xml:space="preserve">SCADA</t>
  </si>
  <si>
    <t xml:space="preserve">Pre-NTP Engineering</t>
  </si>
  <si>
    <t xml:space="preserve">Pipeline Materials</t>
  </si>
  <si>
    <t xml:space="preserve">Project Management </t>
  </si>
  <si>
    <t xml:space="preserve">Non-Pipe Materials</t>
  </si>
  <si>
    <t xml:space="preserve">Construction Management</t>
  </si>
  <si>
    <t xml:space="preserve">Construction</t>
  </si>
  <si>
    <t xml:space="preserve">Warranty Management</t>
  </si>
  <si>
    <t xml:space="preserve">Total VAT On Services</t>
  </si>
  <si>
    <t xml:space="preserve">VAT Taxes On Materials</t>
  </si>
  <si>
    <t xml:space="preserve">Pipe Only</t>
  </si>
  <si>
    <t xml:space="preserve">Indemnity Fee</t>
  </si>
  <si>
    <t xml:space="preserve">Non-Pipe Material</t>
  </si>
  <si>
    <t xml:space="preserve">   Subtotal Before Taxes</t>
  </si>
  <si>
    <r>
      <rPr>
        <sz val="10"/>
        <rFont val="Arial"/>
        <family val="2"/>
      </rPr>
      <t xml:space="preserve">Customs / Duties </t>
    </r>
    <r>
      <rPr>
        <i val="true"/>
        <sz val="9"/>
        <rFont val="Arial"/>
        <family val="2"/>
      </rPr>
      <t xml:space="preserve">(See Below)</t>
    </r>
  </si>
  <si>
    <t xml:space="preserve">Construction Taxes</t>
  </si>
  <si>
    <t xml:space="preserve">Total VAT On Materials</t>
  </si>
  <si>
    <t xml:space="preserve">Total Turnkey Amount</t>
  </si>
  <si>
    <t xml:space="preserve">Customs / Duties</t>
  </si>
  <si>
    <t xml:space="preserve">Approved Change Orders (04/04/2000 Monthly Progress Report)</t>
  </si>
  <si>
    <t xml:space="preserve">GAC</t>
  </si>
  <si>
    <t xml:space="preserve">P.C.O. - 001 Survey / Engr For Addit'l Length</t>
  </si>
  <si>
    <t xml:space="preserve">P.C.O. - 002 Survey / Engr For Reduced Length</t>
  </si>
  <si>
    <t xml:space="preserve">Subtotal</t>
  </si>
  <si>
    <t xml:space="preserve">P.C.O. - 003 Pipe Laydown And Storage Yard</t>
  </si>
  <si>
    <t xml:space="preserve">P.C.O. - 004 Reroute Near San Matias</t>
  </si>
  <si>
    <t xml:space="preserve">P.C.O. - 005 Reroute Near Indig. Peoples</t>
  </si>
  <si>
    <t xml:space="preserve">P.C.O. - 006 Eliminate Compressor Station</t>
  </si>
  <si>
    <t xml:space="preserve">P.C.O. - 007 Hydraulic Calcs For Pipeline Volumes</t>
  </si>
  <si>
    <t xml:space="preserve">P.C.O. - 008 Provide Master File Copies</t>
  </si>
  <si>
    <t xml:space="preserve">P.C.O. - 009 Produce Maps And Drawings</t>
  </si>
  <si>
    <t xml:space="preserve">P.C.O. - 010 Produce Master File Of ROW</t>
  </si>
  <si>
    <t xml:space="preserve">P.C.O. - 011 Meeting - La Paz 10/27/98</t>
  </si>
  <si>
    <t xml:space="preserve">P.C.O. - 012 Meeting - La Paz 9/10/98</t>
  </si>
  <si>
    <t xml:space="preserve">P.C.O. - 013 Meeting - La Paz 6/16/99</t>
  </si>
  <si>
    <t xml:space="preserve">P.C.O. - 014 Prepare Master File For Transredes</t>
  </si>
  <si>
    <t xml:space="preserve">P.C.O. - 015 Relocation Of Compressor Station From Protected Area</t>
  </si>
  <si>
    <t xml:space="preserve">Total Customs / Duties</t>
  </si>
  <si>
    <t xml:space="preserve">P.C.O. - 017 Extended Overheads</t>
  </si>
  <si>
    <t xml:space="preserve">P.C.O. - 018 Additional Inspection Staff</t>
  </si>
  <si>
    <t xml:space="preserve">Total Construction Taxes</t>
  </si>
  <si>
    <t xml:space="preserve">P.C.O. - 019 Contractor Standby Expenses</t>
  </si>
  <si>
    <t xml:space="preserve">P.C.O. - 020 Pipeline Acceleration Expenses</t>
  </si>
  <si>
    <t xml:space="preserve">P.C.O. - 022 IPE Reroute Survey</t>
  </si>
  <si>
    <t xml:space="preserve">P.C.O. - 023 Helicopter For Environmental Survey</t>
  </si>
  <si>
    <t xml:space="preserve">P.C.O. - 024 SCC Overheads (Restated Agreement)</t>
  </si>
  <si>
    <t xml:space="preserve">P.C.O. - 059 Credit Owner For Camp Accomodations</t>
  </si>
  <si>
    <t xml:space="preserve">Total Approved Change Orders</t>
  </si>
  <si>
    <t xml:space="preserve">Total Amount</t>
  </si>
  <si>
    <t xml:space="preserve">GasBol %</t>
  </si>
  <si>
    <t xml:space="preserve">Allocated $</t>
  </si>
  <si>
    <t xml:space="preserve">Total Pending Change Orders</t>
  </si>
  <si>
    <t xml:space="preserve">Other Change Orders </t>
  </si>
  <si>
    <t xml:space="preserve">Lump Sum Settlement Of Change Orders</t>
  </si>
  <si>
    <t xml:space="preserve">Forecasted Settlement Of Change Orders</t>
  </si>
  <si>
    <t xml:space="preserve">Total Other Change Orders</t>
  </si>
  <si>
    <t xml:space="preserve">base  total change orders=&gt;</t>
  </si>
  <si>
    <t xml:space="preserve">DRAWDOWN SCHEDULE ($000)</t>
  </si>
  <si>
    <t xml:space="preserve">Current Month</t>
  </si>
  <si>
    <t xml:space="preserve">"Draw_Table"</t>
  </si>
  <si>
    <t xml:space="preserve">Calendar Month</t>
  </si>
  <si>
    <t xml:space="preserve">Loopfactor</t>
  </si>
  <si>
    <t xml:space="preserve">   Total Commitment Fee Drawdown</t>
  </si>
  <si>
    <t xml:space="preserve">   Total Drawdown Before IDC</t>
  </si>
  <si>
    <t xml:space="preserve">"Draw_Table2"</t>
  </si>
  <si>
    <t xml:space="preserve">Turnkey Drawdown (Base Per SCC Contract)</t>
  </si>
  <si>
    <t xml:space="preserve">Historic Drawdown - For Comparison Only</t>
  </si>
  <si>
    <t xml:space="preserve">Monthly Drawdown Amount</t>
  </si>
  <si>
    <t xml:space="preserve">Cumulative Drawdown Amount</t>
  </si>
  <si>
    <t xml:space="preserve">Monthly Drawdown %</t>
  </si>
  <si>
    <t xml:space="preserve">Pipeline Materials Schedule</t>
  </si>
  <si>
    <t xml:space="preserve">GasMat</t>
  </si>
  <si>
    <t xml:space="preserve">Cumulative Drawdown Percent</t>
  </si>
  <si>
    <t xml:space="preserve">Total Pipeline Materials</t>
  </si>
  <si>
    <t xml:space="preserve">NTP On Pipeline</t>
  </si>
  <si>
    <t xml:space="preserve">Less: Paid</t>
  </si>
  <si>
    <t xml:space="preserve">Pipeline RFS</t>
  </si>
  <si>
    <t xml:space="preserve">(1=Base Schedule, 2=Accelerated Schedule)</t>
  </si>
  <si>
    <t xml:space="preserve">Through</t>
  </si>
  <si>
    <t xml:space="preserve">Construction Months</t>
  </si>
  <si>
    <t xml:space="preserve">Equal Payments Over</t>
  </si>
  <si>
    <t xml:space="preserve">Months</t>
  </si>
  <si>
    <t xml:space="preserve">Turnkey Drawdown (Accelerated)</t>
  </si>
  <si>
    <t xml:space="preserve">Total Turnkey Payments</t>
  </si>
  <si>
    <t xml:space="preserve">Less: Pipeline Materials</t>
  </si>
  <si>
    <t xml:space="preserve">Remaining Turnkey Balance</t>
  </si>
  <si>
    <t xml:space="preserve">Pipeline In Service Date</t>
  </si>
  <si>
    <t xml:space="preserve"># Of Remaining Turnkey Payments</t>
  </si>
  <si>
    <t xml:space="preserve">AMOUNTS IN US$</t>
  </si>
  <si>
    <t xml:space="preserve">Actuals</t>
  </si>
  <si>
    <t xml:space="preserve">INFORMATION PROVIDED BY ASSET MANAGEMENT</t>
  </si>
  <si>
    <t xml:space="preserve">Funding</t>
  </si>
  <si>
    <t xml:space="preserve">Equity Funding</t>
  </si>
  <si>
    <t xml:space="preserve">Construction Loans</t>
  </si>
  <si>
    <t xml:space="preserve">Interest Income (Cash In Bank)</t>
  </si>
  <si>
    <t xml:space="preserve">OPIC </t>
  </si>
  <si>
    <t xml:space="preserve">KFW</t>
  </si>
  <si>
    <t xml:space="preserve">Total Funding</t>
  </si>
  <si>
    <t xml:space="preserve">Disbursments</t>
  </si>
  <si>
    <t xml:space="preserve">EPC/Superior Onshore Payments</t>
  </si>
  <si>
    <t xml:space="preserve">Offshore Legal</t>
  </si>
  <si>
    <t xml:space="preserve">Imports Purchase</t>
  </si>
  <si>
    <t xml:space="preserve">Insurance</t>
  </si>
  <si>
    <t xml:space="preserve">Land &amp; Right Of Way</t>
  </si>
  <si>
    <t xml:space="preserve">Service Contractors</t>
  </si>
  <si>
    <t xml:space="preserve">Engineering Costs</t>
  </si>
  <si>
    <t xml:space="preserve">Environmental Costs</t>
  </si>
  <si>
    <t xml:space="preserve">IGPD</t>
  </si>
  <si>
    <t xml:space="preserve">Other (includes development and mobilization)</t>
  </si>
  <si>
    <t xml:space="preserve">Total Disbursments</t>
  </si>
  <si>
    <t xml:space="preserve">INTEREST DURING CONSTRUCTION ($000)</t>
  </si>
  <si>
    <t xml:space="preserve">"IDC_Table"</t>
  </si>
  <si>
    <t xml:space="preserve">(Excl IDC &amp; W/H)</t>
  </si>
  <si>
    <t xml:space="preserve">Project Cost</t>
  </si>
  <si>
    <t xml:space="preserve">Bridge Financing Rate</t>
  </si>
  <si>
    <t xml:space="preserve">Permanent Financing Rate</t>
  </si>
  <si>
    <t xml:space="preserve">Construction Balance</t>
  </si>
  <si>
    <t xml:space="preserve">Construction Drawdown</t>
  </si>
  <si>
    <t xml:space="preserve">  Cumulative % Complete (Excl IDC &amp; W/H Tax)</t>
  </si>
  <si>
    <t xml:space="preserve">  All-In Cumulative % Complete</t>
  </si>
  <si>
    <t xml:space="preserve">Shareholder Construction Loan</t>
  </si>
  <si>
    <t xml:space="preserve">Shareholder Loan Repayment</t>
  </si>
  <si>
    <t xml:space="preserve">Plus: Interest During Construction</t>
  </si>
  <si>
    <t xml:space="preserve">Plus: W/H Tax - IDC</t>
  </si>
  <si>
    <t xml:space="preserve">Senior Debt Proceeds</t>
  </si>
  <si>
    <t xml:space="preserve">Subordinated Debt Proceeds</t>
  </si>
  <si>
    <t xml:space="preserve">IDC - Shareholder Construction Loan</t>
  </si>
  <si>
    <t xml:space="preserve">IDC - Senior Debt</t>
  </si>
  <si>
    <t xml:space="preserve">IDC - Subordinated Debt</t>
  </si>
  <si>
    <t xml:space="preserve">Total IDC</t>
  </si>
  <si>
    <t xml:space="preserve">IDC - Cumulative</t>
  </si>
  <si>
    <t xml:space="preserve">W/H Tax - Cumulative</t>
  </si>
  <si>
    <t xml:space="preserve">Monthly IDC To Be Expensed</t>
  </si>
  <si>
    <t xml:space="preserve">Cumulative IDC To Be Expensed</t>
  </si>
  <si>
    <t xml:space="preserve">Equity Balance</t>
  </si>
  <si>
    <t xml:space="preserve">Actual Equity Contribution</t>
  </si>
  <si>
    <t xml:space="preserve">Cumulative Equity Contribution</t>
  </si>
  <si>
    <t xml:space="preserve">Total Interest During Construction</t>
  </si>
  <si>
    <t xml:space="preserve">Total W/H Tax - Interest</t>
  </si>
  <si>
    <t xml:space="preserve">Cumulative Bridge Loan Issuance</t>
  </si>
  <si>
    <t xml:space="preserve">Cumulative Bridge Loan IDC</t>
  </si>
  <si>
    <t xml:space="preserve">Cumulative Bridge Loan W/H Tax - IDC</t>
  </si>
  <si>
    <t xml:space="preserve">Total Cumulative Bridge Loan</t>
  </si>
  <si>
    <t xml:space="preserve">Commitment Fee Calculation</t>
  </si>
  <si>
    <t xml:space="preserve">Beginning Commitment Amount</t>
  </si>
  <si>
    <t xml:space="preserve">Current Period Amount Committed</t>
  </si>
  <si>
    <t xml:space="preserve">Current Period Amount Drawndown</t>
  </si>
  <si>
    <t xml:space="preserve">Ending Commitment Amount</t>
  </si>
  <si>
    <t xml:space="preserve">   Total Commitment Fee</t>
  </si>
  <si>
    <t xml:space="preserve">Total Commitment Fee</t>
  </si>
  <si>
    <t xml:space="preserve">DEBT AMORTIZATION ($000)</t>
  </si>
  <si>
    <t xml:space="preserve">Totals  </t>
  </si>
  <si>
    <t xml:space="preserve">   Interest</t>
  </si>
  <si>
    <t xml:space="preserve">   Principal</t>
  </si>
  <si>
    <t xml:space="preserve">Total Senior Debt</t>
  </si>
  <si>
    <t xml:space="preserve">Cumulative Principal Payments</t>
  </si>
  <si>
    <t xml:space="preserve">   6 Months Of Debt Service</t>
  </si>
  <si>
    <t xml:space="preserve">Total Subordinated Debt</t>
  </si>
  <si>
    <t xml:space="preserve">Fee for Lender's Put Option</t>
  </si>
  <si>
    <t xml:space="preserve">PRINCIPAL</t>
  </si>
  <si>
    <t xml:space="preserve">REPAYMENT</t>
  </si>
  <si>
    <t xml:space="preserve">Term (Years)</t>
  </si>
  <si>
    <t xml:space="preserve"># Of Payments</t>
  </si>
  <si>
    <t xml:space="preserve">Grace Periods</t>
  </si>
  <si>
    <t xml:space="preserve">Payments</t>
  </si>
  <si>
    <t xml:space="preserve">Custom Amortization</t>
  </si>
  <si>
    <t xml:space="preserve">Senior</t>
  </si>
  <si>
    <t xml:space="preserve">Subdebt</t>
  </si>
  <si>
    <t xml:space="preserve">ENRON </t>
  </si>
  <si>
    <t xml:space="preserve">Tranche 1</t>
  </si>
  <si>
    <t xml:space="preserve">Amort</t>
  </si>
  <si>
    <t xml:space="preserve">Tranche 2</t>
  </si>
  <si>
    <t xml:space="preserve">Tranche 3</t>
  </si>
  <si>
    <t xml:space="preserve">Tranche 4</t>
  </si>
  <si>
    <t xml:space="preserve">Tranche 5</t>
  </si>
  <si>
    <t xml:space="preserve">Tranche 6</t>
  </si>
  <si>
    <t xml:space="preserve">Year</t>
  </si>
  <si>
    <t xml:space="preserve">Period</t>
  </si>
  <si>
    <t xml:space="preserve">Begin Bal</t>
  </si>
  <si>
    <t xml:space="preserve">Interest</t>
  </si>
  <si>
    <t xml:space="preserve">Principal</t>
  </si>
  <si>
    <t xml:space="preserve">End Bal</t>
  </si>
  <si>
    <t xml:space="preserve">GUARANTEE FEE</t>
  </si>
  <si>
    <t xml:space="preserve">Percent</t>
  </si>
  <si>
    <t xml:space="preserve">TOTALS</t>
  </si>
  <si>
    <t xml:space="preserve">&lt;=== Offset For "Fin_Table"</t>
  </si>
  <si>
    <t xml:space="preserve">CASH / BOOK TAXES ($000)</t>
  </si>
  <si>
    <t xml:space="preserve">"Tax_Table"</t>
  </si>
  <si>
    <t xml:space="preserve">CASH TAXES</t>
  </si>
  <si>
    <t xml:space="preserve">Taxable Income</t>
  </si>
  <si>
    <t xml:space="preserve">Plus: Maintenance Accrual To Cash Adjustment</t>
  </si>
  <si>
    <t xml:space="preserve">Less: Tax Depreciation</t>
  </si>
  <si>
    <t xml:space="preserve">Less: Interest Expense</t>
  </si>
  <si>
    <t xml:space="preserve">Less: W/H Tax On Interest Expense</t>
  </si>
  <si>
    <t xml:space="preserve">Taxable Income Before NOL Carryforward</t>
  </si>
  <si>
    <r>
      <rPr>
        <sz val="10"/>
        <rFont val="Arial"/>
        <family val="2"/>
      </rPr>
      <t xml:space="preserve">NOL Applied In Current Year </t>
    </r>
    <r>
      <rPr>
        <sz val="9"/>
        <rFont val="Arial"/>
        <family val="2"/>
      </rPr>
      <t xml:space="preserve">(See Below)</t>
    </r>
  </si>
  <si>
    <r>
      <rPr>
        <sz val="10"/>
        <rFont val="Arial"/>
        <family val="2"/>
      </rPr>
      <t xml:space="preserve">Taxable Income </t>
    </r>
    <r>
      <rPr>
        <sz val="9"/>
        <rFont val="Arial"/>
        <family val="2"/>
      </rPr>
      <t xml:space="preserve">(Only If &gt; $0)</t>
    </r>
  </si>
  <si>
    <t xml:space="preserve">Times: Corporate Income Tax Rate</t>
  </si>
  <si>
    <t xml:space="preserve">Net Corporate Income Tax Payable</t>
  </si>
  <si>
    <t xml:space="preserve">NOL Carryforward Calculation</t>
  </si>
  <si>
    <t xml:space="preserve">Beginning NOL Balance</t>
  </si>
  <si>
    <t xml:space="preserve">Prior Year NOL</t>
  </si>
  <si>
    <t xml:space="preserve">Ending NOL Balance</t>
  </si>
  <si>
    <t xml:space="preserve">Effective Corporate Tax Rate</t>
  </si>
  <si>
    <t xml:space="preserve">OPERATING TAXES</t>
  </si>
  <si>
    <t xml:space="preserve">Gross Revenue</t>
  </si>
  <si>
    <t xml:space="preserve">SIRESE Rate</t>
  </si>
  <si>
    <t xml:space="preserve">Total SIRESE Fee</t>
  </si>
  <si>
    <t xml:space="preserve">Transactions Tax (Minimum Tax If &gt; Corporate Tax)</t>
  </si>
  <si>
    <t xml:space="preserve">Transactions Tax  Rate</t>
  </si>
  <si>
    <t xml:space="preserve">Transactions Tax </t>
  </si>
  <si>
    <t xml:space="preserve">Estimated Current Period Transactions Tax</t>
  </si>
  <si>
    <t xml:space="preserve">Prior Year Corporate Income Tax</t>
  </si>
  <si>
    <t xml:space="preserve">Transaction Tax Paid (Amount Over Corporate Tax)</t>
  </si>
  <si>
    <t xml:space="preserve">BOOK TAXES</t>
  </si>
  <si>
    <t xml:space="preserve">Net Operating Loss</t>
  </si>
  <si>
    <t xml:space="preserve">Book  Income After NOL</t>
  </si>
  <si>
    <t xml:space="preserve">Book Provision For Income Tax</t>
  </si>
  <si>
    <t xml:space="preserve">Deferred Tax Asset/Liability</t>
  </si>
  <si>
    <t xml:space="preserve">Beginning Deferred Tax Asset / (Liability)</t>
  </si>
  <si>
    <t xml:space="preserve">Plus: Current Year Cash Taxes</t>
  </si>
  <si>
    <t xml:space="preserve">Less: Current Year Book Taxes</t>
  </si>
  <si>
    <t xml:space="preserve">Ending Deferred Tax Asset / (Liability)</t>
  </si>
  <si>
    <t xml:space="preserve">DEPRECIATION ($000)</t>
  </si>
  <si>
    <t xml:space="preserve">Total Project Cost</t>
  </si>
  <si>
    <t xml:space="preserve">Less: Line Fill</t>
  </si>
  <si>
    <t xml:space="preserve">Less: Imputed VAT On Construction</t>
  </si>
  <si>
    <t xml:space="preserve">Less: VAT On Services</t>
  </si>
  <si>
    <t xml:space="preserve">Less: VAT On Materials</t>
  </si>
  <si>
    <t xml:space="preserve">Less: Working Capital</t>
  </si>
  <si>
    <t xml:space="preserve">Total Depreciable Basis</t>
  </si>
  <si>
    <t xml:space="preserve">Tax Depreciation</t>
  </si>
  <si>
    <t xml:space="preserve">Deprec</t>
  </si>
  <si>
    <t xml:space="preserve">Original</t>
  </si>
  <si>
    <t xml:space="preserve">Current Tax Depreciation:</t>
  </si>
  <si>
    <t xml:space="preserve">Life</t>
  </si>
  <si>
    <t xml:space="preserve">Basis  </t>
  </si>
  <si>
    <t xml:space="preserve">Total Current Tax Depreciation</t>
  </si>
  <si>
    <t xml:space="preserve">Accumulated Tax Depreciation</t>
  </si>
  <si>
    <t xml:space="preserve">Beginning Tax Basis</t>
  </si>
  <si>
    <t xml:space="preserve">Plus: New Additions</t>
  </si>
  <si>
    <t xml:space="preserve">Less: Current Depreciation</t>
  </si>
  <si>
    <t xml:space="preserve">Ending Tax Basis</t>
  </si>
  <si>
    <t xml:space="preserve">Book Depreciation</t>
  </si>
  <si>
    <t xml:space="preserve">Current Book Depreciation:</t>
  </si>
  <si>
    <t xml:space="preserve">Total Current Book Depreciation</t>
  </si>
  <si>
    <t xml:space="preserve">Accumulated Book Depreciation</t>
  </si>
  <si>
    <t xml:space="preserve">Beginning Book Basis</t>
  </si>
  <si>
    <t xml:space="preserve">Ending Book Basis</t>
  </si>
  <si>
    <t xml:space="preserve">GAAP Depreciation</t>
  </si>
  <si>
    <t xml:space="preserve">Current Gaap Depreciation</t>
  </si>
  <si>
    <t xml:space="preserve">Total Current GAAP Depreciation</t>
  </si>
  <si>
    <t xml:space="preserve">Accumulated GAAP Depreciation</t>
  </si>
  <si>
    <t xml:space="preserve">Beginning GAAP Basis</t>
  </si>
  <si>
    <t xml:space="preserve">Ending GAAP Basis</t>
  </si>
  <si>
    <t xml:space="preserve">REFERENCE SHEET - 1</t>
  </si>
  <si>
    <t xml:space="preserve">Person(s)</t>
  </si>
  <si>
    <t xml:space="preserve">Date Of</t>
  </si>
  <si>
    <t xml:space="preserve">Responsible</t>
  </si>
  <si>
    <t xml:space="preserve">Assumption Category</t>
  </si>
  <si>
    <t xml:space="preserve">Assumption Description</t>
  </si>
  <si>
    <t xml:space="preserve">Current Assumption</t>
  </si>
  <si>
    <t xml:space="preserve">Assumption Reference</t>
  </si>
  <si>
    <t xml:space="preserve">Reference</t>
  </si>
  <si>
    <t xml:space="preserve">For Assumption</t>
  </si>
  <si>
    <t xml:space="preserve">Comments</t>
  </si>
  <si>
    <t xml:space="preserve">Project Information Memorandum</t>
  </si>
  <si>
    <t xml:space="preserve">DKB</t>
  </si>
  <si>
    <t xml:space="preserve">Chapter 6 Section 1.1</t>
  </si>
  <si>
    <t xml:space="preserve">Chapter 6 Section 1.0</t>
  </si>
  <si>
    <t xml:space="preserve">GasMat / SCC Contract</t>
  </si>
  <si>
    <t xml:space="preserve">N. Khan</t>
  </si>
  <si>
    <t xml:space="preserve">Table C-2</t>
  </si>
  <si>
    <t xml:space="preserve">L. Powell - NTP Letter</t>
  </si>
  <si>
    <t xml:space="preserve">L. Powell</t>
  </si>
  <si>
    <t xml:space="preserve">N. Khan - Presentation</t>
  </si>
  <si>
    <t xml:space="preserve">SCC Contract Open Issues</t>
  </si>
  <si>
    <t xml:space="preserve">Calculation</t>
  </si>
  <si>
    <t xml:space="preserve">R. Lammers - Verbal</t>
  </si>
  <si>
    <t xml:space="preserve">R. Lammers</t>
  </si>
  <si>
    <t xml:space="preserve">Change to Nov.1999</t>
  </si>
  <si>
    <t xml:space="preserve">Power Purchase Contract</t>
  </si>
  <si>
    <t xml:space="preserve">Evaluation Period Same As EPE</t>
  </si>
  <si>
    <t xml:space="preserve">Years</t>
  </si>
  <si>
    <t xml:space="preserve">TGS-GasBol Contract</t>
  </si>
  <si>
    <t xml:space="preserve">Opening Paragraph</t>
  </si>
  <si>
    <t xml:space="preserve">S. Friedlander - e:mail</t>
  </si>
  <si>
    <t xml:space="preserve">S. Friedlander</t>
  </si>
  <si>
    <t xml:space="preserve">Six Months From Start Of Phase III</t>
  </si>
  <si>
    <t xml:space="preserve">Base Year</t>
  </si>
  <si>
    <t xml:space="preserve">Section 3.1 (1st Amend Side Agreement)</t>
  </si>
  <si>
    <t xml:space="preserve">Escalation On Fixed Capacity Payment</t>
  </si>
  <si>
    <t xml:space="preserve">Section 4.1 (1st Amend Side Agreement)</t>
  </si>
  <si>
    <t xml:space="preserve">Escalate @ CPI</t>
  </si>
  <si>
    <t xml:space="preserve">K. Pierce - Memo</t>
  </si>
  <si>
    <t xml:space="preserve">K. Pierce</t>
  </si>
  <si>
    <t xml:space="preserve">Includes GasBol / Transredes O&amp;M Agrmnt</t>
  </si>
  <si>
    <t xml:space="preserve">D. Vincent - Memo</t>
  </si>
  <si>
    <t xml:space="preserve">D. Vincent</t>
  </si>
  <si>
    <t xml:space="preserve">Premium $351K, Taxes $112K</t>
  </si>
  <si>
    <t xml:space="preserve">J. Bestard - Verbal</t>
  </si>
  <si>
    <t xml:space="preserve">J. Bestard</t>
  </si>
  <si>
    <t xml:space="preserve">GasBol - TGS Transport Contract</t>
  </si>
  <si>
    <t xml:space="preserve">Paragraph 11 (Draft Contract)</t>
  </si>
  <si>
    <t xml:space="preserve">Conversion Of MCM To Kcal</t>
  </si>
  <si>
    <t xml:space="preserve">Kcal / MCM</t>
  </si>
  <si>
    <t xml:space="preserve">Conversion Tables</t>
  </si>
  <si>
    <t xml:space="preserve">Conversion Of  Kcal To MMBTU</t>
  </si>
  <si>
    <t xml:space="preserve">MMBTU / Kcal</t>
  </si>
  <si>
    <t xml:space="preserve">MCM / MMBTU</t>
  </si>
  <si>
    <t xml:space="preserve">Amounts</t>
  </si>
  <si>
    <t xml:space="preserve">R. Lammers / E. Rengade</t>
  </si>
  <si>
    <t xml:space="preserve">Per Settlement Schedule</t>
  </si>
  <si>
    <t xml:space="preserve">REFERENCE SHEET - 2</t>
  </si>
  <si>
    <t xml:space="preserve">Current</t>
  </si>
  <si>
    <t xml:space="preserve">Responsible </t>
  </si>
  <si>
    <t xml:space="preserve">Assumption</t>
  </si>
  <si>
    <t xml:space="preserve">B. Rosen - Memo</t>
  </si>
  <si>
    <t xml:space="preserve">B. Rosen</t>
  </si>
  <si>
    <t xml:space="preserve">Item #1, 2</t>
  </si>
  <si>
    <t xml:space="preserve">Item #4</t>
  </si>
  <si>
    <t xml:space="preserve">Item #6</t>
  </si>
  <si>
    <t xml:space="preserve">Item #10</t>
  </si>
  <si>
    <t xml:space="preserve">Item #30, 31</t>
  </si>
  <si>
    <t xml:space="preserve">Item #30, 33</t>
  </si>
  <si>
    <t xml:space="preserve">Item #30, 34</t>
  </si>
  <si>
    <t xml:space="preserve">Item #13-18</t>
  </si>
  <si>
    <t xml:space="preserve">Item #19-29</t>
  </si>
  <si>
    <t xml:space="preserve">Item #29</t>
  </si>
  <si>
    <t xml:space="preserve">Shareholder Agreement</t>
  </si>
  <si>
    <t xml:space="preserve">Standard Assumption</t>
  </si>
  <si>
    <t xml:space="preserve">Item #15</t>
  </si>
  <si>
    <t xml:space="preserve">% Of Net Income</t>
  </si>
  <si>
    <t xml:space="preserve">Question #8</t>
  </si>
  <si>
    <t xml:space="preserve">Basis</t>
  </si>
  <si>
    <t xml:space="preserve">Term (Yrs)</t>
  </si>
  <si>
    <t xml:space="preserve">Item #11</t>
  </si>
  <si>
    <t xml:space="preserve">Term Of Contract</t>
  </si>
  <si>
    <t xml:space="preserve">Brad Blesie - Verbal</t>
  </si>
  <si>
    <t xml:space="preserve">B. Blesie</t>
  </si>
  <si>
    <t xml:space="preserve">Need Documentation</t>
  </si>
  <si>
    <t xml:space="preserve">REFERENCE SHEET - 3</t>
  </si>
  <si>
    <t xml:space="preserve">EPE/SCC - EPC Contract</t>
  </si>
  <si>
    <t xml:space="preserve">Exhibit C-1</t>
  </si>
  <si>
    <t xml:space="preserve">Monthly Progress Report</t>
  </si>
  <si>
    <t xml:space="preserve">T. Whipple</t>
  </si>
  <si>
    <t xml:space="preserve">Pipeline Cost Summary (Section E)</t>
  </si>
  <si>
    <t xml:space="preserve">EPC Contract Issues</t>
  </si>
  <si>
    <t xml:space="preserve">N. Khan/Alan Smithe</t>
  </si>
  <si>
    <t xml:space="preserve">Split 52/48 - GasBol/GasMat;  Update Change Orders</t>
  </si>
  <si>
    <t xml:space="preserve">M. Schulz - Schedule</t>
  </si>
  <si>
    <t xml:space="preserve">M. Schulz</t>
  </si>
  <si>
    <t xml:space="preserve">Budget Review - 05/18/99</t>
  </si>
  <si>
    <t xml:space="preserve">Exhibit C-2 Section II, Paragraph C</t>
  </si>
  <si>
    <t xml:space="preserve">E. Rengade - Memo</t>
  </si>
  <si>
    <t xml:space="preserve">E. Rengade</t>
  </si>
  <si>
    <t xml:space="preserve">Budget Review - 05/14/99</t>
  </si>
  <si>
    <t xml:space="preserve">Budget Review - 08/31/99</t>
  </si>
  <si>
    <t xml:space="preserve">A. Moreno - Memo</t>
  </si>
  <si>
    <t xml:space="preserve">A. Moreno</t>
  </si>
  <si>
    <t xml:space="preserve">Update for Force Majuer Claim</t>
  </si>
  <si>
    <t xml:space="preserve">Premium $997K, Taxes $317K</t>
  </si>
  <si>
    <t xml:space="preserve">No Development Fee On Project</t>
  </si>
  <si>
    <t xml:space="preserve">Standard Calculation</t>
  </si>
  <si>
    <t xml:space="preserve">Share Purchase Agreement</t>
  </si>
  <si>
    <t xml:space="preserve">Dual Dates</t>
  </si>
  <si>
    <t xml:space="preserve">Balance Of Remaining Shares</t>
  </si>
  <si>
    <t xml:space="preserve">Enron/Shell Share Transfer - 1st Paragraph</t>
  </si>
  <si>
    <t xml:space="preserve">Enron/Transrd Share Transfer - 1st Paragraph</t>
  </si>
  <si>
    <t xml:space="preserve">Per Dulaney Ccmail 6/18/97</t>
  </si>
  <si>
    <t xml:space="preserve">RAROC / RADR</t>
  </si>
  <si>
    <t xml:space="preserve">To Be Updated At Compensation</t>
  </si>
  <si>
    <t xml:space="preserve">REFERENCE SHEET - 4</t>
  </si>
  <si>
    <t xml:space="preserve">Financing Plan</t>
  </si>
  <si>
    <t xml:space="preserve">Awaiting Final Termsheets</t>
  </si>
  <si>
    <t xml:space="preserve">REFERENCE SHEET - 5</t>
  </si>
  <si>
    <t xml:space="preserve">Target DSCR</t>
  </si>
  <si>
    <t xml:space="preserve">S. Friedlander - Verbal</t>
  </si>
  <si>
    <t xml:space="preserve">Per Conversations With OPIC</t>
  </si>
  <si>
    <t xml:space="preserve">Pre-Tax DSCR</t>
  </si>
  <si>
    <t xml:space="preserve">After-Tax DSCR</t>
  </si>
  <si>
    <t xml:space="preserve">Chapter 11 - Financial Analysis</t>
  </si>
  <si>
    <t xml:space="preserve">Shareholder Funding Agreement</t>
  </si>
  <si>
    <t xml:space="preserve">Schedule 1 - Paragraph 1</t>
  </si>
  <si>
    <t xml:space="preserve">Enron Cost OF Funds</t>
  </si>
  <si>
    <t xml:space="preserve">C. Estrems</t>
  </si>
  <si>
    <t xml:space="preserve">Per Jeff Sommers' Memo</t>
  </si>
  <si>
    <t xml:space="preserve">APPENDIX I - TRANSPORTATION REVENUES ($000)</t>
  </si>
  <si>
    <t xml:space="preserve">Links From TBS Model</t>
  </si>
  <si>
    <t xml:space="preserve">TBS Transportation Revenues</t>
  </si>
  <si>
    <t xml:space="preserve">Monthly Vol</t>
  </si>
  <si>
    <t xml:space="preserve">Capacity</t>
  </si>
  <si>
    <t xml:space="preserve">Variable</t>
  </si>
  <si>
    <t xml:space="preserve">Monthly</t>
  </si>
  <si>
    <t xml:space="preserve">Annual</t>
  </si>
  <si>
    <t xml:space="preserve">Per</t>
  </si>
  <si>
    <t xml:space="preserve">@ GasBol</t>
  </si>
  <si>
    <t xml:space="preserve">Charge</t>
  </si>
  <si>
    <t xml:space="preserve">Payment</t>
  </si>
  <si>
    <t xml:space="preserve">Date</t>
  </si>
  <si>
    <t xml:space="preserve">Month</t>
  </si>
  <si>
    <t xml:space="preserve">Unesc</t>
  </si>
  <si>
    <t xml:space="preserve">Transported</t>
  </si>
  <si>
    <t xml:space="preserve">Escalated</t>
  </si>
  <si>
    <t xml:space="preserve">US $000</t>
  </si>
  <si>
    <t xml:space="preserve">Total GasBol Transport Revenues</t>
  </si>
  <si>
    <t xml:space="preserve">PRICING CURVES</t>
  </si>
  <si>
    <t xml:space="preserve">Column "L" is the offset for the table "Dec_Change"</t>
  </si>
  <si>
    <t xml:space="preserve">TBS &amp; Gasbol</t>
  </si>
  <si>
    <t xml:space="preserve">NGO Settlement Escalation</t>
  </si>
  <si>
    <t xml:space="preserve">Greater Of</t>
  </si>
  <si>
    <t xml:space="preserve">Change In Index</t>
  </si>
  <si>
    <t xml:space="preserve">Or</t>
  </si>
  <si>
    <t xml:space="preserve">Date Of 1st Change</t>
  </si>
  <si>
    <t xml:space="preserve">Brazil</t>
  </si>
  <si>
    <t xml:space="preserve">US</t>
  </si>
  <si>
    <t xml:space="preserve">Platt's</t>
  </si>
  <si>
    <t xml:space="preserve">R$ / $</t>
  </si>
  <si>
    <t xml:space="preserve">CPI Less</t>
  </si>
  <si>
    <t xml:space="preserve">Cumul</t>
  </si>
  <si>
    <t xml:space="preserve">IGP-DI</t>
  </si>
  <si>
    <t xml:space="preserve">CPI</t>
  </si>
  <si>
    <t xml:space="preserve">PPI</t>
  </si>
  <si>
    <t xml:space="preserve">WTI</t>
  </si>
  <si>
    <t xml:space="preserve">FX</t>
  </si>
  <si>
    <t xml:space="preserve">Change</t>
  </si>
</sst>
</file>

<file path=xl/styles.xml><?xml version="1.0" encoding="utf-8"?>
<styleSheet xmlns="http://schemas.openxmlformats.org/spreadsheetml/2006/main">
  <numFmts count="82">
    <numFmt numFmtId="164" formatCode="General"/>
    <numFmt numFmtId="165" formatCode="#,###.#"/>
    <numFmt numFmtId="166" formatCode="#.0%"/>
    <numFmt numFmtId="167" formatCode="#,###.0#"/>
    <numFmt numFmtId="168" formatCode="[$-409]#,##0_);[RED]\(#,##0\)"/>
    <numFmt numFmtId="169" formatCode="\$#,##0_);[RED]&quot;($&quot;#,##0\)"/>
    <numFmt numFmtId="170" formatCode="\X"/>
    <numFmt numFmtId="171" formatCode="0.000000000_)"/>
    <numFmt numFmtId="172" formatCode="#,###.##"/>
    <numFmt numFmtId="173" formatCode="m/d"/>
    <numFmt numFmtId="174" formatCode="000"/>
    <numFmt numFmtId="175" formatCode="#.##%"/>
    <numFmt numFmtId="176" formatCode="0000&quot; - &quot;0000"/>
    <numFmt numFmtId="177" formatCode="[$-409]#,##0.00_);[RED]\(#,##0.00\)"/>
    <numFmt numFmtId="178" formatCode="\$#,##0.00_);[RED]&quot;($&quot;#,##0.00\)"/>
    <numFmt numFmtId="179" formatCode="0;[RED]0"/>
    <numFmt numFmtId="180" formatCode="m\-d\-yy"/>
    <numFmt numFmtId="181" formatCode="_-* #,##0_-;\-* #,##0_-;_-* \-_-;_-@_-"/>
    <numFmt numFmtId="182" formatCode="_(* #,##0_);_(* \(#,##0\);_(* \-_);_(@_)"/>
    <numFmt numFmtId="183" formatCode="\£#,##0.00;&quot;-£&quot;#,##0.00"/>
    <numFmt numFmtId="184" formatCode="#,###_)"/>
    <numFmt numFmtId="185" formatCode="\£#,##0;&quot;-£&quot;#,##0"/>
    <numFmt numFmtId="186" formatCode="0.000"/>
    <numFmt numFmtId="187" formatCode="_-* #,##0.00_-;\-* #,##0.00_-;_-* \-??_-;_-@_-"/>
    <numFmt numFmtId="188" formatCode="#,##0.00"/>
    <numFmt numFmtId="189" formatCode="_(* #,##0.00_);_(* \(#,##0.00\);_(* \-??_);_(@_)"/>
    <numFmt numFmtId="190" formatCode="_-\£* #,##0_-;&quot;-£&quot;* #,##0_-;_-\£* \-_-;_-@_-"/>
    <numFmt numFmtId="191" formatCode="_-\$* #,##0_-;&quot;-$&quot;* #,##0_-;_-\$* \-_-;_-@_-"/>
    <numFmt numFmtId="192" formatCode="0000"/>
    <numFmt numFmtId="193" formatCode="\$#,##0;[RED]&quot;-$&quot;#,##0"/>
    <numFmt numFmtId="194" formatCode="_(\$* #,##0_);_(\$* \(#,##0\);_(\$* \-_);_(@_)"/>
    <numFmt numFmtId="195" formatCode="0.0000000000_)"/>
    <numFmt numFmtId="196" formatCode="#,##0.000_);\(#,##0.000\)"/>
    <numFmt numFmtId="197" formatCode="00\-000"/>
    <numFmt numFmtId="198" formatCode="#.#%"/>
    <numFmt numFmtId="199" formatCode="\£#,##0;[RED]&quot;-£&quot;#,##0"/>
    <numFmt numFmtId="200" formatCode="#,###"/>
    <numFmt numFmtId="201" formatCode="00\-000_)"/>
    <numFmt numFmtId="202" formatCode="mmm"/>
    <numFmt numFmtId="203" formatCode="_-\£* #,##0.00_-;&quot;-£&quot;* #,##0.00_-;_-\£* \-??_-;_-@_-"/>
    <numFmt numFmtId="204" formatCode="_(* #,##0.0000_);_(* \(#,##0.0000\);_(* \-??_);_(@_)"/>
    <numFmt numFmtId="205" formatCode="_-\$* #,##0.00_-;&quot;-$&quot;* #,##0.00_-;_-\$* \-??_-;_-@_-"/>
    <numFmt numFmtId="206" formatCode="\$#,##0.00;[RED]&quot;-$&quot;#,##0.00"/>
    <numFmt numFmtId="207" formatCode="_(\$* #,##0.00_);_(\$* \(#,##0.00\);_(\$* \-??_);_(@_)"/>
    <numFmt numFmtId="208" formatCode="#,##0.000_);[RED]\(#,##0.000\)"/>
    <numFmt numFmtId="209" formatCode="\£#,##0.00;[RED]&quot;-£&quot;#,##0.00"/>
    <numFmt numFmtId="210" formatCode="00"/>
    <numFmt numFmtId="211" formatCode="0.00"/>
    <numFmt numFmtId="212" formatCode=";;;"/>
    <numFmt numFmtId="213" formatCode="[$-409]#,##0_);\(#,##0\)"/>
    <numFmt numFmtId="214" formatCode="0.00_)"/>
    <numFmt numFmtId="215" formatCode="\10000000"/>
    <numFmt numFmtId="216" formatCode="General_)"/>
    <numFmt numFmtId="217" formatCode="#,##0"/>
    <numFmt numFmtId="218" formatCode="#,##0.0_);\(#,##0.0\)"/>
    <numFmt numFmtId="219" formatCode="#,##0.0000_);[RED]\(#,##0.0000\)"/>
    <numFmt numFmtId="220" formatCode="0"/>
    <numFmt numFmtId="221" formatCode="0.00%"/>
    <numFmt numFmtId="222" formatCode="@"/>
    <numFmt numFmtId="223" formatCode="0_);\(0\)"/>
    <numFmt numFmtId="224" formatCode="\$#,##0_);&quot;($&quot;#,##0\)"/>
    <numFmt numFmtId="225" formatCode="0%"/>
    <numFmt numFmtId="226" formatCode="[$-409]mmm\-yy"/>
    <numFmt numFmtId="227" formatCode="0.0"/>
    <numFmt numFmtId="228" formatCode="&quot;On&quot;;;&quot;Off&quot;"/>
    <numFmt numFmtId="229" formatCode="[$-409]d\-mmm"/>
    <numFmt numFmtId="230" formatCode="mmm\-yyyy"/>
    <numFmt numFmtId="231" formatCode="\$#,##0.0000_);&quot;($&quot;#,##0.0000\)"/>
    <numFmt numFmtId="232" formatCode="\$#,##0.00_);&quot;($&quot;#,##0.00\)"/>
    <numFmt numFmtId="233" formatCode="0.0000"/>
    <numFmt numFmtId="234" formatCode="&quot;Include&quot;;;&quot;Exclude&quot;"/>
    <numFmt numFmtId="235" formatCode="&quot;Yes&quot;;;&quot;No&quot;"/>
    <numFmt numFmtId="236" formatCode="0.0%"/>
    <numFmt numFmtId="237" formatCode="0.00_);[RED]\(0.00\)"/>
    <numFmt numFmtId="238" formatCode="[$-409]m/d/yyyy"/>
    <numFmt numFmtId="239" formatCode="[$-409]#,##0.00_);\(#,##0.00\)"/>
    <numFmt numFmtId="240" formatCode="_(\$* #,##0_);_(\$* \(#,##0\);_(\$* \-??_);_(@_)"/>
    <numFmt numFmtId="241" formatCode="[$-409]d\-mmm\-yy"/>
    <numFmt numFmtId="242" formatCode="#,##0.0000000000_);\(#,##0.0000000000\)"/>
    <numFmt numFmtId="243" formatCode="_(* #,##0_);_(* \(#,##0\);_(* \-??_);_(@_)"/>
    <numFmt numFmtId="244" formatCode="#,##0.0000_);\(#,##0.0000\)"/>
    <numFmt numFmtId="245" formatCode="mm/dd/yy"/>
  </numFmts>
  <fonts count="1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10"/>
      <name val="Times New Roman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8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2"/>
      <name val="Arial"/>
      <family val="2"/>
    </font>
    <font>
      <b val="true"/>
      <sz val="14"/>
      <color rgb="FF0000FF"/>
      <name val="Arial"/>
      <family val="2"/>
    </font>
    <font>
      <b val="true"/>
      <sz val="12"/>
      <color rgb="FF0000FF"/>
      <name val="Arial"/>
      <family val="2"/>
    </font>
    <font>
      <b val="true"/>
      <sz val="11"/>
      <name val="Arial"/>
      <family val="2"/>
    </font>
    <font>
      <sz val="11"/>
      <name val="Arial"/>
      <family val="2"/>
    </font>
    <font>
      <b val="true"/>
      <sz val="11"/>
      <color rgb="FFFF0000"/>
      <name val="Arial"/>
      <family val="2"/>
    </font>
    <font>
      <b val="true"/>
      <u val="single"/>
      <sz val="12"/>
      <name val="Arial"/>
      <family val="2"/>
    </font>
    <font>
      <b val="true"/>
      <u val="single"/>
      <sz val="10"/>
      <name val="Arial"/>
      <family val="2"/>
    </font>
    <font>
      <b val="true"/>
      <sz val="9"/>
      <color rgb="FFFF0000"/>
      <name val="arial"/>
      <family val="2"/>
    </font>
    <font>
      <b val="true"/>
      <sz val="11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b val="true"/>
      <u val="single"/>
      <sz val="10"/>
      <color rgb="FF000000"/>
      <name val="Arial"/>
      <family val="2"/>
    </font>
    <font>
      <i val="true"/>
      <sz val="8"/>
      <name val="Arial"/>
      <family val="2"/>
    </font>
    <font>
      <sz val="10"/>
      <color rgb="FF000000"/>
      <name val="Arial"/>
      <family val="2"/>
    </font>
    <font>
      <b val="true"/>
      <i val="true"/>
      <sz val="10"/>
      <name val="Arial"/>
      <family val="2"/>
    </font>
    <font>
      <sz val="10"/>
      <color rgb="FFFF00FF"/>
      <name val="arial"/>
      <family val="2"/>
    </font>
    <font>
      <i val="true"/>
      <sz val="9"/>
      <name val="Arial"/>
      <family val="2"/>
    </font>
    <font>
      <u val="single"/>
      <sz val="10"/>
      <name val="Arial"/>
      <family val="2"/>
    </font>
    <font>
      <sz val="9"/>
      <name val="Arial"/>
      <family val="2"/>
    </font>
    <font>
      <u val="singl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u val="singl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i val="true"/>
      <u val="single"/>
      <sz val="10"/>
      <name val="Arial"/>
      <family val="2"/>
    </font>
    <font>
      <b val="true"/>
      <sz val="10"/>
      <color rgb="FF0000FF"/>
      <name val="arial"/>
      <family val="2"/>
    </font>
    <font>
      <i val="true"/>
      <sz val="10"/>
      <color rgb="FF0000FF"/>
      <name val="Arial"/>
      <family val="2"/>
    </font>
    <font>
      <u val="double"/>
      <sz val="10"/>
      <color rgb="FF000000"/>
      <name val="Arial"/>
      <family val="2"/>
    </font>
    <font>
      <i val="true"/>
      <u val="single"/>
      <sz val="10"/>
      <color rgb="FF000000"/>
      <name val="Arial"/>
      <family val="2"/>
    </font>
    <font>
      <i val="true"/>
      <sz val="10"/>
      <color rgb="FFFFFFFF"/>
      <name val="arial"/>
      <family val="2"/>
    </font>
    <font>
      <u val="single"/>
      <sz val="10"/>
      <color rgb="FFFF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2"/>
      <name val="Arial"/>
      <family val="2"/>
    </font>
    <font>
      <b val="true"/>
      <i val="true"/>
      <sz val="10"/>
      <color rgb="FFFF0000"/>
      <name val="Arial"/>
      <family val="2"/>
    </font>
    <font>
      <i val="true"/>
      <sz val="9"/>
      <color rgb="FF0000FF"/>
      <name val="Arial"/>
      <family val="2"/>
    </font>
    <font>
      <b val="true"/>
      <i val="true"/>
      <sz val="9"/>
      <color rgb="FFFF0000"/>
      <name val="arial"/>
      <family val="2"/>
    </font>
    <font>
      <b val="true"/>
      <sz val="10"/>
      <color rgb="FFFF00FF"/>
      <name val="arial"/>
      <family val="2"/>
    </font>
    <font>
      <i val="true"/>
      <sz val="9"/>
      <color rgb="FFFF00FF"/>
      <name val="Arial"/>
      <family val="2"/>
    </font>
    <font>
      <b val="true"/>
      <sz val="8"/>
      <name val="Arial"/>
      <family val="2"/>
    </font>
    <font>
      <sz val="8"/>
      <color rgb="FF000000"/>
      <name val="Arial"/>
      <family val="2"/>
    </font>
    <font>
      <b val="true"/>
      <sz val="11.5"/>
      <color rgb="FF000000"/>
      <name val="Arial"/>
      <family val="2"/>
    </font>
    <font>
      <b val="true"/>
      <sz val="12"/>
      <color rgb="FF000000"/>
      <name val="Arial"/>
      <family val="2"/>
    </font>
    <font>
      <u val="double"/>
      <sz val="10"/>
      <name val="arial"/>
      <family val="2"/>
    </font>
    <font>
      <b val="true"/>
      <i val="true"/>
      <sz val="9"/>
      <name val="Arial"/>
      <family val="2"/>
    </font>
    <font>
      <b val="true"/>
      <u val="single"/>
      <sz val="10"/>
      <color rgb="FF0000FF"/>
      <name val="Arial"/>
      <family val="2"/>
    </font>
    <font>
      <b val="true"/>
      <i val="true"/>
      <u val="single"/>
      <sz val="10"/>
      <name val="Arial"/>
      <family val="2"/>
    </font>
    <font>
      <sz val="10"/>
      <color rgb="FFFFFFFF"/>
      <name val="Arial"/>
      <family val="2"/>
    </font>
    <font>
      <i val="true"/>
      <sz val="10"/>
      <color rgb="FFFF00FF"/>
      <name val="Arial"/>
      <family val="2"/>
    </font>
    <font>
      <b val="true"/>
      <sz val="10"/>
      <color rgb="FFFFFFFF"/>
      <name val="Arial"/>
      <family val="2"/>
    </font>
    <font>
      <b val="true"/>
      <sz val="14"/>
      <name val="Arial"/>
      <family val="2"/>
    </font>
    <font>
      <i val="true"/>
      <sz val="8"/>
      <color rgb="FF0000FF"/>
      <name val="arial"/>
      <family val="2"/>
    </font>
    <font>
      <b val="true"/>
      <i val="true"/>
      <sz val="10"/>
      <color rgb="FFFF00FF"/>
      <name val="arial"/>
      <family val="2"/>
    </font>
    <font>
      <i val="true"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9CCF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E3E3E3"/>
        <bgColor rgb="FFCCFFCC"/>
      </patternFill>
    </fill>
    <fill>
      <patternFill patternType="solid">
        <fgColor rgb="FF339966"/>
        <bgColor rgb="FF008080"/>
      </patternFill>
    </fill>
    <fill>
      <patternFill patternType="solid">
        <fgColor rgb="FFC0C0C0"/>
        <bgColor rgb="FF99CCFF"/>
      </patternFill>
    </fill>
    <fill>
      <patternFill patternType="solid">
        <fgColor rgb="FF969696"/>
        <bgColor rgb="FF80808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>
        <color rgb="FFFFFFFF"/>
      </right>
      <top style="medium"/>
      <bottom style="medium">
        <color rgb="FFFFFFFF"/>
      </bottom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dashDot"/>
      <bottom/>
      <diagonal/>
    </border>
    <border diagonalUp="false" diagonalDown="false">
      <left/>
      <right/>
      <top style="dashDot"/>
      <bottom/>
      <diagonal/>
    </border>
    <border diagonalUp="false" diagonalDown="false">
      <left/>
      <right style="medium"/>
      <top style="dashDot"/>
      <bottom/>
      <diagonal/>
    </border>
    <border diagonalUp="false" diagonalDown="false">
      <left style="medium"/>
      <right style="medium"/>
      <top style="medium"/>
      <bottom style="dashDot"/>
      <diagonal/>
    </border>
    <border diagonalUp="false" diagonalDown="false">
      <left style="medium"/>
      <right style="medium"/>
      <top style="dashDot"/>
      <bottom style="medium"/>
      <diagonal/>
    </border>
    <border diagonalUp="false" diagonalDown="false">
      <left style="medium"/>
      <right/>
      <top style="dashDot"/>
      <bottom style="medium"/>
      <diagonal/>
    </border>
    <border diagonalUp="false" diagonalDown="false">
      <left/>
      <right/>
      <top style="dashDot"/>
      <bottom style="medium"/>
      <diagonal/>
    </border>
    <border diagonalUp="false" diagonalDown="false">
      <left/>
      <right style="medium"/>
      <top style="dashDot"/>
      <bottom style="medium"/>
      <diagonal/>
    </border>
    <border diagonalUp="false" diagonalDown="false">
      <left style="medium"/>
      <right/>
      <top style="medium"/>
      <bottom style="medium">
        <color rgb="FFFFFFFF"/>
      </bottom>
      <diagonal/>
    </border>
    <border diagonalUp="false" diagonalDown="false">
      <left/>
      <right style="medium">
        <color rgb="FFFFFFFF"/>
      </right>
      <top style="medium"/>
      <bottom style="medium">
        <color rgb="FFFFFFFF"/>
      </bottom>
      <diagonal/>
    </border>
    <border diagonalUp="false" diagonalDown="false">
      <left style="medium"/>
      <right/>
      <top style="medium"/>
      <bottom style="dashDot"/>
      <diagonal/>
    </border>
    <border diagonalUp="false" diagonalDown="false">
      <left/>
      <right/>
      <top style="medium"/>
      <bottom style="dashDot"/>
      <diagonal/>
    </border>
    <border diagonalUp="false" diagonalDown="false">
      <left/>
      <right style="medium"/>
      <top style="medium"/>
      <bottom style="dashDot"/>
      <diagonal/>
    </border>
    <border diagonalUp="false" diagonalDown="false">
      <left style="medium">
        <color rgb="FFFFFFFF"/>
      </left>
      <right/>
      <top style="medium"/>
      <bottom/>
      <diagonal/>
    </border>
    <border diagonalUp="false" diagonalDown="false">
      <left style="medium"/>
      <right/>
      <top/>
      <bottom style="dashDot"/>
      <diagonal/>
    </border>
    <border diagonalUp="false" diagonalDown="false">
      <left/>
      <right/>
      <top/>
      <bottom style="dashDot"/>
      <diagonal/>
    </border>
    <border diagonalUp="false" diagonalDown="false">
      <left/>
      <right style="medium"/>
      <top/>
      <bottom style="dashDot"/>
      <diagonal/>
    </border>
    <border diagonalUp="false" diagonalDown="false">
      <left style="medium"/>
      <right/>
      <top style="medium">
        <color rgb="FFFFFFFF"/>
      </top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thin">
        <color rgb="FFFFFFFF"/>
      </top>
      <bottom style="thin">
        <color rgb="FFC0C0C0"/>
      </bottom>
      <diagonal/>
    </border>
    <border diagonalUp="false" diagonalDown="false">
      <left/>
      <right/>
      <top style="thin">
        <color rgb="FFFFFFFF"/>
      </top>
      <bottom style="thin">
        <color rgb="FFC0C0C0"/>
      </bottom>
      <diagonal/>
    </border>
    <border diagonalUp="false" diagonalDown="false">
      <left style="medium"/>
      <right style="medium"/>
      <top style="thin">
        <color rgb="FFFFFFFF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/>
      <right style="thin">
        <color rgb="FFC0C0C0"/>
      </right>
      <top style="thin">
        <color rgb="FFFFFFFF"/>
      </top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/>
      <right style="thin">
        <color rgb="FFC0C0C0"/>
      </right>
      <top/>
      <bottom/>
      <diagonal/>
    </border>
    <border diagonalUp="false" diagonalDown="false">
      <left style="thin">
        <color rgb="FFFFFFFF"/>
      </left>
      <right/>
      <top/>
      <bottom style="medium"/>
      <diagonal/>
    </border>
    <border diagonalUp="false" diagonalDown="false">
      <left/>
      <right style="thin">
        <color rgb="FFC0C0C0"/>
      </right>
      <top/>
      <bottom style="medium"/>
      <diagonal/>
    </border>
    <border diagonalUp="false" diagonalDown="false">
      <left style="thin">
        <color rgb="FFFFFFFF"/>
      </left>
      <right/>
      <top/>
      <bottom style="thin"/>
      <diagonal/>
    </border>
    <border diagonalUp="false" diagonalDown="false">
      <left/>
      <right style="thin">
        <color rgb="FFC0C0C0"/>
      </right>
      <top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>
        <color rgb="FFFFFFFF"/>
      </top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 style="medium"/>
      <right style="medium"/>
      <top style="thin">
        <color rgb="FFFFFFFF"/>
      </top>
      <bottom/>
      <diagonal/>
    </border>
    <border diagonalUp="false" diagonalDown="false">
      <left style="medium"/>
      <right/>
      <top/>
      <bottom style="thin">
        <color rgb="FFC0C0C0"/>
      </bottom>
      <diagonal/>
    </border>
    <border diagonalUp="false" diagonalDown="false">
      <left/>
      <right/>
      <top/>
      <bottom style="thin">
        <color rgb="FFC0C0C0"/>
      </bottom>
      <diagonal/>
    </border>
    <border diagonalUp="false" diagonalDown="false">
      <left style="medium"/>
      <right style="medium"/>
      <top/>
      <bottom style="thin">
        <color rgb="FFC0C0C0"/>
      </bottom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>
        <color rgb="FF969696"/>
      </left>
      <right/>
      <top style="thin">
        <color rgb="FF969696"/>
      </top>
      <bottom style="thin">
        <color rgb="FFFFFFFF"/>
      </bottom>
      <diagonal/>
    </border>
    <border diagonalUp="false" diagonalDown="false">
      <left/>
      <right/>
      <top style="thin">
        <color rgb="FF969696"/>
      </top>
      <bottom style="thin">
        <color rgb="FFFFFFFF"/>
      </bottom>
      <diagonal/>
    </border>
    <border diagonalUp="false" diagonalDown="false">
      <left/>
      <right style="thin">
        <color rgb="FFFFFFFF"/>
      </right>
      <top style="thin">
        <color rgb="FF969696"/>
      </top>
      <bottom style="thin">
        <color rgb="FFFFFFFF"/>
      </bottom>
      <diagonal/>
    </border>
    <border diagonalUp="false" diagonalDown="false">
      <left style="medium"/>
      <right/>
      <top style="thin">
        <color rgb="FFC0C0C0"/>
      </top>
      <bottom/>
      <diagonal/>
    </border>
    <border diagonalUp="false" diagonalDown="false">
      <left/>
      <right/>
      <top style="thin">
        <color rgb="FFC0C0C0"/>
      </top>
      <bottom/>
      <diagonal/>
    </border>
    <border diagonalUp="false" diagonalDown="false">
      <left style="medium"/>
      <right style="medium"/>
      <top style="thin">
        <color rgb="FFC0C0C0"/>
      </top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>
        <color rgb="FFC0C0C0"/>
      </right>
      <top/>
      <bottom style="thin">
        <color rgb="FFC0C0C0"/>
      </bottom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thin">
        <color rgb="FFC0C0C0"/>
      </right>
      <top style="thin">
        <color rgb="FFFFFFFF"/>
      </top>
      <bottom style="thin">
        <color rgb="FFC0C0C0"/>
      </bottom>
      <diagonal/>
    </border>
    <border diagonalUp="false" diagonalDown="false">
      <left style="medium"/>
      <right/>
      <top style="thin">
        <color rgb="FFC0C0C0"/>
      </top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dashDot">
        <color rgb="FF808080"/>
      </left>
      <right style="dashDot">
        <color rgb="FF808080"/>
      </right>
      <top style="thin">
        <color rgb="FFFFFFFF"/>
      </top>
      <bottom/>
      <diagonal/>
    </border>
    <border diagonalUp="false" diagonalDown="false">
      <left/>
      <right style="dashDot">
        <color rgb="FF808080"/>
      </right>
      <top style="thin">
        <color rgb="FFFFFFFF"/>
      </top>
      <bottom/>
      <diagonal/>
    </border>
    <border diagonalUp="false" diagonalDown="false">
      <left style="dashDot">
        <color rgb="FF808080"/>
      </left>
      <right style="dashDot">
        <color rgb="FF808080"/>
      </right>
      <top/>
      <bottom/>
      <diagonal/>
    </border>
    <border diagonalUp="false" diagonalDown="false">
      <left/>
      <right style="dashDot">
        <color rgb="FF808080"/>
      </right>
      <top/>
      <bottom/>
      <diagonal/>
    </border>
    <border diagonalUp="false" diagonalDown="false">
      <left style="dashDot">
        <color rgb="FF808080"/>
      </left>
      <right style="dashDot">
        <color rgb="FF808080"/>
      </right>
      <top/>
      <bottom style="thin">
        <color rgb="FFC0C0C0"/>
      </bottom>
      <diagonal/>
    </border>
    <border diagonalUp="false" diagonalDown="false">
      <left/>
      <right style="dashDot">
        <color rgb="FF808080"/>
      </right>
      <top/>
      <bottom style="thin">
        <color rgb="FFC0C0C0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>
        <color rgb="FFFFFFFF"/>
      </left>
      <right style="thin">
        <color rgb="FFC0C0C0"/>
      </right>
      <top style="thin">
        <color rgb="FFFFFFFF"/>
      </top>
      <bottom style="thin">
        <color rgb="FFC0C0C0"/>
      </bottom>
      <diagonal/>
    </border>
    <border diagonalUp="false" diagonalDown="false">
      <left/>
      <right style="dashDot"/>
      <top style="medium"/>
      <bottom/>
      <diagonal/>
    </border>
    <border diagonalUp="false" diagonalDown="false">
      <left style="dashDot"/>
      <right/>
      <top style="medium"/>
      <bottom/>
      <diagonal/>
    </border>
    <border diagonalUp="false" diagonalDown="false">
      <left/>
      <right style="dashDot"/>
      <top/>
      <bottom/>
      <diagonal/>
    </border>
    <border diagonalUp="false" diagonalDown="false">
      <left style="dashDot"/>
      <right/>
      <top/>
      <bottom/>
      <diagonal/>
    </border>
    <border diagonalUp="false" diagonalDown="false">
      <left/>
      <right style="dashDot"/>
      <top style="medium"/>
      <bottom style="medium"/>
      <diagonal/>
    </border>
    <border diagonalUp="false" diagonalDown="false">
      <left style="dashDot"/>
      <right/>
      <top style="medium"/>
      <bottom style="medium"/>
      <diagonal/>
    </border>
  </borders>
  <cellStyleXfs count="1556"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9" fontId="0" fillId="2" borderId="0" applyFont="true" applyBorder="false" applyAlignment="false" applyProtection="false"/>
    <xf numFmtId="41" fontId="1" fillId="0" borderId="0" applyFont="true" applyBorder="false" applyAlignment="false" applyProtection="false"/>
    <xf numFmtId="207" fontId="0" fillId="2" borderId="0" applyFont="true" applyBorder="false" applyAlignment="false" applyProtection="false"/>
    <xf numFmtId="42" fontId="1" fillId="0" borderId="0" applyFont="true" applyBorder="false" applyAlignment="false" applyProtection="false"/>
    <xf numFmtId="225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0" applyFont="true" applyBorder="false" applyAlignment="false" applyProtection="false"/>
    <xf numFmtId="17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2" fillId="3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6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2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8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68" fontId="4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8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8" fontId="4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9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7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8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1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8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7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1" fontId="0" fillId="2" borderId="0" applyFont="true" applyBorder="false" applyAlignment="false" applyProtection="false"/>
    <xf numFmtId="20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9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0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3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12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9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78" fontId="0" fillId="2" borderId="0" applyFont="true" applyBorder="false" applyAlignment="false" applyProtection="false"/>
    <xf numFmtId="207" fontId="0" fillId="2" borderId="0" applyFont="true" applyBorder="false" applyAlignment="false" applyProtection="false"/>
    <xf numFmtId="206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165" fontId="0" fillId="2" borderId="0" applyFont="true" applyBorder="false" applyAlignment="false" applyProtection="false"/>
    <xf numFmtId="164" fontId="0" fillId="2" borderId="0" applyFont="true" applyBorder="false" applyAlignment="false" applyProtection="false"/>
    <xf numFmtId="206" fontId="0" fillId="2" borderId="0" applyFont="true" applyBorder="false" applyAlignment="false" applyProtection="false"/>
  </cellStyleXfs>
  <cellXfs count="1316"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64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1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8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8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8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9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9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8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1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1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0" fontId="16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82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6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1" fontId="16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1" fontId="16" fillId="6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6" fontId="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3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3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7" fontId="1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16" fillId="4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7" fontId="9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4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7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6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84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68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1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3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3" fontId="81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3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16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4" fontId="1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81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81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1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3" fontId="64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1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5" fontId="1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8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2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1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1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3" fontId="64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16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5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6" fontId="68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2" fontId="6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75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7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5" fillId="7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7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7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6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68" fillId="2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6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80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80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0" fillId="5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0" fillId="5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8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0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80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8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0" fillId="8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0" fillId="7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0" fillId="2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22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0" fillId="2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7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0" fillId="2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1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6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2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0" fillId="2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0" fillId="2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2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7" fontId="0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1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0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4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0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5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102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02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10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7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6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4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5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5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6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6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68" fillId="9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3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9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9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7" fillId="9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2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7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5" borderId="4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9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4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3" fontId="7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68" fillId="2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68" fillId="5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68" fillId="5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7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7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22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1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4" fontId="16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22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4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7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7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8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7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3" fillId="1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3" fillId="1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1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3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2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5" borderId="5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5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5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68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2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7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7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7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7" fontId="9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10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11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73" fillId="5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9" fillId="5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3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4" fontId="7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7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5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6" fillId="4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6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9" fillId="5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5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7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4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5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16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5" fontId="16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6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5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2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6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89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0" fontId="9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68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5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7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9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0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5" fillId="5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6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5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68" fillId="2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08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69" fillId="4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68" fillId="5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5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5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9" fillId="5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5" borderId="5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6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6" fontId="9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6" fontId="9" fillId="2" borderId="6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7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16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7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9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8" fillId="2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68" fillId="2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2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5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5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75" fillId="5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81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2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6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5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5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2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3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5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6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1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111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7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7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9" fillId="2" borderId="6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2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8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8" fillId="2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4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16" fillId="4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5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0" fontId="96" fillId="7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81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7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81" fillId="4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7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21" fontId="9" fillId="0" borderId="3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68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5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5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5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5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5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77" fillId="5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5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2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2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16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16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2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16" fillId="4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2" borderId="6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3" fontId="9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6" fontId="9" fillId="2" borderId="8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2" borderId="9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2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3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3" fontId="7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5" fontId="9" fillId="2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6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4" fillId="2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1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1" fontId="9" fillId="0" borderId="67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9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9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8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2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9" fillId="2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4" fontId="77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4" fontId="9" fillId="2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16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2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0" borderId="6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0" borderId="9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7" fillId="2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1" fontId="9" fillId="2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1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3" fontId="64" fillId="2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4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77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68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68" fillId="2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7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77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8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4" fontId="9" fillId="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8" fontId="16" fillId="4" borderId="8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16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8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8" fontId="16" fillId="4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77" fillId="2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7" fillId="2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1" fontId="9" fillId="2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8" fillId="2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9" fillId="2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0" fontId="9" fillId="2" borderId="9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9" fillId="2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9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9" fillId="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2" borderId="9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2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2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5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1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2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1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82" fillId="4" borderId="1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1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4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9" fillId="6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9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4" fontId="9" fillId="6" borderId="1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3" fontId="82" fillId="6" borderId="1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6" borderId="1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4" fontId="9" fillId="6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6" fontId="10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4" fontId="9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5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85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8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8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45" fontId="1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16" fillId="4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9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6" fillId="4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7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0" fillId="0" borderId="10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220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02012000_Epe" xfId="21"/>
    <cellStyle name="?? [0]_94???_demand analysisrevised" xfId="22"/>
    <cellStyle name="?? [0]_94???_demand analysisrevised_02012000_Epe" xfId="23"/>
    <cellStyle name="?? [0]_??" xfId="24"/>
    <cellStyle name="?? [0]_???" xfId="25"/>
    <cellStyle name="?? [0]_?????" xfId="26"/>
    <cellStyle name="?? [0]_?????_02012000_Epe" xfId="27"/>
    <cellStyle name="?? [0]_?????_???" xfId="28"/>
    <cellStyle name="?? [0]_?????_???_02012000_Epe" xfId="29"/>
    <cellStyle name="?? [0]_?????_???_demand analysisrevised" xfId="30"/>
    <cellStyle name="?? [0]_?????_???_demand analysisrevised_02012000_Epe" xfId="31"/>
    <cellStyle name="?? [0]_?????_demand analysisrevised" xfId="32"/>
    <cellStyle name="?? [0]_?????_demand analysisrevised_02012000_Epe" xfId="33"/>
    <cellStyle name="?? [0]_???_02012000_Epe" xfId="34"/>
    <cellStyle name="?? [0]_???_demand analysisrevised" xfId="35"/>
    <cellStyle name="?? [0]_???_demand analysisrevised_02012000_Epe" xfId="36"/>
    <cellStyle name="?? [0]_??_02012000_Epe" xfId="37"/>
    <cellStyle name="?? [0]_??_demand analysisrevised" xfId="38"/>
    <cellStyle name="?? [0]_??_demand analysisrevised_02012000_Epe" xfId="39"/>
    <cellStyle name="?? [0]_dimon" xfId="40"/>
    <cellStyle name="?? [0]_dimon_02012000_Epe" xfId="41"/>
    <cellStyle name="?? [0]_form" xfId="42"/>
    <cellStyle name="?? [0]_form_02012000_Epe" xfId="43"/>
    <cellStyle name="?? [0]_form_demand analysisrevised" xfId="44"/>
    <cellStyle name="?? [0]_form_demand analysisrevised_02012000_Epe" xfId="45"/>
    <cellStyle name="?? [0]_laroux" xfId="46"/>
    <cellStyle name="?? [0]_laroux_02012000_Epe" xfId="47"/>
    <cellStyle name="?? [0]_laroux_1" xfId="48"/>
    <cellStyle name="?? [0]_laroux_1_demand analysisrevised" xfId="49"/>
    <cellStyle name="?? [0]_laroux_2" xfId="50"/>
    <cellStyle name="?? [0]_laroux_2_02012000_Epe" xfId="51"/>
    <cellStyle name="?? [0]_laroux_demand analysisrevised" xfId="52"/>
    <cellStyle name="?? [0]_laroux_demand analysisrevised_02012000_Epe" xfId="53"/>
    <cellStyle name="?? [0]_PERSONAL" xfId="54"/>
    <cellStyle name="?? [0]_PERSONAL_02012000_Epe" xfId="55"/>
    <cellStyle name="?? [0]_PERSONAL_1" xfId="56"/>
    <cellStyle name="?? [0]_PERSONAL_1_demand analysisrevised" xfId="57"/>
    <cellStyle name="?? [0]_PERSONAL_1_demand analysisrevised_02012000_Epe" xfId="58"/>
    <cellStyle name="?? [0]_PERSONAL_2" xfId="59"/>
    <cellStyle name="?? [0]_PERSONAL_2_02012000_Epe" xfId="60"/>
    <cellStyle name="?? [0]_PERSONAL_2_demand analysisrevised" xfId="61"/>
    <cellStyle name="?? [0]_PERSONAL_3" xfId="62"/>
    <cellStyle name="?? [0]_PERSONAL_3_02012000_Epe" xfId="63"/>
    <cellStyle name="?? [0]_PERSONAL_demand analysisrevised" xfId="64"/>
    <cellStyle name="?? [0]_PERSONAL_demand analysisrevised_02012000_Epe" xfId="65"/>
    <cellStyle name="?? [0]_Sheet2" xfId="66"/>
    <cellStyle name="?? [0]_Sheet2_02012000_Epe" xfId="67"/>
    <cellStyle name="??_94???" xfId="68"/>
    <cellStyle name="??_94???_02012000_Epe" xfId="69"/>
    <cellStyle name="??_94???_demand analysisrevised" xfId="70"/>
    <cellStyle name="??_94???_demand analysisrevised_02012000_Epe" xfId="71"/>
    <cellStyle name="??_970120" xfId="72"/>
    <cellStyle name="??_97???" xfId="73"/>
    <cellStyle name="??_?.????" xfId="74"/>
    <cellStyle name="??_??" xfId="75"/>
    <cellStyle name="??_???" xfId="76"/>
    <cellStyle name="??_????" xfId="77"/>
    <cellStyle name="??_?????" xfId="78"/>
    <cellStyle name="??_?????_02012000_Epe" xfId="79"/>
    <cellStyle name="??_?????_1" xfId="80"/>
    <cellStyle name="??_?????_2" xfId="81"/>
    <cellStyle name="??_?????_???" xfId="82"/>
    <cellStyle name="??_?????_???_02012000_Epe" xfId="83"/>
    <cellStyle name="??_?????_???_demand analysisrevised" xfId="84"/>
    <cellStyle name="??_?????_???_demand analysisrevised_02012000_Epe" xfId="85"/>
    <cellStyle name="??_?????_???_demand analysisrevised_1" xfId="86"/>
    <cellStyle name="??_?????_demand analysisrevised" xfId="87"/>
    <cellStyle name="??_?????_demand analysisrevised_02012000_Epe" xfId="88"/>
    <cellStyle name="??_?????_demand analysisrevised_1" xfId="89"/>
    <cellStyle name="??_????_1" xfId="90"/>
    <cellStyle name="??_???_demand analysisrevised" xfId="91"/>
    <cellStyle name="??_???_demand analysisrevised_02012000_Epe" xfId="92"/>
    <cellStyle name="??_???_demand analysisrevised_1" xfId="93"/>
    <cellStyle name="??_???_demand analysisrevised_1_02012000_Epe" xfId="94"/>
    <cellStyle name="??_??_02012000_Epe" xfId="95"/>
    <cellStyle name="??_??_1" xfId="96"/>
    <cellStyle name="??_??_????" xfId="97"/>
    <cellStyle name="??_??_????_demand analysisrevised" xfId="98"/>
    <cellStyle name="??_??_demand analysisrevised" xfId="99"/>
    <cellStyle name="??_??_demand analysisrevised_1" xfId="100"/>
    <cellStyle name="??_??_demand analysisrevised_2" xfId="101"/>
    <cellStyle name="??_??_demand analysisrevised_2_02012000_Epe" xfId="102"/>
    <cellStyle name="??_BEBU_GI" xfId="103"/>
    <cellStyle name="??_dimon" xfId="104"/>
    <cellStyle name="??_dimon_02012000_Epe" xfId="105"/>
    <cellStyle name="??_dimon_demand analysisrevised" xfId="106"/>
    <cellStyle name="??_form" xfId="107"/>
    <cellStyle name="??_form_02012000_Epe" xfId="108"/>
    <cellStyle name="??_form_demand analysisrevised" xfId="109"/>
    <cellStyle name="??_form_demand analysisrevised_02012000_Epe" xfId="110"/>
    <cellStyle name="??_form_demand analysisrevised_1" xfId="111"/>
    <cellStyle name="??_ga_PB" xfId="112"/>
    <cellStyle name="??_laroux" xfId="113"/>
    <cellStyle name="??_laroux_1" xfId="114"/>
    <cellStyle name="??_laroux_1_demand analysisrevised" xfId="115"/>
    <cellStyle name="??_laroux_1_demand analysisrevised_1" xfId="116"/>
    <cellStyle name="??_laroux_2" xfId="117"/>
    <cellStyle name="??_laroux_2_02012000_Epe" xfId="118"/>
    <cellStyle name="??_laroux_2_demand analysisrevised" xfId="119"/>
    <cellStyle name="??_laroux_3" xfId="120"/>
    <cellStyle name="??_laroux_4" xfId="121"/>
    <cellStyle name="??_laroux_5" xfId="122"/>
    <cellStyle name="??_laroux_6" xfId="123"/>
    <cellStyle name="??_laroux_7" xfId="124"/>
    <cellStyle name="??_laroux_8" xfId="125"/>
    <cellStyle name="??_laroux_demand analysisrevised" xfId="126"/>
    <cellStyle name="??_laroux_demand analysisrevised_02012000_Epe" xfId="127"/>
    <cellStyle name="??_laroux_demand analysisrevised_1" xfId="128"/>
    <cellStyle name="??_laroux_demand analysisrevised_1_02012000_Epe" xfId="129"/>
    <cellStyle name="??_PERSONAL" xfId="130"/>
    <cellStyle name="??_PERSONAL_02012000_Epe" xfId="131"/>
    <cellStyle name="??_PERSONAL_1" xfId="132"/>
    <cellStyle name="??_PERSONAL_1_demand analysisrevised" xfId="133"/>
    <cellStyle name="??_PERSONAL_1_demand analysisrevised_1" xfId="134"/>
    <cellStyle name="??_PERSONAL_1_demand analysisrevised_1_02012000_Epe" xfId="135"/>
    <cellStyle name="??_PERSONAL_2" xfId="136"/>
    <cellStyle name="??_PERSONAL_2_02012000_Epe" xfId="137"/>
    <cellStyle name="??_PERSONAL_2_demand analysisrevised" xfId="138"/>
    <cellStyle name="??_PERSONAL_2_demand analysisrevised_1" xfId="139"/>
    <cellStyle name="??_PERSONAL_3" xfId="140"/>
    <cellStyle name="??_PERSONAL_3_02012000_Epe" xfId="141"/>
    <cellStyle name="??_PERSONAL_3_demand analysisrevised" xfId="142"/>
    <cellStyle name="??_PERSONAL_4" xfId="143"/>
    <cellStyle name="??_PERSONAL_demand analysisrevised" xfId="144"/>
    <cellStyle name="??_PERSONAL_demand analysisrevised_1" xfId="145"/>
    <cellStyle name="??_PERSONAL_demand analysisrevised_1_02012000_Epe" xfId="146"/>
    <cellStyle name="??_Query11" xfId="147"/>
    <cellStyle name="??_Sheet1" xfId="148"/>
    <cellStyle name="??_Sheet1 (2)" xfId="149"/>
    <cellStyle name="??_Sheet2" xfId="150"/>
    <cellStyle name="??_Sheet2_02012000_Epe" xfId="151"/>
    <cellStyle name="??_Sheet2_demand analysisrevised" xfId="152"/>
    <cellStyle name="Actual Date" xfId="153"/>
    <cellStyle name="Actual Date_02012000_Epe" xfId="154"/>
    <cellStyle name="Comma [0]_12matrix" xfId="155"/>
    <cellStyle name="Comma [0]_12matrix_02012000_Epe" xfId="156"/>
    <cellStyle name="Comma [0]_1995" xfId="157"/>
    <cellStyle name="Comma [0]_1995_02012000_Epe" xfId="158"/>
    <cellStyle name="Comma [0]_A" xfId="159"/>
    <cellStyle name="Comma [0]_A_02012000_Epe" xfId="160"/>
    <cellStyle name="Comma [0]_A_dimon" xfId="161"/>
    <cellStyle name="Comma [0]_A_dimon_02012000_Epe" xfId="162"/>
    <cellStyle name="Comma [0]_ACTUAL" xfId="163"/>
    <cellStyle name="Comma [0]_ACTUAL NA -OBU" xfId="164"/>
    <cellStyle name="Comma [0]_Actual vs." xfId="165"/>
    <cellStyle name="Comma [0]_algasdefault" xfId="166"/>
    <cellStyle name="Comma [0]_Alternative1" xfId="167"/>
    <cellStyle name="Comma [0]_Alternative1_02012000_Epe" xfId="168"/>
    <cellStyle name="Comma [0]_Alternative1_1" xfId="169"/>
    <cellStyle name="Comma [0]_Alternative1_1_02012000_Epe" xfId="170"/>
    <cellStyle name="Comma [0]_App E" xfId="171"/>
    <cellStyle name="Comma [0]_Apr" xfId="172"/>
    <cellStyle name="Comma [0]_Apr_02012000_Epe" xfId="173"/>
    <cellStyle name="Comma [0]_Arapahoe" xfId="174"/>
    <cellStyle name="Comma [0]_Assumptions" xfId="175"/>
    <cellStyle name="Comma [0]_Assumptions_02012000_Epe" xfId="176"/>
    <cellStyle name="Comma [0]_bahiadefault" xfId="177"/>
    <cellStyle name="Comma [0]_Book3" xfId="178"/>
    <cellStyle name="Comma [0]_BOP" xfId="179"/>
    <cellStyle name="Comma [0]_BOP_02012000_Epe" xfId="180"/>
    <cellStyle name="Comma [0]_BOPBAL1" xfId="181"/>
    <cellStyle name="Comma [0]_BOPCBU" xfId="182"/>
    <cellStyle name="Comma [0]_BOPCBU (2)" xfId="183"/>
    <cellStyle name="Comma [0]_BOPCBU96" xfId="184"/>
    <cellStyle name="Comma [0]_BSAPPE.XLS" xfId="185"/>
    <cellStyle name="Comma [0]_Calculations" xfId="186"/>
    <cellStyle name="Comma [0]_Calculations (2)" xfId="187"/>
    <cellStyle name="Comma [0]_Calculations (2)_02012000_Epe" xfId="188"/>
    <cellStyle name="Comma [0]_Calculations II" xfId="189"/>
    <cellStyle name="Comma [0]_Calculations II_02012000_Epe" xfId="190"/>
    <cellStyle name="Comma [0]_Calculations III" xfId="191"/>
    <cellStyle name="Comma [0]_Calculations III_02012000_Epe" xfId="192"/>
    <cellStyle name="Comma [0]_Calculations_02012000_Epe" xfId="193"/>
    <cellStyle name="Comma [0]_Calculations_1" xfId="194"/>
    <cellStyle name="Comma [0]_Calculations_1_02012000_Epe" xfId="195"/>
    <cellStyle name="Comma [0]_CAPEX" xfId="196"/>
    <cellStyle name="Comma [0]_CAPEX94" xfId="197"/>
    <cellStyle name="Comma [0]_CBU BOX CHART V PLAN" xfId="198"/>
    <cellStyle name="Comma [0]_CCA" xfId="199"/>
    <cellStyle name="Comma [0]_CCA_02012000_Epe" xfId="200"/>
    <cellStyle name="Comma [0]_CCOCPX" xfId="201"/>
    <cellStyle name="Comma [0]_CHANGES.XLS" xfId="202"/>
    <cellStyle name="Comma [0]_Charts" xfId="203"/>
    <cellStyle name="Comma [0]_Charts_02012000_Epe" xfId="204"/>
    <cellStyle name="Comma [0]_Comm File" xfId="205"/>
    <cellStyle name="Comma [0]_Comm File_02012000_Epe" xfId="206"/>
    <cellStyle name="Comma [0]_coperdefault" xfId="207"/>
    <cellStyle name="Comma [0]_Corp method" xfId="208"/>
    <cellStyle name="Comma [0]_Corp method_02012000_Epe" xfId="209"/>
    <cellStyle name="Comma [0]_CTCUR" xfId="210"/>
    <cellStyle name="Comma [0]_CTCUR_02012000_Epe" xfId="211"/>
    <cellStyle name="Comma [0]_CUMPLTCH" xfId="212"/>
    <cellStyle name="Comma [0]_DEFAULT" xfId="213"/>
    <cellStyle name="Comma [0]_dimon" xfId="214"/>
    <cellStyle name="Comma [0]_dimon_02012000_Epe" xfId="215"/>
    <cellStyle name="Comma [0]_Dowell C1b" xfId="216"/>
    <cellStyle name="Comma [0]_Dowell-C1a" xfId="217"/>
    <cellStyle name="Comma [0]_E&amp;ONW1" xfId="218"/>
    <cellStyle name="Comma [0]_E&amp;ONW2" xfId="219"/>
    <cellStyle name="Comma [0]_E&amp;OOCPX" xfId="220"/>
    <cellStyle name="Comma [0]_emserdefault" xfId="221"/>
    <cellStyle name="Comma [0]_F&amp;COCPX" xfId="222"/>
    <cellStyle name="Comma [0]_FEBRUARY" xfId="223"/>
    <cellStyle name="Comma [0]_FF" xfId="224"/>
    <cellStyle name="Comma [0]_FP 20 A (1)" xfId="225"/>
    <cellStyle name="Comma [0]_FP 20 A (2)" xfId="226"/>
    <cellStyle name="Comma [0]_FP-20 (App. E)" xfId="227"/>
    <cellStyle name="Comma [0]_FP-20 (App.A) " xfId="228"/>
    <cellStyle name="Comma [0]_FP-20 (App.A) _02012000_Epe" xfId="229"/>
    <cellStyle name="Comma [0]_FP-20 (App.D)" xfId="230"/>
    <cellStyle name="Comma [0]_FP-20(App.B)" xfId="231"/>
    <cellStyle name="Comma [0]_FP-20(C1) (a)" xfId="232"/>
    <cellStyle name="Comma [0]_FP-20(C1) (a) (2)" xfId="233"/>
    <cellStyle name="Comma [0]_FP-20(C1) (a) (2)_02012000_Epe" xfId="234"/>
    <cellStyle name="Comma [0]_FP-20(C1) (b)" xfId="235"/>
    <cellStyle name="Comma [0]_FP-20(C1) (b) " xfId="236"/>
    <cellStyle name="Comma [0]_FP-20(C1) (b) (2)" xfId="237"/>
    <cellStyle name="Comma [0]_FP-20(C1) (b) (2)_02012000_Epe" xfId="238"/>
    <cellStyle name="Comma [0]_GCM" xfId="239"/>
    <cellStyle name="Comma [0]_GCM_02012000_Epe" xfId="240"/>
    <cellStyle name="Comma [0]_GenAssum" xfId="241"/>
    <cellStyle name="Comma [0]_GP C1a" xfId="242"/>
    <cellStyle name="Comma [0]_GP C1b" xfId="243"/>
    <cellStyle name="Comma [0]_GP_EI_3" xfId="244"/>
    <cellStyle name="Comma [0]_GQ C1A" xfId="245"/>
    <cellStyle name="Comma [0]_GQ C1B" xfId="246"/>
    <cellStyle name="Comma [0]_Inputs" xfId="247"/>
    <cellStyle name="Comma [0]_IPM C1b" xfId="248"/>
    <cellStyle name="Comma [0]_IPMC1a" xfId="249"/>
    <cellStyle name="Comma [0]_IS-Hold" xfId="250"/>
    <cellStyle name="Comma [0]_ITOCPX" xfId="251"/>
    <cellStyle name="Comma [0]_jancf" xfId="252"/>
    <cellStyle name="Comma [0]_JUNMTH55" xfId="253"/>
    <cellStyle name="Comma [0]_JUNMTH55_02012000_Epe" xfId="254"/>
    <cellStyle name="Comma [0]_JUNMTH57" xfId="255"/>
    <cellStyle name="Comma [0]_JUNMTH57_02012000_Epe" xfId="256"/>
    <cellStyle name="Comma [0]_JUNYTD55" xfId="257"/>
    <cellStyle name="Comma [0]_JUNYTD55_02012000_Epe" xfId="258"/>
    <cellStyle name="Comma [0]_JUNYTD57" xfId="259"/>
    <cellStyle name="Comma [0]_JUNYTD57_02012000_Epe" xfId="260"/>
    <cellStyle name="Comma [0]_laroux" xfId="261"/>
    <cellStyle name="Comma [0]_laroux_02012000_Epe" xfId="262"/>
    <cellStyle name="Comma [0]_laroux_1" xfId="263"/>
    <cellStyle name="Comma [0]_laroux_1995" xfId="264"/>
    <cellStyle name="Comma [0]_laroux_1995_02012000_Epe" xfId="265"/>
    <cellStyle name="Comma [0]_laroux_1_dimon" xfId="266"/>
    <cellStyle name="Comma [0]_laroux_1_dimon_02012000_Epe" xfId="267"/>
    <cellStyle name="Comma [0]_laroux_1_dimon_1" xfId="268"/>
    <cellStyle name="Comma [0]_laroux_1_dimon_1_02012000_Epe" xfId="269"/>
    <cellStyle name="Comma [0]_laroux_1_laroux" xfId="270"/>
    <cellStyle name="Comma [0]_laroux_1_laroux_02012000_Epe" xfId="271"/>
    <cellStyle name="Comma [0]_laroux_1_pldt" xfId="272"/>
    <cellStyle name="Comma [0]_laroux_1_pldt_02012000_Epe" xfId="273"/>
    <cellStyle name="Comma [0]_laroux_1_PLDT_dimon" xfId="274"/>
    <cellStyle name="Comma [0]_laroux_1_PLDT_dimon_02012000_Epe" xfId="275"/>
    <cellStyle name="Comma [0]_laroux_1_VERA" xfId="276"/>
    <cellStyle name="Comma [0]_laroux_1_VERA_02012000_Epe" xfId="277"/>
    <cellStyle name="Comma [0]_laroux_1_VIRUS-EDY" xfId="278"/>
    <cellStyle name="Comma [0]_laroux_1_VIRUS-EDY_02012000_Epe" xfId="279"/>
    <cellStyle name="Comma [0]_laroux_2" xfId="280"/>
    <cellStyle name="Comma [0]_laroux_2_02012000_Epe" xfId="281"/>
    <cellStyle name="Comma [0]_laroux_2_dimon" xfId="282"/>
    <cellStyle name="Comma [0]_laroux_2_dimon_1" xfId="283"/>
    <cellStyle name="Comma [0]_laroux_2_dimon_1_02012000_Epe" xfId="284"/>
    <cellStyle name="Comma [0]_laroux_2_dimon_2" xfId="285"/>
    <cellStyle name="Comma [0]_laroux_2_dimon_2_02012000_Epe" xfId="286"/>
    <cellStyle name="Comma [0]_laroux_2_laroux" xfId="287"/>
    <cellStyle name="Comma [0]_laroux_2_laroux_02012000_Epe" xfId="288"/>
    <cellStyle name="Comma [0]_laroux_2_laroux_dimon" xfId="289"/>
    <cellStyle name="Comma [0]_laroux_2_laroux_dimon_02012000_Epe" xfId="290"/>
    <cellStyle name="Comma [0]_laroux_2_pldt" xfId="291"/>
    <cellStyle name="Comma [0]_laroux_2_pldt_02012000_Epe" xfId="292"/>
    <cellStyle name="Comma [0]_laroux_2_VERA" xfId="293"/>
    <cellStyle name="Comma [0]_laroux_2_VERA_02012000_Epe" xfId="294"/>
    <cellStyle name="Comma [0]_laroux_3" xfId="295"/>
    <cellStyle name="Comma [0]_laroux_3_02012000_Epe" xfId="296"/>
    <cellStyle name="Comma [0]_laroux_3_dimon" xfId="297"/>
    <cellStyle name="Comma [0]_laroux_3_dimon_02012000_Epe" xfId="298"/>
    <cellStyle name="Comma [0]_laroux_dimon" xfId="299"/>
    <cellStyle name="Comma [0]_laroux_dimon_02012000_Epe" xfId="300"/>
    <cellStyle name="Comma [0]_laroux_dimon_1" xfId="301"/>
    <cellStyle name="Comma [0]_laroux_laroux" xfId="302"/>
    <cellStyle name="Comma [0]_laroux_laroux_02012000_Epe" xfId="303"/>
    <cellStyle name="Comma [0]_laroux_laroux_1" xfId="304"/>
    <cellStyle name="Comma [0]_laroux_laroux_dimon" xfId="305"/>
    <cellStyle name="Comma [0]_laroux_laroux_dimon_02012000_Epe" xfId="306"/>
    <cellStyle name="Comma [0]_laroux_MATERAL2" xfId="307"/>
    <cellStyle name="Comma [0]_laroux_MATERAL2_02012000_Epe" xfId="308"/>
    <cellStyle name="Comma [0]_laroux_MATERAL2_dimon" xfId="309"/>
    <cellStyle name="Comma [0]_laroux_MATERAL2_dimon_02012000_Epe" xfId="310"/>
    <cellStyle name="Comma [0]_laroux_MATERAL2_laroux" xfId="311"/>
    <cellStyle name="Comma [0]_laroux_MATERAL2_laroux_02012000_Epe" xfId="312"/>
    <cellStyle name="Comma [0]_laroux_MATERAL2_laroux_dimon" xfId="313"/>
    <cellStyle name="Comma [0]_laroux_MATERAL2_laroux_dimon_02012000_Epe" xfId="314"/>
    <cellStyle name="Comma [0]_laroux_MATERAL2_pldt" xfId="315"/>
    <cellStyle name="Comma [0]_laroux_MATERAL2_pldt_02012000_Epe" xfId="316"/>
    <cellStyle name="Comma [0]_laroux_MATERAL2_VERA" xfId="317"/>
    <cellStyle name="Comma [0]_laroux_MATERAL2_VERA_02012000_Epe" xfId="318"/>
    <cellStyle name="Comma [0]_laroux_MATERAL2_VIRUS-EDY" xfId="319"/>
    <cellStyle name="Comma [0]_laroux_MATERAL2_VIRUS-EDY_02012000_Epe" xfId="320"/>
    <cellStyle name="Comma [0]_laroux_mud plant bolted" xfId="321"/>
    <cellStyle name="Comma [0]_laroux_mud plant bolted_02012000_Epe" xfId="322"/>
    <cellStyle name="Comma [0]_laroux_mud plant bolted_dimon" xfId="323"/>
    <cellStyle name="Comma [0]_laroux_mud plant bolted_dimon_02012000_Epe" xfId="324"/>
    <cellStyle name="Comma [0]_laroux_mud plant bolted_dimon_1" xfId="325"/>
    <cellStyle name="Comma [0]_laroux_mud plant bolted_dimon_1_02012000_Epe" xfId="326"/>
    <cellStyle name="Comma [0]_laroux_pldt" xfId="327"/>
    <cellStyle name="Comma [0]_laroux_VERA" xfId="328"/>
    <cellStyle name="Comma [0]_laroux_VERA_02012000_Epe" xfId="329"/>
    <cellStyle name="Comma [0]_laroux_VERA_1" xfId="330"/>
    <cellStyle name="Comma [0]_laroux_VIRUS-EDY" xfId="331"/>
    <cellStyle name="Comma [0]_MATERAL2" xfId="332"/>
    <cellStyle name="Comma [0]_MATERAL2_02012000_Epe" xfId="333"/>
    <cellStyle name="Comma [0]_MATERAL2_dimon" xfId="334"/>
    <cellStyle name="Comma [0]_MATERAL2_dimon_02012000_Epe" xfId="335"/>
    <cellStyle name="Comma [0]_MATERAL2_dimon_1" xfId="336"/>
    <cellStyle name="Comma [0]_MATERAL2_dimon_1_02012000_Epe" xfId="337"/>
    <cellStyle name="Comma [0]_may98dcr" xfId="338"/>
    <cellStyle name="Comma [0]_MKGOCPX" xfId="339"/>
    <cellStyle name="Comma [0]_MOBCPX" xfId="340"/>
    <cellStyle name="Comma [0]_mud plant bolted" xfId="341"/>
    <cellStyle name="Comma [0]_mud plant bolted_02012000_Epe" xfId="342"/>
    <cellStyle name="Comma [0]_mud plant bolted_dimon" xfId="343"/>
    <cellStyle name="Comma [0]_mud plant bolted_dimon_02012000_Epe" xfId="344"/>
    <cellStyle name="Comma [0]_mud plant bolted_laroux" xfId="345"/>
    <cellStyle name="Comma [0]_mud plant bolted_laroux_02012000_Epe" xfId="346"/>
    <cellStyle name="Comma [0]_mud plant bolted_laroux_dimon" xfId="347"/>
    <cellStyle name="Comma [0]_mud plant bolted_laroux_dimon_02012000_Epe" xfId="348"/>
    <cellStyle name="Comma [0]_mud plant bolted_pldt" xfId="349"/>
    <cellStyle name="Comma [0]_mud plant bolted_pldt_02012000_Epe" xfId="350"/>
    <cellStyle name="Comma [0]_mud plant bolted_VERA" xfId="351"/>
    <cellStyle name="Comma [0]_mud plant bolted_VERA_02012000_Epe" xfId="352"/>
    <cellStyle name="Comma [0]_mud plant bolted_VIRUS-EDY" xfId="353"/>
    <cellStyle name="Comma [0]_mud plant bolted_VIRUS-EDY_02012000_Epe" xfId="354"/>
    <cellStyle name="Comma [0]_NA WITHOUT GOV'T &amp; PNX" xfId="355"/>
    <cellStyle name="Comma [0]_NA WITHOUT GOV'T &amp; PNX_02012000_Epe" xfId="356"/>
    <cellStyle name="Comma [0]_NAOBU10" xfId="357"/>
    <cellStyle name="Comma [0]_NAT ACCT" xfId="358"/>
    <cellStyle name="Comma [0]_NAT ACCT_02012000_Epe" xfId="359"/>
    <cellStyle name="Comma [0]_NSACTUAL.XLS" xfId="360"/>
    <cellStyle name="Comma [0]_NX00" xfId="361"/>
    <cellStyle name="Comma [0]_Odner" xfId="362"/>
    <cellStyle name="Comma [0]_Odner (2)" xfId="363"/>
    <cellStyle name="Comma [0]_Odner (2)_02012000_Epe" xfId="364"/>
    <cellStyle name="Comma [0]_Odner (3)" xfId="365"/>
    <cellStyle name="Comma [0]_Odner (3)_02012000_Epe" xfId="366"/>
    <cellStyle name="Comma [0]_Odner_02012000_Epe" xfId="367"/>
    <cellStyle name="Comma [0]_OSMOCPX" xfId="368"/>
    <cellStyle name="Comma [0]_Other Months" xfId="369"/>
    <cellStyle name="Comma [0]_Other Months_02012000_Epe" xfId="370"/>
    <cellStyle name="Comma [0]_Outlook" xfId="371"/>
    <cellStyle name="Comma [0]_Outlook_02012000_Epe" xfId="372"/>
    <cellStyle name="Comma [0]_pbdefault" xfId="373"/>
    <cellStyle name="Comma [0]_percentages" xfId="374"/>
    <cellStyle name="Comma [0]_PERSONAL" xfId="375"/>
    <cellStyle name="Comma [0]_PERSONAL_02012000_Epe" xfId="376"/>
    <cellStyle name="Comma [0]_PGMKOCPX" xfId="377"/>
    <cellStyle name="Comma [0]_PGNW1" xfId="378"/>
    <cellStyle name="Comma [0]_PGNW2" xfId="379"/>
    <cellStyle name="Comma [0]_PGNWOCPX" xfId="380"/>
    <cellStyle name="Comma [0]_Pink" xfId="381"/>
    <cellStyle name="Comma [0]_Pink_02012000_Epe" xfId="382"/>
    <cellStyle name="Comma [0]_Plan" xfId="383"/>
    <cellStyle name="Comma [0]_Plan_02012000_Epe" xfId="384"/>
    <cellStyle name="Comma [0]_PLANT" xfId="385"/>
    <cellStyle name="Comma [0]_PLDT" xfId="386"/>
    <cellStyle name="Comma [0]_PLDT_02012000_Epe" xfId="387"/>
    <cellStyle name="Comma [0]_pldt_1" xfId="388"/>
    <cellStyle name="Comma [0]_PLDT_1_dimon" xfId="389"/>
    <cellStyle name="Comma [0]_PLDT_1_dimon_02012000_Epe" xfId="390"/>
    <cellStyle name="Comma [0]_pldt_Calculations" xfId="391"/>
    <cellStyle name="Comma [0]_pldt_Calculations_02012000_Epe" xfId="392"/>
    <cellStyle name="Comma [0]_PLDT_dimon" xfId="393"/>
    <cellStyle name="Comma [0]_priccurv" xfId="394"/>
    <cellStyle name="Comma [0]_PROCDS&amp;G" xfId="395"/>
    <cellStyle name="Comma [0]_PROFILE4" xfId="396"/>
    <cellStyle name="Comma [0]_Projects" xfId="397"/>
    <cellStyle name="Comma [0]_Projects_02012000_Epe" xfId="398"/>
    <cellStyle name="Comma [0]_Quarter End Months" xfId="399"/>
    <cellStyle name="Comma [0]_Quarter End Months_02012000_Epe" xfId="400"/>
    <cellStyle name="Comma [0]_r1" xfId="401"/>
    <cellStyle name="Comma [0]_r1_02012000_Epe" xfId="402"/>
    <cellStyle name="Comma [0]_RFI" xfId="403"/>
    <cellStyle name="Comma [0]_RFI_02012000_Epe" xfId="404"/>
    <cellStyle name="Comma [0]_RFI_1" xfId="405"/>
    <cellStyle name="Comma [0]_RFI_1_02012000_Epe" xfId="406"/>
    <cellStyle name="Comma [0]_Sales Order" xfId="407"/>
    <cellStyle name="Comma [0]_Sales Order_02012000_Epe" xfId="408"/>
    <cellStyle name="Comma [0]_SATOCPX" xfId="409"/>
    <cellStyle name="Comma [0]_Sheet1" xfId="410"/>
    <cellStyle name="Comma [0]_Sheet1_02012000_Epe" xfId="411"/>
    <cellStyle name="Comma [0]_Sheet1_dimon" xfId="412"/>
    <cellStyle name="Comma [0]_Sheet1_dimon_02012000_Epe" xfId="413"/>
    <cellStyle name="Comma [0]_SHENREPT" xfId="414"/>
    <cellStyle name="Comma [0]_Snr. CO" xfId="415"/>
    <cellStyle name="Comma [0]_Snr. CO_02012000_Epe" xfId="416"/>
    <cellStyle name="Comma [0]_sprint contr" xfId="417"/>
    <cellStyle name="Comma [0]_sprint contr_02012000_Epe" xfId="418"/>
    <cellStyle name="Comma [0]_Subcont File" xfId="419"/>
    <cellStyle name="Comma [0]_Subcont File_02012000_Epe" xfId="420"/>
    <cellStyle name="Comma [0]_Summary Info" xfId="421"/>
    <cellStyle name="Comma [0]_Summary Info_02012000_Epe" xfId="422"/>
    <cellStyle name="Comma [0]_SUMPAGE" xfId="423"/>
    <cellStyle name="Comma [0]_TMSNW1" xfId="424"/>
    <cellStyle name="Comma [0]_TMSNW2" xfId="425"/>
    <cellStyle name="Comma [0]_TMSOCPX" xfId="426"/>
    <cellStyle name="Comma [0]_TOTAL MTH" xfId="427"/>
    <cellStyle name="Comma [0]_TOTAL MTH_02012000_Epe" xfId="428"/>
    <cellStyle name="Comma [0]_TOTAL YTD" xfId="429"/>
    <cellStyle name="Comma [0]_TOTAL YTD_02012000_Epe" xfId="430"/>
    <cellStyle name="Comma [0]_TRANSDSC.XLS" xfId="431"/>
    <cellStyle name="Comma [0]_TRANSFXA.XLS" xfId="432"/>
    <cellStyle name="Comma [0]_TRANSFXA.XLS_1" xfId="433"/>
    <cellStyle name="Comma [0]_TRANSFXA.XLS_1_02012000_Epe" xfId="434"/>
    <cellStyle name="Comma [0]_TRANSIME.XLS" xfId="435"/>
    <cellStyle name="Comma [0]_TRANSIME.XLS_TRANSDSC.XLS" xfId="436"/>
    <cellStyle name="Comma [0]_TRANSIME.XLS_TRANSDSC.XLS_02012000_Epe" xfId="437"/>
    <cellStyle name="Comma [0]_TRANSIME.XLS_TRANSFXA.XLS" xfId="438"/>
    <cellStyle name="Comma [0]_VIRUS-EDY" xfId="439"/>
    <cellStyle name="Comma [0]_VIRUS-EDY_02012000_Epe" xfId="440"/>
    <cellStyle name="Comma [0]_White" xfId="441"/>
    <cellStyle name="Comma [0]_White_02012000_Epe" xfId="442"/>
    <cellStyle name="Comma [0]_WO Var. &amp; Tot. Exp." xfId="443"/>
    <cellStyle name="Comma [0]_WO Var. &amp; Tot. Exp._02012000_Epe" xfId="444"/>
    <cellStyle name="Comma [0]_WSP" xfId="445"/>
    <cellStyle name="Comma [0]_yrcao" xfId="446"/>
    <cellStyle name="Comma [0]_yrcao_02012000_Epe" xfId="447"/>
    <cellStyle name="Comma [0]_YREND55" xfId="448"/>
    <cellStyle name="Comma [0]_YREND55_02012000_Epe" xfId="449"/>
    <cellStyle name="Comma [0]_YREND57" xfId="450"/>
    <cellStyle name="Comma [0]_YREND57_02012000_Epe" xfId="451"/>
    <cellStyle name="Comma [0]_YTDCUR" xfId="452"/>
    <cellStyle name="Comma [0]_YTDCUR_02012000_Epe" xfId="453"/>
    <cellStyle name="Comma_12matrix" xfId="454"/>
    <cellStyle name="Comma_12matrix_02012000_Epe" xfId="455"/>
    <cellStyle name="Comma_1995" xfId="456"/>
    <cellStyle name="Comma_1995_02012000_Epe" xfId="457"/>
    <cellStyle name="Comma_A" xfId="458"/>
    <cellStyle name="Comma_A_02012000_Epe" xfId="459"/>
    <cellStyle name="Comma_A_dimon" xfId="460"/>
    <cellStyle name="Comma_A_dimon_02012000_Epe" xfId="461"/>
    <cellStyle name="Comma_ACTUAL" xfId="462"/>
    <cellStyle name="Comma_ACTUAL NA -OBU" xfId="463"/>
    <cellStyle name="Comma_Actual vs." xfId="464"/>
    <cellStyle name="Comma_algasdefault" xfId="465"/>
    <cellStyle name="Comma_algasdefault_1" xfId="466"/>
    <cellStyle name="Comma_Alternative1" xfId="467"/>
    <cellStyle name="Comma_Alternative1_02012000_Epe" xfId="468"/>
    <cellStyle name="Comma_Alternative1_1" xfId="469"/>
    <cellStyle name="Comma_Alternative1_1_02012000_Epe" xfId="470"/>
    <cellStyle name="Comma_App E" xfId="471"/>
    <cellStyle name="Comma_Apr" xfId="472"/>
    <cellStyle name="Comma_Apr_02012000_Epe" xfId="473"/>
    <cellStyle name="Comma_Arapahoe" xfId="474"/>
    <cellStyle name="Comma_Assumptions" xfId="475"/>
    <cellStyle name="Comma_Assumptions_02012000_Epe" xfId="476"/>
    <cellStyle name="Comma_bahiadefault" xfId="477"/>
    <cellStyle name="Comma_bahiadefault_1" xfId="478"/>
    <cellStyle name="Comma_Book3" xfId="479"/>
    <cellStyle name="Comma_BOP" xfId="480"/>
    <cellStyle name="Comma_BOP_02012000_Epe" xfId="481"/>
    <cellStyle name="Comma_BOPBAL1" xfId="482"/>
    <cellStyle name="Comma_BOPCBU" xfId="483"/>
    <cellStyle name="Comma_BOPCBU (2)" xfId="484"/>
    <cellStyle name="Comma_BOPCBU96" xfId="485"/>
    <cellStyle name="Comma_BSAPPE.XLS" xfId="486"/>
    <cellStyle name="Comma_C-Cap intensity" xfId="487"/>
    <cellStyle name="Comma_C-Capex%rev" xfId="488"/>
    <cellStyle name="Comma_C-Line per Staff" xfId="489"/>
    <cellStyle name="Comma_C-lines distribution" xfId="490"/>
    <cellStyle name="Comma_C-Orig PLDT lines" xfId="491"/>
    <cellStyle name="Comma_C-Ret on Rev" xfId="492"/>
    <cellStyle name="Comma_C-ROACE" xfId="493"/>
    <cellStyle name="Comma_Calculations" xfId="494"/>
    <cellStyle name="Comma_Calculations (2)" xfId="495"/>
    <cellStyle name="Comma_Calculations (2)_02012000_Epe" xfId="496"/>
    <cellStyle name="Comma_Calculations II" xfId="497"/>
    <cellStyle name="Comma_Calculations II_02012000_Epe" xfId="498"/>
    <cellStyle name="Comma_Calculations III" xfId="499"/>
    <cellStyle name="Comma_Calculations III_02012000_Epe" xfId="500"/>
    <cellStyle name="Comma_Calculations_02012000_Epe" xfId="501"/>
    <cellStyle name="Comma_Calculations_1" xfId="502"/>
    <cellStyle name="Comma_Calculations_1_02012000_Epe" xfId="503"/>
    <cellStyle name="Comma_Capex" xfId="504"/>
    <cellStyle name="Comma_Capex per line" xfId="505"/>
    <cellStyle name="Comma_Capex per line_02012000_Epe" xfId="506"/>
    <cellStyle name="Comma_Capex%rev" xfId="507"/>
    <cellStyle name="Comma_Capex%rev_02012000_Epe" xfId="508"/>
    <cellStyle name="Comma_CAPEX94" xfId="509"/>
    <cellStyle name="Comma_Capex_02012000_Epe" xfId="510"/>
    <cellStyle name="Comma_CAPEX_dimon" xfId="511"/>
    <cellStyle name="Comma_CBU BOX CHART V PLAN" xfId="512"/>
    <cellStyle name="Comma_CCA" xfId="513"/>
    <cellStyle name="Comma_CCA_02012000_Epe" xfId="514"/>
    <cellStyle name="Comma_CCOCPX" xfId="515"/>
    <cellStyle name="Comma_CHANGES.XLS" xfId="516"/>
    <cellStyle name="Comma_Charts" xfId="517"/>
    <cellStyle name="Comma_Charts_02012000_Epe" xfId="518"/>
    <cellStyle name="Comma_Cht-Capex per line" xfId="519"/>
    <cellStyle name="Comma_Cht-Cum Real Opr Cf" xfId="520"/>
    <cellStyle name="Comma_Cht-Dep%Rev" xfId="521"/>
    <cellStyle name="Comma_Cht-Real Opr Cf" xfId="522"/>
    <cellStyle name="Comma_Cht-Rev dist" xfId="523"/>
    <cellStyle name="Comma_Cht-Rev p line" xfId="524"/>
    <cellStyle name="Comma_Cht-Rev per Staff" xfId="525"/>
    <cellStyle name="Comma_Cht-Staff cost%revenue" xfId="526"/>
    <cellStyle name="Comma_Comm File" xfId="527"/>
    <cellStyle name="Comma_Comm File_02012000_Epe" xfId="528"/>
    <cellStyle name="Comma_coperdefault" xfId="529"/>
    <cellStyle name="Comma_coperdefault_1" xfId="530"/>
    <cellStyle name="Comma_Corp method" xfId="531"/>
    <cellStyle name="Comma_Corp method_02012000_Epe" xfId="532"/>
    <cellStyle name="Comma_CROCF" xfId="533"/>
    <cellStyle name="Comma_CROCF_02012000_Epe" xfId="534"/>
    <cellStyle name="Comma_CTCUR" xfId="535"/>
    <cellStyle name="Comma_CTCUR_02012000_Epe" xfId="536"/>
    <cellStyle name="Comma_Cum Real Opr Cf" xfId="537"/>
    <cellStyle name="Comma_Cum Real Opr Cf_02012000_Epe" xfId="538"/>
    <cellStyle name="Comma_CUMPLTCH" xfId="539"/>
    <cellStyle name="Comma_DEFAULT" xfId="540"/>
    <cellStyle name="Comma_Demand Fcst." xfId="541"/>
    <cellStyle name="Comma_Demand Fcst._02012000_Epe" xfId="542"/>
    <cellStyle name="Comma_Dep%Rev" xfId="543"/>
    <cellStyle name="Comma_Dep%Rev_02012000_Epe" xfId="544"/>
    <cellStyle name="Comma_dimon" xfId="545"/>
    <cellStyle name="Comma_dimon_02012000_Epe" xfId="546"/>
    <cellStyle name="Comma_Dowell C1b" xfId="547"/>
    <cellStyle name="Comma_Dowell-C1a" xfId="548"/>
    <cellStyle name="Comma_E&amp;ONW1" xfId="549"/>
    <cellStyle name="Comma_E&amp;ONW2" xfId="550"/>
    <cellStyle name="Comma_E&amp;OOCPX" xfId="551"/>
    <cellStyle name="Comma_emserdefault" xfId="552"/>
    <cellStyle name="Comma_emserdefault_1" xfId="553"/>
    <cellStyle name="Comma_EPS" xfId="554"/>
    <cellStyle name="Comma_EPS_02012000_Epe" xfId="555"/>
    <cellStyle name="Comma_F&amp;COCPX" xfId="556"/>
    <cellStyle name="Comma_FEBRUARY" xfId="557"/>
    <cellStyle name="Comma_FF" xfId="558"/>
    <cellStyle name="Comma_FP 20 A (1)" xfId="559"/>
    <cellStyle name="Comma_FP 20 A (2)" xfId="560"/>
    <cellStyle name="Comma_FP-20 (App. E)" xfId="561"/>
    <cellStyle name="Comma_FP-20 (App.A) " xfId="562"/>
    <cellStyle name="Comma_FP-20 (App.A) _02012000_Epe" xfId="563"/>
    <cellStyle name="Comma_FP-20 (App.D)" xfId="564"/>
    <cellStyle name="Comma_FP-20(App.B)" xfId="565"/>
    <cellStyle name="Comma_FP-20(C1) (a)" xfId="566"/>
    <cellStyle name="Comma_FP-20(C1) (a) (2)" xfId="567"/>
    <cellStyle name="Comma_FP-20(C1) (a) (2)_02012000_Epe" xfId="568"/>
    <cellStyle name="Comma_FP-20(C1) (b)" xfId="569"/>
    <cellStyle name="Comma_FP-20(C1) (b) " xfId="570"/>
    <cellStyle name="Comma_FP-20(C1) (b) (2)" xfId="571"/>
    <cellStyle name="Comma_FP-20(C1) (b) (2)_02012000_Epe" xfId="572"/>
    <cellStyle name="Comma_GCM" xfId="573"/>
    <cellStyle name="Comma_GCM_02012000_Epe" xfId="574"/>
    <cellStyle name="Comma_GenAssum" xfId="575"/>
    <cellStyle name="Comma_GP C1a" xfId="576"/>
    <cellStyle name="Comma_GP C1b" xfId="577"/>
    <cellStyle name="Comma_GP_EI_3" xfId="578"/>
    <cellStyle name="Comma_GQ C1A" xfId="579"/>
    <cellStyle name="Comma_GQ C1B" xfId="580"/>
    <cellStyle name="Comma_Inputs" xfId="581"/>
    <cellStyle name="Comma_IPM C1b" xfId="582"/>
    <cellStyle name="Comma_IPMC1a" xfId="583"/>
    <cellStyle name="Comma_IRR" xfId="584"/>
    <cellStyle name="Comma_IRR_02012000_Epe" xfId="585"/>
    <cellStyle name="Comma_IS-Hold" xfId="586"/>
    <cellStyle name="Comma_ITOCPX" xfId="587"/>
    <cellStyle name="Comma_jancf" xfId="588"/>
    <cellStyle name="Comma_JUNMTH55" xfId="589"/>
    <cellStyle name="Comma_JUNMTH55_02012000_Epe" xfId="590"/>
    <cellStyle name="Comma_JUNMTH57" xfId="591"/>
    <cellStyle name="Comma_JUNMTH57_02012000_Epe" xfId="592"/>
    <cellStyle name="Comma_JUNYTD55" xfId="593"/>
    <cellStyle name="Comma_JUNYTD55_02012000_Epe" xfId="594"/>
    <cellStyle name="Comma_JUNYTD57" xfId="595"/>
    <cellStyle name="Comma_JUNYTD57_02012000_Epe" xfId="596"/>
    <cellStyle name="Comma_laroux" xfId="597"/>
    <cellStyle name="Comma_laroux_02012000_Epe" xfId="598"/>
    <cellStyle name="Comma_laroux_1" xfId="599"/>
    <cellStyle name="Comma_laroux_1995" xfId="600"/>
    <cellStyle name="Comma_laroux_1995_02012000_Epe" xfId="601"/>
    <cellStyle name="Comma_laroux_1_dimon" xfId="602"/>
    <cellStyle name="Comma_laroux_1_dimon_02012000_Epe" xfId="603"/>
    <cellStyle name="Comma_laroux_1_dimon_1" xfId="604"/>
    <cellStyle name="Comma_laroux_1_dimon_1_02012000_Epe" xfId="605"/>
    <cellStyle name="Comma_laroux_1_laroux" xfId="606"/>
    <cellStyle name="Comma_laroux_1_laroux_02012000_Epe" xfId="607"/>
    <cellStyle name="Comma_laroux_1_pldt" xfId="608"/>
    <cellStyle name="Comma_laroux_1_pldt_1" xfId="609"/>
    <cellStyle name="Comma_laroux_1_pldt_1_02012000_Epe" xfId="610"/>
    <cellStyle name="Comma_laroux_1_PLDT_dimon" xfId="611"/>
    <cellStyle name="Comma_laroux_1_PLDT_dimon_02012000_Epe" xfId="612"/>
    <cellStyle name="Comma_laroux_1_VERA" xfId="613"/>
    <cellStyle name="Comma_laroux_1_VERA_1" xfId="614"/>
    <cellStyle name="Comma_laroux_1_VERA_1_02012000_Epe" xfId="615"/>
    <cellStyle name="Comma_laroux_1_VIRUS-EDY" xfId="616"/>
    <cellStyle name="Comma_laroux_1_VIRUS-EDY_02012000_Epe" xfId="617"/>
    <cellStyle name="Comma_laroux_2" xfId="618"/>
    <cellStyle name="Comma_laroux_2_dimon" xfId="619"/>
    <cellStyle name="Comma_laroux_2_dimon_1" xfId="620"/>
    <cellStyle name="Comma_laroux_2_dimon_1_02012000_Epe" xfId="621"/>
    <cellStyle name="Comma_laroux_2_dimon_2" xfId="622"/>
    <cellStyle name="Comma_laroux_2_dimon_2_02012000_Epe" xfId="623"/>
    <cellStyle name="Comma_laroux_2_laroux" xfId="624"/>
    <cellStyle name="Comma_laroux_2_laroux_02012000_Epe" xfId="625"/>
    <cellStyle name="Comma_laroux_2_laroux_dimon" xfId="626"/>
    <cellStyle name="Comma_laroux_2_laroux_dimon_02012000_Epe" xfId="627"/>
    <cellStyle name="Comma_laroux_2_pldt" xfId="628"/>
    <cellStyle name="Comma_laroux_2_pldt_02012000_Epe" xfId="629"/>
    <cellStyle name="Comma_laroux_2_pldt_1" xfId="630"/>
    <cellStyle name="Comma_laroux_2_pldt_1_02012000_Epe" xfId="631"/>
    <cellStyle name="Comma_laroux_2_PLDT_dimon" xfId="632"/>
    <cellStyle name="Comma_laroux_2_PLDT_dimon_02012000_Epe" xfId="633"/>
    <cellStyle name="Comma_laroux_2_VERA" xfId="634"/>
    <cellStyle name="Comma_laroux_2_VERA_1" xfId="635"/>
    <cellStyle name="Comma_laroux_2_VERA_1_02012000_Epe" xfId="636"/>
    <cellStyle name="Comma_laroux_3" xfId="637"/>
    <cellStyle name="Comma_laroux_3_02012000_Epe" xfId="638"/>
    <cellStyle name="Comma_laroux_3_dimon" xfId="639"/>
    <cellStyle name="Comma_laroux_3_dimon_02012000_Epe" xfId="640"/>
    <cellStyle name="Comma_laroux_3_dimon_1" xfId="641"/>
    <cellStyle name="Comma_laroux_3_dimon_1_02012000_Epe" xfId="642"/>
    <cellStyle name="Comma_laroux_3_dimon_2" xfId="643"/>
    <cellStyle name="Comma_laroux_3_dimon_2_02012000_Epe" xfId="644"/>
    <cellStyle name="Comma_laroux_dimon" xfId="645"/>
    <cellStyle name="Comma_laroux_dimon_02012000_Epe" xfId="646"/>
    <cellStyle name="Comma_laroux_dimon_1" xfId="647"/>
    <cellStyle name="Comma_laroux_laroux" xfId="648"/>
    <cellStyle name="Comma_laroux_laroux_02012000_Epe" xfId="649"/>
    <cellStyle name="Comma_laroux_laroux_1" xfId="650"/>
    <cellStyle name="Comma_laroux_laroux_dimon" xfId="651"/>
    <cellStyle name="Comma_laroux_laroux_dimon_02012000_Epe" xfId="652"/>
    <cellStyle name="Comma_laroux_pldt" xfId="653"/>
    <cellStyle name="Comma_laroux_pldt_1" xfId="654"/>
    <cellStyle name="Comma_laroux_pldt_1_02012000_Epe" xfId="655"/>
    <cellStyle name="Comma_laroux_VERA" xfId="656"/>
    <cellStyle name="Comma_laroux_VERA_02012000_Epe" xfId="657"/>
    <cellStyle name="Comma_laroux_VERA_1" xfId="658"/>
    <cellStyle name="Comma_laroux_VIRUS-EDY" xfId="659"/>
    <cellStyle name="Comma_Line Inst." xfId="660"/>
    <cellStyle name="Comma_Line Inst._02012000_Epe" xfId="661"/>
    <cellStyle name="Comma_MATERAL2" xfId="662"/>
    <cellStyle name="Comma_MATERAL2_02012000_Epe" xfId="663"/>
    <cellStyle name="Comma_MATERAL2_dimon" xfId="664"/>
    <cellStyle name="Comma_MATERAL2_dimon_02012000_Epe" xfId="665"/>
    <cellStyle name="Comma_MATERAL2_dimon_1" xfId="666"/>
    <cellStyle name="Comma_MATERAL2_dimon_1_02012000_Epe" xfId="667"/>
    <cellStyle name="Comma_may98dcr" xfId="668"/>
    <cellStyle name="Comma_MKGOCPX" xfId="669"/>
    <cellStyle name="Comma_Mkt Shr" xfId="670"/>
    <cellStyle name="Comma_Mkt Shr_02012000_Epe" xfId="671"/>
    <cellStyle name="Comma_MOBCPX" xfId="672"/>
    <cellStyle name="Comma_mud plant bolted" xfId="673"/>
    <cellStyle name="Comma_NA WITHOUT GOV'T &amp; PNX" xfId="674"/>
    <cellStyle name="Comma_NA WITHOUT GOV'T &amp; PNX_02012000_Epe" xfId="675"/>
    <cellStyle name="Comma_NAOBU10" xfId="676"/>
    <cellStyle name="Comma_NAT ACCT" xfId="677"/>
    <cellStyle name="Comma_NAT ACCT_02012000_Epe" xfId="678"/>
    <cellStyle name="Comma_NCR-C&amp;W Val" xfId="679"/>
    <cellStyle name="Comma_NCR-C&amp;W Val_02012000_Epe" xfId="680"/>
    <cellStyle name="Comma_NCR-Cap intensity" xfId="681"/>
    <cellStyle name="Comma_NCR-Cap intensity_02012000_Epe" xfId="682"/>
    <cellStyle name="Comma_NCR-Line per Staff" xfId="683"/>
    <cellStyle name="Comma_NCR-Line per Staff_02012000_Epe" xfId="684"/>
    <cellStyle name="Comma_NCR-Rev dist" xfId="685"/>
    <cellStyle name="Comma_NCR-Rev dist_02012000_Epe" xfId="686"/>
    <cellStyle name="Comma_NSACTUAL.XLS" xfId="687"/>
    <cellStyle name="Comma_NX00" xfId="688"/>
    <cellStyle name="Comma_Odner" xfId="689"/>
    <cellStyle name="Comma_Odner (2)" xfId="690"/>
    <cellStyle name="Comma_Odner (2)_02012000_Epe" xfId="691"/>
    <cellStyle name="Comma_Odner (3)" xfId="692"/>
    <cellStyle name="Comma_Odner (3)_02012000_Epe" xfId="693"/>
    <cellStyle name="Comma_Odner_02012000_Epe" xfId="694"/>
    <cellStyle name="Comma_Op Cost Break" xfId="695"/>
    <cellStyle name="Comma_Op Cost Break_02012000_Epe" xfId="696"/>
    <cellStyle name="Comma_OSMOCPX" xfId="697"/>
    <cellStyle name="Comma_Other Months" xfId="698"/>
    <cellStyle name="Comma_Other Months_02012000_Epe" xfId="699"/>
    <cellStyle name="Comma_Outlook" xfId="700"/>
    <cellStyle name="Comma_Outlook_02012000_Epe" xfId="701"/>
    <cellStyle name="Comma_pbdefault" xfId="702"/>
    <cellStyle name="Comma_pbdefault_1" xfId="703"/>
    <cellStyle name="Comma_percentages" xfId="704"/>
    <cellStyle name="Comma_PERSONAL" xfId="705"/>
    <cellStyle name="Comma_PERSONAL_02012000_Epe" xfId="706"/>
    <cellStyle name="Comma_PGMKOCPX" xfId="707"/>
    <cellStyle name="Comma_PGNW1" xfId="708"/>
    <cellStyle name="Comma_PGNW2" xfId="709"/>
    <cellStyle name="Comma_PGNWOCPX" xfId="710"/>
    <cellStyle name="Comma_Pink" xfId="711"/>
    <cellStyle name="Comma_Pink_02012000_Epe" xfId="712"/>
    <cellStyle name="Comma_Plan" xfId="713"/>
    <cellStyle name="Comma_Plan_02012000_Epe" xfId="714"/>
    <cellStyle name="Comma_PLANT" xfId="715"/>
    <cellStyle name="Comma_PLDT" xfId="716"/>
    <cellStyle name="Comma_PLDT_02012000_Epe" xfId="717"/>
    <cellStyle name="Comma_pldt_1" xfId="718"/>
    <cellStyle name="Comma_PLDT_1_dimon" xfId="719"/>
    <cellStyle name="Comma_PLDT_1_dimon_02012000_Epe" xfId="720"/>
    <cellStyle name="Comma_pldt_2" xfId="721"/>
    <cellStyle name="Comma_pldt_Calculations" xfId="722"/>
    <cellStyle name="Comma_pldt_Calculations_02012000_Epe" xfId="723"/>
    <cellStyle name="Comma_PLDT_dimon" xfId="724"/>
    <cellStyle name="Comma_priccurv" xfId="725"/>
    <cellStyle name="Comma_PROCDS&amp;G" xfId="726"/>
    <cellStyle name="Comma_PROFILE4" xfId="727"/>
    <cellStyle name="Comma_Projects" xfId="728"/>
    <cellStyle name="Comma_Projects_02012000_Epe" xfId="729"/>
    <cellStyle name="Comma_Quarter End Months" xfId="730"/>
    <cellStyle name="Comma_Quarter End Months_02012000_Epe" xfId="731"/>
    <cellStyle name="Comma_r1" xfId="732"/>
    <cellStyle name="Comma_r1_02012000_Epe" xfId="733"/>
    <cellStyle name="Comma_Real Opr Cf" xfId="734"/>
    <cellStyle name="Comma_Real Opr Cf_02012000_Epe" xfId="735"/>
    <cellStyle name="Comma_Real Rev per Staff (1)" xfId="736"/>
    <cellStyle name="Comma_Real Rev per Staff (1)_02012000_Epe" xfId="737"/>
    <cellStyle name="Comma_Real Rev per Staff (2)" xfId="738"/>
    <cellStyle name="Comma_Real Rev per Staff (2)_02012000_Epe" xfId="739"/>
    <cellStyle name="Comma_Region 2-C&amp;W" xfId="740"/>
    <cellStyle name="Comma_Region 2-C&amp;W_02012000_Epe" xfId="741"/>
    <cellStyle name="Comma_Return on Rev" xfId="742"/>
    <cellStyle name="Comma_Return on Rev_02012000_Epe" xfId="743"/>
    <cellStyle name="Comma_Rev p line" xfId="744"/>
    <cellStyle name="Comma_Rev p line_02012000_Epe" xfId="745"/>
    <cellStyle name="Comma_RFI" xfId="746"/>
    <cellStyle name="Comma_RFI_02012000_Epe" xfId="747"/>
    <cellStyle name="Comma_RFI_1" xfId="748"/>
    <cellStyle name="Comma_RFI_1_02012000_Epe" xfId="749"/>
    <cellStyle name="Comma_ROACE" xfId="750"/>
    <cellStyle name="Comma_ROACE_02012000_Epe" xfId="751"/>
    <cellStyle name="Comma_ROCF (Tot)" xfId="752"/>
    <cellStyle name="Comma_ROCF (Tot)_02012000_Epe" xfId="753"/>
    <cellStyle name="Comma_Sales Order" xfId="754"/>
    <cellStyle name="Comma_Sales Order_02012000_Epe" xfId="755"/>
    <cellStyle name="Comma_SATOCPX" xfId="756"/>
    <cellStyle name="Comma_Sheet1" xfId="757"/>
    <cellStyle name="Comma_Sheet1_02012000_Epe" xfId="758"/>
    <cellStyle name="Comma_Sheet1_dimon" xfId="759"/>
    <cellStyle name="Comma_Sheet1_dimon_02012000_Epe" xfId="760"/>
    <cellStyle name="Comma_SHENREPT" xfId="761"/>
    <cellStyle name="Comma_Snr. CO" xfId="762"/>
    <cellStyle name="Comma_Snr. CO_02012000_Epe" xfId="763"/>
    <cellStyle name="Comma_sprint contr" xfId="764"/>
    <cellStyle name="Comma_sprint contr_02012000_Epe" xfId="765"/>
    <cellStyle name="Comma_Staff cost%rev" xfId="766"/>
    <cellStyle name="Comma_Staff cost%rev_02012000_Epe" xfId="767"/>
    <cellStyle name="Comma_Subcont File" xfId="768"/>
    <cellStyle name="Comma_Subcont File_02012000_Epe" xfId="769"/>
    <cellStyle name="Comma_Summary Info" xfId="770"/>
    <cellStyle name="Comma_Summary Info_02012000_Epe" xfId="771"/>
    <cellStyle name="Comma_SUMPAGE" xfId="772"/>
    <cellStyle name="Comma_TMSNW1" xfId="773"/>
    <cellStyle name="Comma_TMSNW2" xfId="774"/>
    <cellStyle name="Comma_TMSOCPX" xfId="775"/>
    <cellStyle name="Comma_TOTAL MTH" xfId="776"/>
    <cellStyle name="Comma_TOTAL MTH_02012000_Epe" xfId="777"/>
    <cellStyle name="Comma_TOTAL YTD" xfId="778"/>
    <cellStyle name="Comma_TOTAL YTD_02012000_Epe" xfId="779"/>
    <cellStyle name="Comma_Total-Rev dist." xfId="780"/>
    <cellStyle name="Comma_Total-Rev dist._02012000_Epe" xfId="781"/>
    <cellStyle name="Comma_TRANSDSC.XLS" xfId="782"/>
    <cellStyle name="Comma_TRANSFXA.XLS" xfId="783"/>
    <cellStyle name="Comma_TRANSFXA.XLS_1" xfId="784"/>
    <cellStyle name="Comma_TRANSFXA.XLS_1_02012000_Epe" xfId="785"/>
    <cellStyle name="Comma_TRANSIME.XLS" xfId="786"/>
    <cellStyle name="Comma_TRANSIME.XLS_TRANSDSC.XLS" xfId="787"/>
    <cellStyle name="Comma_TRANSIME.XLS_TRANSDSC.XLS_02012000_Epe" xfId="788"/>
    <cellStyle name="Comma_TRANSIME.XLS_TRANSFXA.XLS" xfId="789"/>
    <cellStyle name="Comma_VIRUS-EDY" xfId="790"/>
    <cellStyle name="Comma_VIRUS-EDY_02012000_Epe" xfId="791"/>
    <cellStyle name="Comma_White" xfId="792"/>
    <cellStyle name="Comma_White_02012000_Epe" xfId="793"/>
    <cellStyle name="Comma_WO Var. &amp; Tot. Exp." xfId="794"/>
    <cellStyle name="Comma_WO Var. &amp; Tot. Exp._02012000_Epe" xfId="795"/>
    <cellStyle name="Comma_WSP" xfId="796"/>
    <cellStyle name="Comma_yrcao" xfId="797"/>
    <cellStyle name="Comma_yrcao_02012000_Epe" xfId="798"/>
    <cellStyle name="Comma_YREND55" xfId="799"/>
    <cellStyle name="Comma_YREND55_02012000_Epe" xfId="800"/>
    <cellStyle name="Comma_YREND57" xfId="801"/>
    <cellStyle name="Comma_YREND57_02012000_Epe" xfId="802"/>
    <cellStyle name="Comma_YTDCUR" xfId="803"/>
    <cellStyle name="Comma_YTDCUR_02012000_Epe" xfId="804"/>
    <cellStyle name="Currency [0]_12matrix" xfId="805"/>
    <cellStyle name="Currency [0]_12matrix_02012000_Epe" xfId="806"/>
    <cellStyle name="Currency [0]_1995" xfId="807"/>
    <cellStyle name="Currency [0]_1995_02012000_Epe" xfId="808"/>
    <cellStyle name="Currency [0]_A" xfId="809"/>
    <cellStyle name="Currency [0]_A_02012000_Epe" xfId="810"/>
    <cellStyle name="Currency [0]_A_dimon" xfId="811"/>
    <cellStyle name="Currency [0]_A_dimon_02012000_Epe" xfId="812"/>
    <cellStyle name="Currency [0]_ACTUAL" xfId="813"/>
    <cellStyle name="Currency [0]_ACTUAL NA -OBU" xfId="814"/>
    <cellStyle name="Currency [0]_ACTUAL NA -OBU_02012000_Epe" xfId="815"/>
    <cellStyle name="Currency [0]_Actual vs." xfId="816"/>
    <cellStyle name="Currency [0]_Actual vs._02012000_Epe" xfId="817"/>
    <cellStyle name="Currency [0]_ACTUAL_02012000_Epe" xfId="818"/>
    <cellStyle name="Currency [0]_algasdefault" xfId="819"/>
    <cellStyle name="Currency [0]_Alternative1" xfId="820"/>
    <cellStyle name="Currency [0]_Alternative1_02012000_Epe" xfId="821"/>
    <cellStyle name="Currency [0]_Alternative1_1" xfId="822"/>
    <cellStyle name="Currency [0]_Alternative1_1_02012000_Epe" xfId="823"/>
    <cellStyle name="Currency [0]_App E" xfId="824"/>
    <cellStyle name="Currency [0]_App E_02012000_Epe" xfId="825"/>
    <cellStyle name="Currency [0]_Apr" xfId="826"/>
    <cellStyle name="Currency [0]_Apr_02012000_Epe" xfId="827"/>
    <cellStyle name="Currency [0]_Arapahoe" xfId="828"/>
    <cellStyle name="Currency [0]_Assumptions" xfId="829"/>
    <cellStyle name="Currency [0]_Assumptions_02012000_Epe" xfId="830"/>
    <cellStyle name="Currency [0]_bahiadefault" xfId="831"/>
    <cellStyle name="Currency [0]_Book3" xfId="832"/>
    <cellStyle name="Currency [0]_BOP" xfId="833"/>
    <cellStyle name="Currency [0]_BOP_02012000_Epe" xfId="834"/>
    <cellStyle name="Currency [0]_BOPBAL1" xfId="835"/>
    <cellStyle name="Currency [0]_BOPBAL1_02012000_Epe" xfId="836"/>
    <cellStyle name="Currency [0]_BOPCBU" xfId="837"/>
    <cellStyle name="Currency [0]_BOPCBU (2)" xfId="838"/>
    <cellStyle name="Currency [0]_BOPCBU (2)_02012000_Epe" xfId="839"/>
    <cellStyle name="Currency [0]_BOPCBU96" xfId="840"/>
    <cellStyle name="Currency [0]_BOPCBU96_02012000_Epe" xfId="841"/>
    <cellStyle name="Currency [0]_BOPCBU_02012000_Epe" xfId="842"/>
    <cellStyle name="Currency [0]_BSAPPE.XLS" xfId="843"/>
    <cellStyle name="Currency [0]_BSAPPE.XLS_02012000_Epe" xfId="844"/>
    <cellStyle name="Currency [0]_Calculations" xfId="845"/>
    <cellStyle name="Currency [0]_Calculations (2)" xfId="846"/>
    <cellStyle name="Currency [0]_Calculations (2)_02012000_Epe" xfId="847"/>
    <cellStyle name="Currency [0]_Calculations II" xfId="848"/>
    <cellStyle name="Currency [0]_Calculations II_02012000_Epe" xfId="849"/>
    <cellStyle name="Currency [0]_Calculations III" xfId="850"/>
    <cellStyle name="Currency [0]_Calculations III_02012000_Epe" xfId="851"/>
    <cellStyle name="Currency [0]_Calculations_02012000_Epe" xfId="852"/>
    <cellStyle name="Currency [0]_Calculations_1" xfId="853"/>
    <cellStyle name="Currency [0]_Calculations_1_02012000_Epe" xfId="854"/>
    <cellStyle name="Currency [0]_CAPEX" xfId="855"/>
    <cellStyle name="Currency [0]_CAPEX94" xfId="856"/>
    <cellStyle name="Currency [0]_CAPEX94_02012000_Epe" xfId="857"/>
    <cellStyle name="Currency [0]_CAPEX_02012000_Epe" xfId="858"/>
    <cellStyle name="Currency [0]_Cardig GHS" xfId="859"/>
    <cellStyle name="Currency [0]_Cardig GHS_02012000_Epe" xfId="860"/>
    <cellStyle name="Currency [0]_Cash Flows" xfId="861"/>
    <cellStyle name="Currency [0]_Cash Flows_02012000_Epe" xfId="862"/>
    <cellStyle name="Currency [0]_CBU BOX CHART V PLAN" xfId="863"/>
    <cellStyle name="Currency [0]_CBU BOX CHART V PLAN_02012000_Epe" xfId="864"/>
    <cellStyle name="Currency [0]_CCA" xfId="865"/>
    <cellStyle name="Currency [0]_CCA_02012000_Epe" xfId="866"/>
    <cellStyle name="Currency [0]_CCOCPX" xfId="867"/>
    <cellStyle name="Currency [0]_CCOCPX_02012000_Epe" xfId="868"/>
    <cellStyle name="Currency [0]_CHANGES.XLS" xfId="869"/>
    <cellStyle name="Currency [0]_CHANGES.XLS_02012000_Epe" xfId="870"/>
    <cellStyle name="Currency [0]_Charts" xfId="871"/>
    <cellStyle name="Currency [0]_Charts_02012000_Epe" xfId="872"/>
    <cellStyle name="Currency [0]_Comm File" xfId="873"/>
    <cellStyle name="Currency [0]_Comm File_02012000_Epe" xfId="874"/>
    <cellStyle name="Currency [0]_coperdefault" xfId="875"/>
    <cellStyle name="Currency [0]_Corp method" xfId="876"/>
    <cellStyle name="Currency [0]_Corp method_02012000_Epe" xfId="877"/>
    <cellStyle name="Currency [0]_Cost Code" xfId="878"/>
    <cellStyle name="Currency [0]_Cost Code_02012000_Epe" xfId="879"/>
    <cellStyle name="Currency [0]_CTCUR" xfId="880"/>
    <cellStyle name="Currency [0]_CTCUR_02012000_Epe" xfId="881"/>
    <cellStyle name="Currency [0]_CUMPLTCH" xfId="882"/>
    <cellStyle name="Currency [0]_CUMPLTCH_02012000_Epe" xfId="883"/>
    <cellStyle name="Currency [0]_DEFAULT" xfId="884"/>
    <cellStyle name="Currency [0]_dimon" xfId="885"/>
    <cellStyle name="Currency [0]_dimon_02012000_Epe" xfId="886"/>
    <cellStyle name="Currency [0]_dimon_1" xfId="887"/>
    <cellStyle name="Currency [0]_dimon_1_02012000_Epe" xfId="888"/>
    <cellStyle name="Currency [0]_dimon_2" xfId="889"/>
    <cellStyle name="Currency [0]_dimon_2_02012000_Epe" xfId="890"/>
    <cellStyle name="Currency [0]_Dowell C1b" xfId="891"/>
    <cellStyle name="Currency [0]_Dowell C1b_02012000_Epe" xfId="892"/>
    <cellStyle name="Currency [0]_Dowell-C1a" xfId="893"/>
    <cellStyle name="Currency [0]_Dowell-C1a_02012000_Epe" xfId="894"/>
    <cellStyle name="Currency [0]_E&amp;ONW1" xfId="895"/>
    <cellStyle name="Currency [0]_E&amp;ONW1_02012000_Epe" xfId="896"/>
    <cellStyle name="Currency [0]_E&amp;ONW2" xfId="897"/>
    <cellStyle name="Currency [0]_E&amp;ONW2_02012000_Epe" xfId="898"/>
    <cellStyle name="Currency [0]_E&amp;OOCPX" xfId="899"/>
    <cellStyle name="Currency [0]_E&amp;OOCPX_02012000_Epe" xfId="900"/>
    <cellStyle name="Currency [0]_emserdefault" xfId="901"/>
    <cellStyle name="Currency [0]_F&amp;COCPX" xfId="902"/>
    <cellStyle name="Currency [0]_F&amp;COCPX_02012000_Epe" xfId="903"/>
    <cellStyle name="Currency [0]_FEBRUARY" xfId="904"/>
    <cellStyle name="Currency [0]_FEBRUARY_02012000_Epe" xfId="905"/>
    <cellStyle name="Currency [0]_FF" xfId="906"/>
    <cellStyle name="Currency [0]_FF_02012000_Epe" xfId="907"/>
    <cellStyle name="Currency [0]_FP 20 A (1)" xfId="908"/>
    <cellStyle name="Currency [0]_FP 20 A (1)_02012000_Epe" xfId="909"/>
    <cellStyle name="Currency [0]_FP 20 A (2)" xfId="910"/>
    <cellStyle name="Currency [0]_FP 20 A (2)_02012000_Epe" xfId="911"/>
    <cellStyle name="Currency [0]_FP-20 (App. E)" xfId="912"/>
    <cellStyle name="Currency [0]_FP-20 (App. E)_02012000_Epe" xfId="913"/>
    <cellStyle name="Currency [0]_FP-20 (App.A) " xfId="914"/>
    <cellStyle name="Currency [0]_FP-20 (App.A) _02012000_Epe" xfId="915"/>
    <cellStyle name="Currency [0]_FP-20 (App.D)" xfId="916"/>
    <cellStyle name="Currency [0]_FP-20 (App.D)_02012000_Epe" xfId="917"/>
    <cellStyle name="Currency [0]_FP-20(App.B)" xfId="918"/>
    <cellStyle name="Currency [0]_FP-20(App.B)_02012000_Epe" xfId="919"/>
    <cellStyle name="Currency [0]_FP-20(C1) (a)" xfId="920"/>
    <cellStyle name="Currency [0]_FP-20(C1) (a) (2)" xfId="921"/>
    <cellStyle name="Currency [0]_FP-20(C1) (a) (2)_02012000_Epe" xfId="922"/>
    <cellStyle name="Currency [0]_FP-20(C1) (a)_02012000_Epe" xfId="923"/>
    <cellStyle name="Currency [0]_FP-20(C1) (b)" xfId="924"/>
    <cellStyle name="Currency [0]_FP-20(C1) (b) " xfId="925"/>
    <cellStyle name="Currency [0]_FP-20(C1) (b) (2)" xfId="926"/>
    <cellStyle name="Currency [0]_FP-20(C1) (b) (2)_02012000_Epe" xfId="927"/>
    <cellStyle name="Currency [0]_FP-20(C1) (b) _02012000_Epe" xfId="928"/>
    <cellStyle name="Currency [0]_FP-20(C1) (b)_02012000_Epe" xfId="929"/>
    <cellStyle name="Currency [0]_GCM" xfId="930"/>
    <cellStyle name="Currency [0]_GCM_02012000_Epe" xfId="931"/>
    <cellStyle name="Currency [0]_GenAssum" xfId="932"/>
    <cellStyle name="Currency [0]_GP C1a" xfId="933"/>
    <cellStyle name="Currency [0]_GP C1a_02012000_Epe" xfId="934"/>
    <cellStyle name="Currency [0]_GP C1b" xfId="935"/>
    <cellStyle name="Currency [0]_GP C1b_02012000_Epe" xfId="936"/>
    <cellStyle name="Currency [0]_GP_EI_3" xfId="937"/>
    <cellStyle name="Currency [0]_GQ C1A" xfId="938"/>
    <cellStyle name="Currency [0]_GQ C1A_02012000_Epe" xfId="939"/>
    <cellStyle name="Currency [0]_GQ C1B" xfId="940"/>
    <cellStyle name="Currency [0]_GQ C1B_02012000_Epe" xfId="941"/>
    <cellStyle name="Currency [0]_Inputs" xfId="942"/>
    <cellStyle name="Currency [0]_Inputs_02012000_Epe" xfId="943"/>
    <cellStyle name="Currency [0]_IPM C1b" xfId="944"/>
    <cellStyle name="Currency [0]_IPM C1b_02012000_Epe" xfId="945"/>
    <cellStyle name="Currency [0]_IPMC1a" xfId="946"/>
    <cellStyle name="Currency [0]_IPMC1a_02012000_Epe" xfId="947"/>
    <cellStyle name="Currency [0]_IS-Hold" xfId="948"/>
    <cellStyle name="Currency [0]_IS-Hold_02012000_Epe" xfId="949"/>
    <cellStyle name="Currency [0]_ITOCPX" xfId="950"/>
    <cellStyle name="Currency [0]_ITOCPX_02012000_Epe" xfId="951"/>
    <cellStyle name="Currency [0]_jancf" xfId="952"/>
    <cellStyle name="Currency [0]_jancf_02012000_Epe" xfId="953"/>
    <cellStyle name="Currency [0]_JUNMTH55" xfId="954"/>
    <cellStyle name="Currency [0]_JUNMTH55_02012000_Epe" xfId="955"/>
    <cellStyle name="Currency [0]_JUNMTH57" xfId="956"/>
    <cellStyle name="Currency [0]_JUNMTH57_02012000_Epe" xfId="957"/>
    <cellStyle name="Currency [0]_JUNYTD55" xfId="958"/>
    <cellStyle name="Currency [0]_JUNYTD55_02012000_Epe" xfId="959"/>
    <cellStyle name="Currency [0]_JUNYTD57" xfId="960"/>
    <cellStyle name="Currency [0]_JUNYTD57_02012000_Epe" xfId="961"/>
    <cellStyle name="Currency [0]_laroux" xfId="962"/>
    <cellStyle name="Currency [0]_laroux_02012000_Epe" xfId="963"/>
    <cellStyle name="Currency [0]_laroux_1" xfId="964"/>
    <cellStyle name="Currency [0]_laroux_1995" xfId="965"/>
    <cellStyle name="Currency [0]_laroux_1995_02012000_Epe" xfId="966"/>
    <cellStyle name="Currency [0]_laroux_1_02012000_Epe" xfId="967"/>
    <cellStyle name="Currency [0]_laroux_1_dimon" xfId="968"/>
    <cellStyle name="Currency [0]_laroux_1_dimon_1" xfId="969"/>
    <cellStyle name="Currency [0]_laroux_1_dimon_1_02012000_Epe" xfId="970"/>
    <cellStyle name="Currency [0]_laroux_1_dimon_2" xfId="971"/>
    <cellStyle name="Currency [0]_laroux_1_dimon_2_02012000_Epe" xfId="972"/>
    <cellStyle name="Currency [0]_laroux_1_dimon_3" xfId="973"/>
    <cellStyle name="Currency [0]_laroux_1_dimon_3_02012000_Epe" xfId="974"/>
    <cellStyle name="Currency [0]_laroux_1_laroux" xfId="975"/>
    <cellStyle name="Currency [0]_laroux_1_laroux_02012000_Epe" xfId="976"/>
    <cellStyle name="Currency [0]_laroux_1_laroux_1" xfId="977"/>
    <cellStyle name="Currency [0]_laroux_1_laroux_1_02012000_Epe" xfId="978"/>
    <cellStyle name="Currency [0]_laroux_1_laroux_dimon" xfId="979"/>
    <cellStyle name="Currency [0]_laroux_1_laroux_dimon_02012000_Epe" xfId="980"/>
    <cellStyle name="Currency [0]_laroux_1_Locas" xfId="981"/>
    <cellStyle name="Currency [0]_laroux_1_Locas_02012000_Epe" xfId="982"/>
    <cellStyle name="Currency [0]_laroux_1_pldt" xfId="983"/>
    <cellStyle name="Currency [0]_laroux_1_pldt_02012000_Epe" xfId="984"/>
    <cellStyle name="Currency [0]_laroux_1_PLDT_dimon" xfId="985"/>
    <cellStyle name="Currency [0]_laroux_1_PLDT_dimon_02012000_Epe" xfId="986"/>
    <cellStyle name="Currency [0]_laroux_1_VERA" xfId="987"/>
    <cellStyle name="Currency [0]_laroux_1_VERA_02012000_Epe" xfId="988"/>
    <cellStyle name="Currency [0]_laroux_1_VERA_1" xfId="989"/>
    <cellStyle name="Currency [0]_laroux_1_VERA_1_02012000_Epe" xfId="990"/>
    <cellStyle name="Currency [0]_laroux_1_VIRUS-EDY" xfId="991"/>
    <cellStyle name="Currency [0]_laroux_1_VIRUS-EDY_02012000_Epe" xfId="992"/>
    <cellStyle name="Currency [0]_laroux_2" xfId="993"/>
    <cellStyle name="Currency [0]_laroux_2_02012000_Epe" xfId="994"/>
    <cellStyle name="Currency [0]_laroux_2_dimon" xfId="995"/>
    <cellStyle name="Currency [0]_laroux_2_dimon_02012000_Epe" xfId="996"/>
    <cellStyle name="Currency [0]_laroux_2_dimon_1" xfId="997"/>
    <cellStyle name="Currency [0]_laroux_2_dimon_1_02012000_Epe" xfId="998"/>
    <cellStyle name="Currency [0]_laroux_2_dimon_2" xfId="999"/>
    <cellStyle name="Currency [0]_laroux_2_dimon_2_02012000_Epe" xfId="1000"/>
    <cellStyle name="Currency [0]_laroux_2_dimon_3" xfId="1001"/>
    <cellStyle name="Currency [0]_laroux_2_dimon_3_02012000_Epe" xfId="1002"/>
    <cellStyle name="Currency [0]_laroux_2_laroux" xfId="1003"/>
    <cellStyle name="Currency [0]_laroux_2_laroux_02012000_Epe" xfId="1004"/>
    <cellStyle name="Currency [0]_laroux_2_laroux_dimon" xfId="1005"/>
    <cellStyle name="Currency [0]_laroux_2_laroux_dimon_02012000_Epe" xfId="1006"/>
    <cellStyle name="Currency [0]_laroux_2_Locas" xfId="1007"/>
    <cellStyle name="Currency [0]_laroux_2_Locas_02012000_Epe" xfId="1008"/>
    <cellStyle name="Currency [0]_laroux_2_pldt" xfId="1009"/>
    <cellStyle name="Currency [0]_laroux_2_pldt_02012000_Epe" xfId="1010"/>
    <cellStyle name="Currency [0]_laroux_2_PLDT_dimon" xfId="1011"/>
    <cellStyle name="Currency [0]_laroux_2_PLDT_dimon_02012000_Epe" xfId="1012"/>
    <cellStyle name="Currency [0]_laroux_2_VIRUS-EDY" xfId="1013"/>
    <cellStyle name="Currency [0]_laroux_2_VIRUS-EDY_02012000_Epe" xfId="1014"/>
    <cellStyle name="Currency [0]_laroux_3" xfId="1015"/>
    <cellStyle name="Currency [0]_laroux_3_02012000_Epe" xfId="1016"/>
    <cellStyle name="Currency [0]_laroux_3_dimon" xfId="1017"/>
    <cellStyle name="Currency [0]_laroux_3_dimon_1" xfId="1018"/>
    <cellStyle name="Currency [0]_laroux_3_dimon_1_02012000_Epe" xfId="1019"/>
    <cellStyle name="Currency [0]_laroux_3_dimon_2" xfId="1020"/>
    <cellStyle name="Currency [0]_laroux_3_dimon_2_02012000_Epe" xfId="1021"/>
    <cellStyle name="Currency [0]_laroux_3_dimon_3" xfId="1022"/>
    <cellStyle name="Currency [0]_laroux_3_dimon_3_02012000_Epe" xfId="1023"/>
    <cellStyle name="Currency [0]_laroux_4" xfId="1024"/>
    <cellStyle name="Currency [0]_laroux_4_02012000_Epe" xfId="1025"/>
    <cellStyle name="Currency [0]_laroux_4_dimon" xfId="1026"/>
    <cellStyle name="Currency [0]_laroux_4_dimon_02012000_Epe" xfId="1027"/>
    <cellStyle name="Currency [0]_laroux_4_dimon_1" xfId="1028"/>
    <cellStyle name="Currency [0]_laroux_4_dimon_1_02012000_Epe" xfId="1029"/>
    <cellStyle name="Currency [0]_laroux_5" xfId="1030"/>
    <cellStyle name="Currency [0]_laroux_5_02012000_Epe" xfId="1031"/>
    <cellStyle name="Currency [0]_laroux_6" xfId="1032"/>
    <cellStyle name="Currency [0]_laroux_6_02012000_Epe" xfId="1033"/>
    <cellStyle name="Currency [0]_laroux_7" xfId="1034"/>
    <cellStyle name="Currency [0]_laroux_7_02012000_Epe" xfId="1035"/>
    <cellStyle name="Currency [0]_laroux_dimon" xfId="1036"/>
    <cellStyle name="Currency [0]_laroux_dimon_1" xfId="1037"/>
    <cellStyle name="Currency [0]_laroux_dimon_1_02012000_Epe" xfId="1038"/>
    <cellStyle name="Currency [0]_laroux_dimon_2" xfId="1039"/>
    <cellStyle name="Currency [0]_laroux_dimon_2_02012000_Epe" xfId="1040"/>
    <cellStyle name="Currency [0]_laroux_dimon_3" xfId="1041"/>
    <cellStyle name="Currency [0]_laroux_dimon_3_02012000_Epe" xfId="1042"/>
    <cellStyle name="Currency [0]_laroux_laroux" xfId="1043"/>
    <cellStyle name="Currency [0]_laroux_laroux_02012000_Epe" xfId="1044"/>
    <cellStyle name="Currency [0]_laroux_laroux_1" xfId="1045"/>
    <cellStyle name="Currency [0]_laroux_laroux_1_02012000_Epe" xfId="1046"/>
    <cellStyle name="Currency [0]_laroux_laroux_1_dimon" xfId="1047"/>
    <cellStyle name="Currency [0]_laroux_laroux_1_dimon_02012000_Epe" xfId="1048"/>
    <cellStyle name="Currency [0]_laroux_laroux_dimon" xfId="1049"/>
    <cellStyle name="Currency [0]_laroux_laroux_dimon_02012000_Epe" xfId="1050"/>
    <cellStyle name="Currency [0]_laroux_Locas" xfId="1051"/>
    <cellStyle name="Currency [0]_laroux_Locas_02012000_Epe" xfId="1052"/>
    <cellStyle name="Currency [0]_laroux_MATERAL2" xfId="1053"/>
    <cellStyle name="Currency [0]_laroux_MATERAL2_02012000_Epe" xfId="1054"/>
    <cellStyle name="Currency [0]_laroux_MATERAL2_dimon" xfId="1055"/>
    <cellStyle name="Currency [0]_laroux_MATERAL2_dimon_1" xfId="1056"/>
    <cellStyle name="Currency [0]_laroux_MATERAL2_dimon_1_02012000_Epe" xfId="1057"/>
    <cellStyle name="Currency [0]_laroux_MATERAL2_laroux" xfId="1058"/>
    <cellStyle name="Currency [0]_laroux_MATERAL2_laroux_02012000_Epe" xfId="1059"/>
    <cellStyle name="Currency [0]_laroux_MATERAL2_laroux_dimon" xfId="1060"/>
    <cellStyle name="Currency [0]_laroux_MATERAL2_laroux_dimon_02012000_Epe" xfId="1061"/>
    <cellStyle name="Currency [0]_laroux_MATERAL2_pldt" xfId="1062"/>
    <cellStyle name="Currency [0]_laroux_MATERAL2_pldt_02012000_Epe" xfId="1063"/>
    <cellStyle name="Currency [0]_laroux_MATERAL2_VERA" xfId="1064"/>
    <cellStyle name="Currency [0]_laroux_MATERAL2_VERA_02012000_Epe" xfId="1065"/>
    <cellStyle name="Currency [0]_laroux_MATERAL2_VIRUS-EDY" xfId="1066"/>
    <cellStyle name="Currency [0]_laroux_MATERAL2_VIRUS-EDY_02012000_Epe" xfId="1067"/>
    <cellStyle name="Currency [0]_laroux_mud plant bolted" xfId="1068"/>
    <cellStyle name="Currency [0]_laroux_mud plant bolted_02012000_Epe" xfId="1069"/>
    <cellStyle name="Currency [0]_laroux_mud plant bolted_dimon" xfId="1070"/>
    <cellStyle name="Currency [0]_laroux_mud plant bolted_dimon_02012000_Epe" xfId="1071"/>
    <cellStyle name="Currency [0]_laroux_mud plant bolted_dimon_1" xfId="1072"/>
    <cellStyle name="Currency [0]_laroux_mud plant bolted_dimon_1_02012000_Epe" xfId="1073"/>
    <cellStyle name="Currency [0]_laroux_pldt" xfId="1074"/>
    <cellStyle name="Currency [0]_laroux_pldt_02012000_Epe" xfId="1075"/>
    <cellStyle name="Currency [0]_laroux_pldt_1" xfId="1076"/>
    <cellStyle name="Currency [0]_laroux_pldt_1_02012000_Epe" xfId="1077"/>
    <cellStyle name="Currency [0]_laroux_VERA" xfId="1078"/>
    <cellStyle name="Currency [0]_laroux_VERA_02012000_Epe" xfId="1079"/>
    <cellStyle name="Currency [0]_laroux_VERA_1" xfId="1080"/>
    <cellStyle name="Currency [0]_laroux_VERA_1_02012000_Epe" xfId="1081"/>
    <cellStyle name="Currency [0]_laroux_VIRUS-EDY" xfId="1082"/>
    <cellStyle name="Currency [0]_laroux_VIRUS-EDY_02012000_Epe" xfId="1083"/>
    <cellStyle name="Currency [0]_List" xfId="1084"/>
    <cellStyle name="Currency [0]_List_02012000_Epe" xfId="1085"/>
    <cellStyle name="Currency [0]_MATERAL2" xfId="1086"/>
    <cellStyle name="Currency [0]_MATERAL2_02012000_Epe" xfId="1087"/>
    <cellStyle name="Currency [0]_MATERAL2_dimon" xfId="1088"/>
    <cellStyle name="Currency [0]_MATERAL2_dimon_02012000_Epe" xfId="1089"/>
    <cellStyle name="Currency [0]_MATERAL2_dimon_1" xfId="1090"/>
    <cellStyle name="Currency [0]_MATERAL2_dimon_1_02012000_Epe" xfId="1091"/>
    <cellStyle name="Currency [0]_may98dcr" xfId="1092"/>
    <cellStyle name="Currency [0]_MKGOCPX" xfId="1093"/>
    <cellStyle name="Currency [0]_MKGOCPX_02012000_Epe" xfId="1094"/>
    <cellStyle name="Currency [0]_MOBCPX" xfId="1095"/>
    <cellStyle name="Currency [0]_MOBCPX_02012000_Epe" xfId="1096"/>
    <cellStyle name="Currency [0]_mud plant bolted" xfId="1097"/>
    <cellStyle name="Currency [0]_mud plant bolted_02012000_Epe" xfId="1098"/>
    <cellStyle name="Currency [0]_mud plant bolted_dimon" xfId="1099"/>
    <cellStyle name="Currency [0]_mud plant bolted_dimon_1" xfId="1100"/>
    <cellStyle name="Currency [0]_mud plant bolted_dimon_1_02012000_Epe" xfId="1101"/>
    <cellStyle name="Currency [0]_mud plant bolted_laroux" xfId="1102"/>
    <cellStyle name="Currency [0]_mud plant bolted_laroux_02012000_Epe" xfId="1103"/>
    <cellStyle name="Currency [0]_mud plant bolted_laroux_dimon" xfId="1104"/>
    <cellStyle name="Currency [0]_mud plant bolted_laroux_dimon_02012000_Epe" xfId="1105"/>
    <cellStyle name="Currency [0]_mud plant bolted_pldt" xfId="1106"/>
    <cellStyle name="Currency [0]_mud plant bolted_pldt_02012000_Epe" xfId="1107"/>
    <cellStyle name="Currency [0]_mud plant bolted_VERA" xfId="1108"/>
    <cellStyle name="Currency [0]_mud plant bolted_VERA_02012000_Epe" xfId="1109"/>
    <cellStyle name="Currency [0]_mud plant bolted_VIRUS-EDY" xfId="1110"/>
    <cellStyle name="Currency [0]_mud plant bolted_VIRUS-EDY_02012000_Epe" xfId="1111"/>
    <cellStyle name="Currency [0]_NA WITHOUT GOV'T &amp; PNX" xfId="1112"/>
    <cellStyle name="Currency [0]_NA WITHOUT GOV'T &amp; PNX_02012000_Epe" xfId="1113"/>
    <cellStyle name="Currency [0]_NAOBU10" xfId="1114"/>
    <cellStyle name="Currency [0]_NAOBU10_02012000_Epe" xfId="1115"/>
    <cellStyle name="Currency [0]_NAT ACCT" xfId="1116"/>
    <cellStyle name="Currency [0]_NAT ACCT_02012000_Epe" xfId="1117"/>
    <cellStyle name="Currency [0]_NSACTUAL.XLS" xfId="1118"/>
    <cellStyle name="Currency [0]_NSACTUAL.XLS_02012000_Epe" xfId="1119"/>
    <cellStyle name="Currency [0]_NX00" xfId="1120"/>
    <cellStyle name="Currency [0]_NX00_02012000_Epe" xfId="1121"/>
    <cellStyle name="Currency [0]_Odner" xfId="1122"/>
    <cellStyle name="Currency [0]_Odner (2)" xfId="1123"/>
    <cellStyle name="Currency [0]_Odner (2)_02012000_Epe" xfId="1124"/>
    <cellStyle name="Currency [0]_Odner (3)" xfId="1125"/>
    <cellStyle name="Currency [0]_Odner (3)_02012000_Epe" xfId="1126"/>
    <cellStyle name="Currency [0]_Odner_02012000_Epe" xfId="1127"/>
    <cellStyle name="Currency [0]_OSMOCPX" xfId="1128"/>
    <cellStyle name="Currency [0]_OSMOCPX_02012000_Epe" xfId="1129"/>
    <cellStyle name="Currency [0]_Other Months" xfId="1130"/>
    <cellStyle name="Currency [0]_Other Months_02012000_Epe" xfId="1131"/>
    <cellStyle name="Currency [0]_Outlook" xfId="1132"/>
    <cellStyle name="Currency [0]_Outlook_02012000_Epe" xfId="1133"/>
    <cellStyle name="Currency [0]_pbdefault" xfId="1134"/>
    <cellStyle name="Currency [0]_percentages" xfId="1135"/>
    <cellStyle name="Currency [0]_percentages_02012000_Epe" xfId="1136"/>
    <cellStyle name="Currency [0]_PERSONAL" xfId="1137"/>
    <cellStyle name="Currency [0]_PERSONAL_02012000_Epe" xfId="1138"/>
    <cellStyle name="Currency [0]_PGMKOCPX" xfId="1139"/>
    <cellStyle name="Currency [0]_PGMKOCPX_02012000_Epe" xfId="1140"/>
    <cellStyle name="Currency [0]_PGNW1" xfId="1141"/>
    <cellStyle name="Currency [0]_PGNW1_02012000_Epe" xfId="1142"/>
    <cellStyle name="Currency [0]_PGNW2" xfId="1143"/>
    <cellStyle name="Currency [0]_PGNW2_02012000_Epe" xfId="1144"/>
    <cellStyle name="Currency [0]_PGNWOCPX" xfId="1145"/>
    <cellStyle name="Currency [0]_PGNWOCPX_02012000_Epe" xfId="1146"/>
    <cellStyle name="Currency [0]_Pink" xfId="1147"/>
    <cellStyle name="Currency [0]_Pink_02012000_Epe" xfId="1148"/>
    <cellStyle name="Currency [0]_Plan" xfId="1149"/>
    <cellStyle name="Currency [0]_Plan_02012000_Epe" xfId="1150"/>
    <cellStyle name="Currency [0]_PLANT" xfId="1151"/>
    <cellStyle name="Currency [0]_PLANT_02012000_Epe" xfId="1152"/>
    <cellStyle name="Currency [0]_PLDT" xfId="1153"/>
    <cellStyle name="Currency [0]_PLDT_02012000_Epe" xfId="1154"/>
    <cellStyle name="Currency [0]_pldt_1" xfId="1155"/>
    <cellStyle name="Currency [0]_pldt_1_02012000_Epe" xfId="1156"/>
    <cellStyle name="Currency [0]_PLDT_1_dimon" xfId="1157"/>
    <cellStyle name="Currency [0]_PLDT_1_dimon_02012000_Epe" xfId="1158"/>
    <cellStyle name="Currency [0]_pldt_1_dimon_1" xfId="1159"/>
    <cellStyle name="Currency [0]_pldt_1_dimon_1_02012000_Epe" xfId="1160"/>
    <cellStyle name="Currency [0]_pldt_2" xfId="1161"/>
    <cellStyle name="Currency [0]_pldt_2_02012000_Epe" xfId="1162"/>
    <cellStyle name="Currency [0]_pldt_Calculations" xfId="1163"/>
    <cellStyle name="Currency [0]_pldt_Calculations_02012000_Epe" xfId="1164"/>
    <cellStyle name="Currency [0]_PLDT_dimon" xfId="1165"/>
    <cellStyle name="Currency [0]_PLDT_dimon_02012000_Epe" xfId="1166"/>
    <cellStyle name="Currency [0]_pldt_dimon_1" xfId="1167"/>
    <cellStyle name="Currency [0]_pldt_dimon_1_02012000_Epe" xfId="1168"/>
    <cellStyle name="Currency [0]_priccurv" xfId="1169"/>
    <cellStyle name="Currency [0]_PROCDS&amp;G" xfId="1170"/>
    <cellStyle name="Currency [0]_PROCDS&amp;G_02012000_Epe" xfId="1171"/>
    <cellStyle name="Currency [0]_PROFILE4" xfId="1172"/>
    <cellStyle name="Currency [0]_Projects" xfId="1173"/>
    <cellStyle name="Currency [0]_Projects_02012000_Epe" xfId="1174"/>
    <cellStyle name="Currency [0]_Quarter End Months" xfId="1175"/>
    <cellStyle name="Currency [0]_Quarter End Months_02012000_Epe" xfId="1176"/>
    <cellStyle name="Currency [0]_r1" xfId="1177"/>
    <cellStyle name="Currency [0]_RFI" xfId="1178"/>
    <cellStyle name="Currency [0]_RFI_02012000_Epe" xfId="1179"/>
    <cellStyle name="Currency [0]_RFI_1" xfId="1180"/>
    <cellStyle name="Currency [0]_RFI_1_02012000_Epe" xfId="1181"/>
    <cellStyle name="Currency [0]_Sales Order" xfId="1182"/>
    <cellStyle name="Currency [0]_Sales Order_02012000_Epe" xfId="1183"/>
    <cellStyle name="Currency [0]_SATOCPX" xfId="1184"/>
    <cellStyle name="Currency [0]_SATOCPX_02012000_Epe" xfId="1185"/>
    <cellStyle name="Currency [0]_Sheet1" xfId="1186"/>
    <cellStyle name="Currency [0]_Sheet1 (2)" xfId="1187"/>
    <cellStyle name="Currency [0]_Sheet1 (2)_02012000_Epe" xfId="1188"/>
    <cellStyle name="Currency [0]_Sheet1_02012000_Epe" xfId="1189"/>
    <cellStyle name="Currency [0]_Sheet1_dimon" xfId="1190"/>
    <cellStyle name="Currency [0]_Sheet1_dimon_02012000_Epe" xfId="1191"/>
    <cellStyle name="Currency [0]_SHENREPT" xfId="1192"/>
    <cellStyle name="Currency [0]_SHENREPT_02012000_Epe" xfId="1193"/>
    <cellStyle name="Currency [0]_Snr. CO" xfId="1194"/>
    <cellStyle name="Currency [0]_Snr. CO_02012000_Epe" xfId="1195"/>
    <cellStyle name="Currency [0]_sprint contr" xfId="1196"/>
    <cellStyle name="Currency [0]_sprint contr_02012000_Epe" xfId="1197"/>
    <cellStyle name="Currency [0]_Subcont File" xfId="1198"/>
    <cellStyle name="Currency [0]_Subcont File_02012000_Epe" xfId="1199"/>
    <cellStyle name="Currency [0]_Summary Info" xfId="1200"/>
    <cellStyle name="Currency [0]_Summary Info_02012000_Epe" xfId="1201"/>
    <cellStyle name="Currency [0]_SUMPAGE" xfId="1202"/>
    <cellStyle name="Currency [0]_SUMPAGE_02012000_Epe" xfId="1203"/>
    <cellStyle name="Currency [0]_TMSNW1" xfId="1204"/>
    <cellStyle name="Currency [0]_TMSNW1_02012000_Epe" xfId="1205"/>
    <cellStyle name="Currency [0]_TMSNW2" xfId="1206"/>
    <cellStyle name="Currency [0]_TMSNW2_02012000_Epe" xfId="1207"/>
    <cellStyle name="Currency [0]_TMSOCPX" xfId="1208"/>
    <cellStyle name="Currency [0]_TMSOCPX_02012000_Epe" xfId="1209"/>
    <cellStyle name="Currency [0]_TOTAL MTH" xfId="1210"/>
    <cellStyle name="Currency [0]_TOTAL MTH_02012000_Epe" xfId="1211"/>
    <cellStyle name="Currency [0]_TOTAL YTD" xfId="1212"/>
    <cellStyle name="Currency [0]_TOTAL YTD_02012000_Epe" xfId="1213"/>
    <cellStyle name="Currency [0]_TRANSDSC.XLS" xfId="1214"/>
    <cellStyle name="Currency [0]_TRANSDSC.XLS_02012000_Epe" xfId="1215"/>
    <cellStyle name="Currency [0]_TRANSFXA.XLS" xfId="1216"/>
    <cellStyle name="Currency [0]_TRANSFXA.XLS_02012000_Epe" xfId="1217"/>
    <cellStyle name="Currency [0]_TRANSFXA.XLS_1" xfId="1218"/>
    <cellStyle name="Currency [0]_TRANSFXA.XLS_1_02012000_Epe" xfId="1219"/>
    <cellStyle name="Currency [0]_TRANSIME.XLS" xfId="1220"/>
    <cellStyle name="Currency [0]_TRANSIME.XLS_02012000_Epe" xfId="1221"/>
    <cellStyle name="Currency [0]_TRANSIME.XLS_TRANSDSC.XLS" xfId="1222"/>
    <cellStyle name="Currency [0]_TRANSIME.XLS_TRANSDSC.XLS_02012000_Epe" xfId="1223"/>
    <cellStyle name="Currency [0]_TRANSIME.XLS_TRANSFXA.XLS" xfId="1224"/>
    <cellStyle name="Currency [0]_TRANSIME.XLS_TRANSFXA.XLS_02012000_Epe" xfId="1225"/>
    <cellStyle name="Currency [0]_VERA" xfId="1226"/>
    <cellStyle name="Currency [0]_VERA_02012000_Epe" xfId="1227"/>
    <cellStyle name="Currency [0]_VIRUS-EDY" xfId="1228"/>
    <cellStyle name="Currency [0]_VIRUS-EDY_02012000_Epe" xfId="1229"/>
    <cellStyle name="Currency [0]_VIRUS-EDY_1" xfId="1230"/>
    <cellStyle name="Currency [0]_VIRUS-EDY_1_02012000_Epe" xfId="1231"/>
    <cellStyle name="Currency [0]_White" xfId="1232"/>
    <cellStyle name="Currency [0]_White_02012000_Epe" xfId="1233"/>
    <cellStyle name="Currency [0]_WO Var. &amp; Tot. Exp." xfId="1234"/>
    <cellStyle name="Currency [0]_WO Var. &amp; Tot. Exp._02012000_Epe" xfId="1235"/>
    <cellStyle name="Currency [0]_WSP" xfId="1236"/>
    <cellStyle name="Currency [0]_WSP_02012000_Epe" xfId="1237"/>
    <cellStyle name="Currency [0]_yrcao" xfId="1238"/>
    <cellStyle name="Currency [0]_yrcao_02012000_Epe" xfId="1239"/>
    <cellStyle name="Currency [0]_YREND55" xfId="1240"/>
    <cellStyle name="Currency [0]_YREND55_02012000_Epe" xfId="1241"/>
    <cellStyle name="Currency [0]_YREND57" xfId="1242"/>
    <cellStyle name="Currency [0]_YREND57_02012000_Epe" xfId="1243"/>
    <cellStyle name="Currency [0]_YTDCUR" xfId="1244"/>
    <cellStyle name="Currency [0]_YTDCUR_02012000_Epe" xfId="1245"/>
    <cellStyle name="Currency_12matrix" xfId="1246"/>
    <cellStyle name="Currency_12matrix_02012000_Epe" xfId="1247"/>
    <cellStyle name="Currency_1995" xfId="1248"/>
    <cellStyle name="Currency_1995_02012000_Epe" xfId="1249"/>
    <cellStyle name="Currency_A" xfId="1250"/>
    <cellStyle name="Currency_A_02012000_Epe" xfId="1251"/>
    <cellStyle name="Currency_A_dimon" xfId="1252"/>
    <cellStyle name="Currency_A_dimon_02012000_Epe" xfId="1253"/>
    <cellStyle name="Currency_ACTUAL" xfId="1254"/>
    <cellStyle name="Currency_ACTUAL NA -OBU" xfId="1255"/>
    <cellStyle name="Currency_ACTUAL NA -OBU_02012000_Epe" xfId="1256"/>
    <cellStyle name="Currency_Actual vs." xfId="1257"/>
    <cellStyle name="Currency_Actual vs._02012000_Epe" xfId="1258"/>
    <cellStyle name="Currency_ACTUAL_02012000_Epe" xfId="1259"/>
    <cellStyle name="Currency_algasdefault" xfId="1260"/>
    <cellStyle name="Currency_algasdefault_1" xfId="1261"/>
    <cellStyle name="Currency_Alternative1" xfId="1262"/>
    <cellStyle name="Currency_Alternative1_02012000_Epe" xfId="1263"/>
    <cellStyle name="Currency_Alternative1_1" xfId="1264"/>
    <cellStyle name="Currency_Alternative1_1_02012000_Epe" xfId="1265"/>
    <cellStyle name="Currency_App E" xfId="1266"/>
    <cellStyle name="Currency_App E_02012000_Epe" xfId="1267"/>
    <cellStyle name="Currency_Apr" xfId="1268"/>
    <cellStyle name="Currency_Apr_02012000_Epe" xfId="1269"/>
    <cellStyle name="Currency_Arapahoe" xfId="1270"/>
    <cellStyle name="Currency_Assumptions" xfId="1271"/>
    <cellStyle name="Currency_bahiadefault" xfId="1272"/>
    <cellStyle name="Currency_bahiadefault_1" xfId="1273"/>
    <cellStyle name="Currency_BIGOUT" xfId="1274"/>
    <cellStyle name="Currency_Book3" xfId="1275"/>
    <cellStyle name="Currency_BOP" xfId="1276"/>
    <cellStyle name="Currency_BOP_02012000_Epe" xfId="1277"/>
    <cellStyle name="Currency_BOPBAL1" xfId="1278"/>
    <cellStyle name="Currency_BOPBAL1_02012000_Epe" xfId="1279"/>
    <cellStyle name="Currency_BOPCBU" xfId="1280"/>
    <cellStyle name="Currency_BOPCBU (2)" xfId="1281"/>
    <cellStyle name="Currency_BOPCBU (2)_02012000_Epe" xfId="1282"/>
    <cellStyle name="Currency_BOPCBU96" xfId="1283"/>
    <cellStyle name="Currency_BOPCBU96_02012000_Epe" xfId="1284"/>
    <cellStyle name="Currency_BOPCBU_02012000_Epe" xfId="1285"/>
    <cellStyle name="Currency_BSAPPE.XLS" xfId="1286"/>
    <cellStyle name="Currency_BSAPPE.XLS_02012000_Epe" xfId="1287"/>
    <cellStyle name="Currency_Calculations" xfId="1288"/>
    <cellStyle name="Currency_Calculations (2)" xfId="1289"/>
    <cellStyle name="Currency_Calculations II" xfId="1290"/>
    <cellStyle name="Currency_Calculations III" xfId="1291"/>
    <cellStyle name="Currency_Calculations_1" xfId="1292"/>
    <cellStyle name="Currency_Calculations_1_02012000_Epe" xfId="1293"/>
    <cellStyle name="Currency_CAPEX" xfId="1294"/>
    <cellStyle name="Currency_CAPEX94" xfId="1295"/>
    <cellStyle name="Currency_CAPEX94_02012000_Epe" xfId="1296"/>
    <cellStyle name="Currency_CAPEX_02012000_Epe" xfId="1297"/>
    <cellStyle name="Currency_Cardig GHS" xfId="1298"/>
    <cellStyle name="Currency_Cardig GHS_02012000_Epe" xfId="1299"/>
    <cellStyle name="Currency_Cash Flows" xfId="1300"/>
    <cellStyle name="Currency_Cash Flows_02012000_Epe" xfId="1301"/>
    <cellStyle name="Currency_CBU BOX CHART V PLAN" xfId="1302"/>
    <cellStyle name="Currency_CBU BOX CHART V PLAN_02012000_Epe" xfId="1303"/>
    <cellStyle name="Currency_CCA" xfId="1304"/>
    <cellStyle name="Currency_CCA_02012000_Epe" xfId="1305"/>
    <cellStyle name="Currency_CCOCPX" xfId="1306"/>
    <cellStyle name="Currency_CCOCPX_02012000_Epe" xfId="1307"/>
    <cellStyle name="Currency_CHANGES.XLS" xfId="1308"/>
    <cellStyle name="Currency_CHANGES.XLS_02012000_Epe" xfId="1309"/>
    <cellStyle name="Currency_Charts" xfId="1310"/>
    <cellStyle name="Currency_Charts_02012000_Epe" xfId="1311"/>
    <cellStyle name="Currency_Comm File" xfId="1312"/>
    <cellStyle name="Currency_Comm File_02012000_Epe" xfId="1313"/>
    <cellStyle name="Currency_coperdefault" xfId="1314"/>
    <cellStyle name="Currency_coperdefault_1" xfId="1315"/>
    <cellStyle name="Currency_Corp method" xfId="1316"/>
    <cellStyle name="Currency_Corp method_02012000_Epe" xfId="1317"/>
    <cellStyle name="Currency_Cost Code" xfId="1318"/>
    <cellStyle name="Currency_Cost Code_02012000_Epe" xfId="1319"/>
    <cellStyle name="Currency_CTCUR" xfId="1320"/>
    <cellStyle name="Currency_CTCUR_02012000_Epe" xfId="1321"/>
    <cellStyle name="Currency_CUMPLTCH" xfId="1322"/>
    <cellStyle name="Currency_CUMPLTCH_02012000_Epe" xfId="1323"/>
    <cellStyle name="Currency_DEFAULT" xfId="1324"/>
    <cellStyle name="Currency_dimon" xfId="1325"/>
    <cellStyle name="Currency_dimon_02012000_Epe" xfId="1326"/>
    <cellStyle name="Currency_dimon_1" xfId="1327"/>
    <cellStyle name="Currency_dimon_1_02012000_Epe" xfId="1328"/>
    <cellStyle name="Currency_dimon_2" xfId="1329"/>
    <cellStyle name="Currency_Dowell C1b" xfId="1330"/>
    <cellStyle name="Currency_Dowell C1b_02012000_Epe" xfId="1331"/>
    <cellStyle name="Currency_Dowell-C1a" xfId="1332"/>
    <cellStyle name="Currency_Dowell-C1a_02012000_Epe" xfId="1333"/>
    <cellStyle name="Currency_E&amp;ONW1" xfId="1334"/>
    <cellStyle name="Currency_E&amp;ONW1_02012000_Epe" xfId="1335"/>
    <cellStyle name="Currency_E&amp;ONW2" xfId="1336"/>
    <cellStyle name="Currency_E&amp;ONW2_02012000_Epe" xfId="1337"/>
    <cellStyle name="Currency_E&amp;OOCPX" xfId="1338"/>
    <cellStyle name="Currency_E&amp;OOCPX_02012000_Epe" xfId="1339"/>
    <cellStyle name="Currency_emserdefault" xfId="1340"/>
    <cellStyle name="Currency_emserdefault_1" xfId="1341"/>
    <cellStyle name="Currency_F&amp;COCPX" xfId="1342"/>
    <cellStyle name="Currency_F&amp;COCPX_02012000_Epe" xfId="1343"/>
    <cellStyle name="Currency_FEBRUARY" xfId="1344"/>
    <cellStyle name="Currency_FEBRUARY_02012000_Epe" xfId="1345"/>
    <cellStyle name="Currency_FF" xfId="1346"/>
    <cellStyle name="Currency_FF_02012000_Epe" xfId="1347"/>
    <cellStyle name="Currency_FP 20 A (1)" xfId="1348"/>
    <cellStyle name="Currency_FP 20 A (1)_02012000_Epe" xfId="1349"/>
    <cellStyle name="Currency_FP 20 A (2)" xfId="1350"/>
    <cellStyle name="Currency_FP 20 A (2)_02012000_Epe" xfId="1351"/>
    <cellStyle name="Currency_FP-20 (App. E)" xfId="1352"/>
    <cellStyle name="Currency_FP-20 (App. E)_02012000_Epe" xfId="1353"/>
    <cellStyle name="Currency_FP-20 (App.A) " xfId="1354"/>
    <cellStyle name="Currency_FP-20 (App.A) _02012000_Epe" xfId="1355"/>
    <cellStyle name="Currency_FP-20 (App.D)" xfId="1356"/>
    <cellStyle name="Currency_FP-20 (App.D)_02012000_Epe" xfId="1357"/>
    <cellStyle name="Currency_FP-20(App.B)" xfId="1358"/>
    <cellStyle name="Currency_FP-20(App.B)_02012000_Epe" xfId="1359"/>
    <cellStyle name="Currency_FP-20(C1) (a)" xfId="1360"/>
    <cellStyle name="Currency_FP-20(C1) (a) (2)" xfId="1361"/>
    <cellStyle name="Currency_FP-20(C1) (a) (2)_02012000_Epe" xfId="1362"/>
    <cellStyle name="Currency_FP-20(C1) (a)_02012000_Epe" xfId="1363"/>
    <cellStyle name="Currency_FP-20(C1) (b)" xfId="1364"/>
    <cellStyle name="Currency_FP-20(C1) (b) " xfId="1365"/>
    <cellStyle name="Currency_FP-20(C1) (b) (2)" xfId="1366"/>
    <cellStyle name="Currency_FP-20(C1) (b) (2)_02012000_Epe" xfId="1367"/>
    <cellStyle name="Currency_FP-20(C1) (b) _02012000_Epe" xfId="1368"/>
    <cellStyle name="Currency_FP-20(C1) (b)_02012000_Epe" xfId="1369"/>
    <cellStyle name="Currency_GCM" xfId="1370"/>
    <cellStyle name="Currency_GCM_02012000_Epe" xfId="1371"/>
    <cellStyle name="Currency_GenAssum" xfId="1372"/>
    <cellStyle name="Currency_GP C1a" xfId="1373"/>
    <cellStyle name="Currency_GP C1a_02012000_Epe" xfId="1374"/>
    <cellStyle name="Currency_GP C1b" xfId="1375"/>
    <cellStyle name="Currency_GP C1b_02012000_Epe" xfId="1376"/>
    <cellStyle name="Currency_GP_EI_3" xfId="1377"/>
    <cellStyle name="Currency_GQ C1A" xfId="1378"/>
    <cellStyle name="Currency_GQ C1A_02012000_Epe" xfId="1379"/>
    <cellStyle name="Currency_GQ C1B" xfId="1380"/>
    <cellStyle name="Currency_GQ C1B_02012000_Epe" xfId="1381"/>
    <cellStyle name="Currency_Inputs" xfId="1382"/>
    <cellStyle name="Currency_Inputs_02012000_Epe" xfId="1383"/>
    <cellStyle name="Currency_IPM C1b" xfId="1384"/>
    <cellStyle name="Currency_IPM C1b_02012000_Epe" xfId="1385"/>
    <cellStyle name="Currency_IPMC1a" xfId="1386"/>
    <cellStyle name="Currency_IPMC1a_02012000_Epe" xfId="1387"/>
    <cellStyle name="Currency_IS-Hold" xfId="1388"/>
    <cellStyle name="Currency_IS-Hold_02012000_Epe" xfId="1389"/>
    <cellStyle name="Currency_ITOCPX" xfId="1390"/>
    <cellStyle name="Currency_ITOCPX_02012000_Epe" xfId="1391"/>
    <cellStyle name="Currency_jancf" xfId="1392"/>
    <cellStyle name="Currency_jancf_02012000_Epe" xfId="1393"/>
    <cellStyle name="Currency_JUNMTH55" xfId="1394"/>
    <cellStyle name="Currency_JUNMTH55_02012000_Epe" xfId="1395"/>
    <cellStyle name="Currency_JUNMTH57" xfId="1396"/>
    <cellStyle name="Currency_JUNMTH57_02012000_Epe" xfId="1397"/>
    <cellStyle name="Currency_JUNYTD55" xfId="1398"/>
    <cellStyle name="Currency_JUNYTD55_02012000_Epe" xfId="1399"/>
    <cellStyle name="Currency_JUNYTD57" xfId="1400"/>
    <cellStyle name="Currency_JUNYTD57_02012000_Epe" xfId="1401"/>
    <cellStyle name="Currency_laroux" xfId="1402"/>
    <cellStyle name="Currency_laroux_02012000_Epe" xfId="1403"/>
    <cellStyle name="Currency_laroux_1" xfId="1404"/>
    <cellStyle name="Currency_laroux_1995" xfId="1405"/>
    <cellStyle name="Currency_laroux_1995_02012000_Epe" xfId="1406"/>
    <cellStyle name="Currency_laroux_1_02012000_Epe" xfId="1407"/>
    <cellStyle name="Currency_laroux_1_dimon" xfId="1408"/>
    <cellStyle name="Currency_laroux_1_dimon_1" xfId="1409"/>
    <cellStyle name="Currency_laroux_1_dimon_1_02012000_Epe" xfId="1410"/>
    <cellStyle name="Currency_laroux_1_dimon_2" xfId="1411"/>
    <cellStyle name="Currency_laroux_1_dimon_2_02012000_Epe" xfId="1412"/>
    <cellStyle name="Currency_laroux_1_dimon_3" xfId="1413"/>
    <cellStyle name="Currency_laroux_1_dimon_3_02012000_Epe" xfId="1414"/>
    <cellStyle name="Currency_laroux_1_laroux" xfId="1415"/>
    <cellStyle name="Currency_laroux_1_laroux_02012000_Epe" xfId="1416"/>
    <cellStyle name="Currency_laroux_1_laroux_1" xfId="1417"/>
    <cellStyle name="Currency_laroux_1_laroux_1_02012000_Epe" xfId="1418"/>
    <cellStyle name="Currency_laroux_1_laroux_dimon" xfId="1419"/>
    <cellStyle name="Currency_laroux_1_laroux_dimon_02012000_Epe" xfId="1420"/>
    <cellStyle name="Currency_laroux_1_Locas" xfId="1421"/>
    <cellStyle name="Currency_laroux_1_Locas_02012000_Epe" xfId="1422"/>
    <cellStyle name="Currency_laroux_1_pldt" xfId="1423"/>
    <cellStyle name="Currency_laroux_1_pldt_02012000_Epe" xfId="1424"/>
    <cellStyle name="Currency_laroux_1_PLDT_dimon" xfId="1425"/>
    <cellStyle name="Currency_laroux_1_PLDT_dimon_02012000_Epe" xfId="1426"/>
    <cellStyle name="Currency_laroux_1_VERA" xfId="1427"/>
    <cellStyle name="Currency_laroux_1_VERA_02012000_Epe" xfId="1428"/>
    <cellStyle name="Currency_laroux_1_VERA_1" xfId="1429"/>
    <cellStyle name="Currency_laroux_1_VERA_1_02012000_Epe" xfId="1430"/>
    <cellStyle name="Currency_laroux_1_VIRUS-EDY" xfId="1431"/>
    <cellStyle name="Currency_laroux_1_VIRUS-EDY_02012000_Epe" xfId="1432"/>
    <cellStyle name="Currency_laroux_2" xfId="1433"/>
    <cellStyle name="Currency_laroux_2_02012000_Epe" xfId="1434"/>
    <cellStyle name="Currency_laroux_2_dimon" xfId="1435"/>
    <cellStyle name="Currency_laroux_2_dimon_02012000_Epe" xfId="1436"/>
    <cellStyle name="Currency_laroux_2_dimon_1" xfId="1437"/>
    <cellStyle name="Currency_laroux_2_dimon_1_02012000_Epe" xfId="1438"/>
    <cellStyle name="Currency_laroux_2_dimon_2" xfId="1439"/>
    <cellStyle name="Currency_laroux_2_dimon_2_02012000_Epe" xfId="1440"/>
    <cellStyle name="Currency_laroux_2_dimon_3" xfId="1441"/>
    <cellStyle name="Currency_laroux_2_dimon_3_02012000_Epe" xfId="1442"/>
    <cellStyle name="Currency_laroux_2_laroux" xfId="1443"/>
    <cellStyle name="Currency_laroux_2_laroux_02012000_Epe" xfId="1444"/>
    <cellStyle name="Currency_laroux_2_laroux_dimon" xfId="1445"/>
    <cellStyle name="Currency_laroux_2_laroux_dimon_02012000_Epe" xfId="1446"/>
    <cellStyle name="Currency_laroux_2_Locas" xfId="1447"/>
    <cellStyle name="Currency_laroux_2_Locas_02012000_Epe" xfId="1448"/>
    <cellStyle name="Currency_laroux_2_pldt" xfId="1449"/>
    <cellStyle name="Currency_laroux_2_pldt_02012000_Epe" xfId="1450"/>
    <cellStyle name="Currency_laroux_2_PLDT_dimon" xfId="1451"/>
    <cellStyle name="Currency_laroux_2_PLDT_dimon_02012000_Epe" xfId="1452"/>
    <cellStyle name="Currency_laroux_2_VIRUS-EDY" xfId="1453"/>
    <cellStyle name="Currency_laroux_2_VIRUS-EDY_02012000_Epe" xfId="1454"/>
    <cellStyle name="Currency_laroux_3" xfId="1455"/>
    <cellStyle name="Currency_laroux_3_02012000_Epe" xfId="1456"/>
    <cellStyle name="Currency_laroux_3_dimon" xfId="1457"/>
    <cellStyle name="Currency_laroux_3_dimon_1" xfId="1458"/>
    <cellStyle name="Currency_laroux_3_dimon_1_02012000_Epe" xfId="1459"/>
    <cellStyle name="Currency_laroux_3_dimon_2" xfId="1460"/>
    <cellStyle name="Currency_laroux_3_dimon_2_02012000_Epe" xfId="1461"/>
    <cellStyle name="Currency_laroux_3_dimon_3" xfId="1462"/>
    <cellStyle name="Currency_laroux_3_dimon_3_02012000_Epe" xfId="1463"/>
    <cellStyle name="Currency_laroux_4" xfId="1464"/>
    <cellStyle name="Currency_laroux_4_02012000_Epe" xfId="1465"/>
    <cellStyle name="Currency_laroux_4_dimon" xfId="1466"/>
    <cellStyle name="Currency_laroux_4_dimon_02012000_Epe" xfId="1467"/>
    <cellStyle name="Currency_laroux_4_dimon_1" xfId="1468"/>
    <cellStyle name="Currency_laroux_4_dimon_1_02012000_Epe" xfId="1469"/>
    <cellStyle name="Currency_laroux_5" xfId="1470"/>
    <cellStyle name="Currency_laroux_5_02012000_Epe" xfId="1471"/>
    <cellStyle name="Currency_laroux_6" xfId="1472"/>
    <cellStyle name="Currency_laroux_7" xfId="1473"/>
    <cellStyle name="Currency_laroux_7_02012000_Epe" xfId="1474"/>
    <cellStyle name="Currency_laroux_8" xfId="1475"/>
    <cellStyle name="Currency_laroux_8_02012000_Epe" xfId="1476"/>
    <cellStyle name="Currency_laroux_dimon" xfId="1477"/>
    <cellStyle name="Currency_laroux_dimon_1" xfId="1478"/>
    <cellStyle name="Currency_laroux_dimon_1_02012000_Epe" xfId="1479"/>
    <cellStyle name="Currency_laroux_dimon_2" xfId="1480"/>
    <cellStyle name="Currency_laroux_dimon_2_02012000_Epe" xfId="1481"/>
    <cellStyle name="Currency_laroux_dimon_3" xfId="1482"/>
    <cellStyle name="Currency_laroux_laroux" xfId="1483"/>
    <cellStyle name="Currency_laroux_laroux_02012000_Epe" xfId="1484"/>
    <cellStyle name="Currency_laroux_laroux_1" xfId="1485"/>
    <cellStyle name="Currency_laroux_laroux_1_02012000_Epe" xfId="1486"/>
    <cellStyle name="Currency_laroux_laroux_1_dimon" xfId="1487"/>
    <cellStyle name="Currency_laroux_laroux_1_dimon_02012000_Epe" xfId="1488"/>
    <cellStyle name="Currency_laroux_laroux_dimon" xfId="1489"/>
    <cellStyle name="Currency_laroux_laroux_dimon_02012000_Epe" xfId="1490"/>
    <cellStyle name="Currency_laroux_Locas" xfId="1491"/>
    <cellStyle name="Currency_laroux_Locas_02012000_Epe" xfId="1492"/>
    <cellStyle name="Currency_laroux_pldt" xfId="1493"/>
    <cellStyle name="Currency_laroux_pldt_02012000_Epe" xfId="1494"/>
    <cellStyle name="Currency_laroux_pldt_1" xfId="1495"/>
    <cellStyle name="Currency_laroux_pldt_1_02012000_Epe" xfId="1496"/>
    <cellStyle name="Currency_laroux_VERA" xfId="1497"/>
    <cellStyle name="Currency_laroux_VERA_02012000_Epe" xfId="1498"/>
    <cellStyle name="Currency_laroux_VERA_1" xfId="1499"/>
    <cellStyle name="Currency_laroux_VERA_1_02012000_Epe" xfId="1500"/>
    <cellStyle name="Currency_laroux_VIRUS-EDY" xfId="1501"/>
    <cellStyle name="Currency_List" xfId="1502"/>
    <cellStyle name="Currency_List_02012000_Epe" xfId="1503"/>
    <cellStyle name="Currency_MATERAL2" xfId="1504"/>
    <cellStyle name="Currency_MATERAL2_02012000_Epe" xfId="1505"/>
    <cellStyle name="Currency_MATERAL2_dimon" xfId="1506"/>
    <cellStyle name="Currency_MATERAL2_dimon_02012000_Epe" xfId="1507"/>
    <cellStyle name="Currency_MATERAL2_dimon_1" xfId="1508"/>
    <cellStyle name="Currency_MATERAL2_dimon_1_02012000_Epe" xfId="1509"/>
    <cellStyle name="Currency_may98dcr" xfId="1510"/>
    <cellStyle name="Currency_MKGOCPX" xfId="1511"/>
    <cellStyle name="Currency_MKGOCPX_02012000_Epe" xfId="1512"/>
    <cellStyle name="Currency_MOBCPX" xfId="1513"/>
    <cellStyle name="Currency_MOBCPX_02012000_Epe" xfId="1514"/>
    <cellStyle name="Currency_mud plant bolted" xfId="1515"/>
    <cellStyle name="Currency_mud plant bolted_02012000_Epe" xfId="1516"/>
    <cellStyle name="Currency_mud plant bolted_dimon" xfId="1517"/>
    <cellStyle name="Currency_mud plant bolted_dimon_02012000_Epe" xfId="1518"/>
    <cellStyle name="Currency_mud plant bolted_dimon_1" xfId="1519"/>
    <cellStyle name="Currency_mud plant bolted_dimon_1_02012000_Epe" xfId="1520"/>
    <cellStyle name="Currency_mud plant bolted_PLDT" xfId="1521"/>
    <cellStyle name="Currency_mud plant bolted_PLDT_02012000_Epe" xfId="1522"/>
    <cellStyle name="Currency_mud plant bolted_VERA" xfId="1523"/>
    <cellStyle name="Currency_mud plant bolted_VERA_02012000_Epe" xfId="1524"/>
    <cellStyle name="Currency_mud plant bolted_VERA_1" xfId="1525"/>
    <cellStyle name="Currency_mud plant bolted_VERA_1_02012000_Epe" xfId="1526"/>
    <cellStyle name="Currency_NA WITHOUT GOV'T &amp; PNX" xfId="1527"/>
    <cellStyle name="Currency_NA WITHOUT GOV'T &amp; PNX_02012000_Epe" xfId="1528"/>
    <cellStyle name="Currency_NAOBU10" xfId="1529"/>
    <cellStyle name="Currency_NAOBU10_02012000_Epe" xfId="1530"/>
    <cellStyle name="Currency_NAT ACCT" xfId="1531"/>
    <cellStyle name="Currency_NAT ACCT_02012000_Epe" xfId="1532"/>
    <cellStyle name="Currency_NSACTUAL.XLS" xfId="1533"/>
    <cellStyle name="Currency_NSACTUAL.XLS_02012000_Epe" xfId="1534"/>
    <cellStyle name="Currency_NX00" xfId="1535"/>
    <cellStyle name="Currency_NX00_02012000_Epe" xfId="1536"/>
    <cellStyle name="Currency_Odner" xfId="1537"/>
    <cellStyle name="Currency_Odner (2)" xfId="1538"/>
    <cellStyle name="Currency_Odner (2)_02012000_Epe" xfId="1539"/>
    <cellStyle name="Currency_Odner (3)" xfId="1540"/>
    <cellStyle name="Currency_Odner (3)_02012000_Epe" xfId="1541"/>
    <cellStyle name="Currency_Odner_02012000_Epe" xfId="1542"/>
    <cellStyle name="Currency_OSMOCPX" xfId="1543"/>
    <cellStyle name="Currency_OSMOCPX_02012000_Epe" xfId="1544"/>
    <cellStyle name="Currency_Other Months" xfId="1545"/>
    <cellStyle name="Currency_Other Months_02012000_Epe" xfId="1546"/>
    <cellStyle name="Currency_Outlook" xfId="1547"/>
    <cellStyle name="Currency_Outlook_02012000_Epe" xfId="1548"/>
    <cellStyle name="Currency_pbdefault" xfId="1549"/>
    <cellStyle name="Currency_pbdefault_1" xfId="1550"/>
    <cellStyle name="Currency_percentages" xfId="1551"/>
    <cellStyle name="Currency_percentages_02012000_Epe" xfId="1552"/>
    <cellStyle name="Currency_PERSONAL" xfId="1553"/>
    <cellStyle name="Currency_PERSONAL_02012000_Epe" xfId="1554"/>
    <cellStyle name="Currency_PGMKOCPX" xfId="1555"/>
    <cellStyle name="Currency_PGMKOCPX_02012000_Epe" xfId="0"/>
    <cellStyle name="Currency_PGNW1" xfId="0"/>
    <cellStyle name="Currency_PGNW1_02012000_Epe" xfId="0"/>
    <cellStyle name="Currency_PGNW2" xfId="0"/>
    <cellStyle name="Currency_PGNW2_02012000_Epe" xfId="0"/>
    <cellStyle name="Currency_PGNWOCPX" xfId="0"/>
    <cellStyle name="Currency_PGNWOCPX_02012000_Epe" xfId="0"/>
    <cellStyle name="Currency_Pink" xfId="0"/>
    <cellStyle name="Currency_Pink_02012000_Epe" xfId="0"/>
    <cellStyle name="Currency_Plan" xfId="0"/>
    <cellStyle name="Currency_Plan_02012000_Epe" xfId="0"/>
    <cellStyle name="Currency_PLANT" xfId="0"/>
    <cellStyle name="Currency_PLANT_02012000_Epe" xfId="0"/>
    <cellStyle name="Currency_PLDT" xfId="0"/>
    <cellStyle name="Currency_PLDT_02012000_Epe" xfId="0"/>
    <cellStyle name="Currency_pldt_1" xfId="0"/>
    <cellStyle name="Currency_pldt_1_02012000_Epe" xfId="0"/>
    <cellStyle name="Currency_PLDT_1_dimon" xfId="0"/>
    <cellStyle name="Currency_PLDT_1_dimon_02012000_Epe" xfId="0"/>
    <cellStyle name="Currency_pldt_1_dimon_1" xfId="0"/>
    <cellStyle name="Currency_pldt_1_dimon_1_02012000_Epe" xfId="0"/>
    <cellStyle name="Currency_pldt_2" xfId="0"/>
    <cellStyle name="Currency_pldt_2_02012000_Epe" xfId="0"/>
    <cellStyle name="Currency_pldt_Calculations" xfId="0"/>
    <cellStyle name="Currency_pldt_Calculations_02012000_Epe" xfId="0"/>
    <cellStyle name="Currency_PLDT_dimon" xfId="0"/>
    <cellStyle name="Currency_PLDT_dimon_02012000_Epe" xfId="0"/>
    <cellStyle name="Currency_pldt_dimon_1" xfId="0"/>
    <cellStyle name="Currency_pldt_dimon_1_02012000_Epe" xfId="0"/>
    <cellStyle name="Currency_priccurv" xfId="0"/>
    <cellStyle name="Currency_PROCDS&amp;G" xfId="0"/>
    <cellStyle name="Currency_PROCDS&amp;G_02012000_Epe" xfId="0"/>
    <cellStyle name="Currency_PROFILE4" xfId="0"/>
    <cellStyle name="Currency_Projects" xfId="0"/>
    <cellStyle name="Currency_Projects_02012000_Epe" xfId="0"/>
    <cellStyle name="Currency_Quarter End Months" xfId="0"/>
    <cellStyle name="Currency_Quarter End Months_02012000_Epe" xfId="0"/>
    <cellStyle name="Currency_r1" xfId="0"/>
    <cellStyle name="Currency_RFI" xfId="0"/>
    <cellStyle name="Currency_RFI_02012000_Epe" xfId="0"/>
    <cellStyle name="Currency_RFI_1" xfId="0"/>
    <cellStyle name="Currency_RFI_1_02012000_Epe" xfId="0"/>
    <cellStyle name="Currency_Sales Order" xfId="0"/>
    <cellStyle name="Currency_Sales Order_02012000_Epe" xfId="0"/>
    <cellStyle name="Currency_SATOCPX" xfId="0"/>
    <cellStyle name="Currency_SATOCPX_02012000_Epe" xfId="0"/>
    <cellStyle name="Currency_Sheet1" xfId="0"/>
    <cellStyle name="Currency_Sheet1 (2)" xfId="0"/>
    <cellStyle name="Currency_Sheet1 (2)_02012000_Epe" xfId="0"/>
    <cellStyle name="Currency_Sheet1_02012000_Epe" xfId="0"/>
    <cellStyle name="Currency_Sheet1_dimon" xfId="0"/>
    <cellStyle name="Currency_Sheet1_dimon_02012000_Epe" xfId="0"/>
    <cellStyle name="Currency_SHENREPT" xfId="0"/>
    <cellStyle name="Currency_SHENREPT_02012000_Epe" xfId="0"/>
    <cellStyle name="Currency_Snr. CO" xfId="0"/>
    <cellStyle name="Currency_Snr. CO_02012000_Epe" xfId="0"/>
    <cellStyle name="Currency_sprint contr" xfId="0"/>
    <cellStyle name="Currency_sprint contr_02012000_Epe" xfId="0"/>
    <cellStyle name="Currency_Subcont File" xfId="0"/>
    <cellStyle name="Currency_Subcont File_02012000_Epe" xfId="0"/>
    <cellStyle name="Currency_Summary Info" xfId="0"/>
    <cellStyle name="Currency_Summary Info_02012000_Epe" xfId="0"/>
    <cellStyle name="Currency_SUMPAGE" xfId="0"/>
    <cellStyle name="Currency_SUMPAGE_02012000_Epe" xfId="0"/>
    <cellStyle name="Currency_TMSNW1" xfId="0"/>
    <cellStyle name="Currency_TMSNW1_02012000_Epe" xfId="0"/>
    <cellStyle name="Currency_TMSNW2" xfId="0"/>
    <cellStyle name="Currency_TMSNW2_02012000_Epe" xfId="0"/>
    <cellStyle name="Currency_TMSOCPX" xfId="0"/>
    <cellStyle name="Currency_TMSOCPX_02012000_Epe" xfId="0"/>
    <cellStyle name="Currency_TOTAL MTH" xfId="0"/>
    <cellStyle name="Currency_TOTAL MTH_02012000_Epe" xfId="0"/>
    <cellStyle name="Currency_TOTAL YTD" xfId="0"/>
    <cellStyle name="Currency_TOTAL YTD_02012000_Epe" xfId="0"/>
    <cellStyle name="Currency_TRANSDSC.XLS" xfId="0"/>
    <cellStyle name="Currency_TRANSDSC.XLS_02012000_Epe" xfId="0"/>
    <cellStyle name="Currency_TRANSFXA.XLS" xfId="0"/>
    <cellStyle name="Currency_TRANSFXA.XLS_02012000_Epe" xfId="0"/>
    <cellStyle name="Currency_TRANSFXA.XLS_1" xfId="0"/>
    <cellStyle name="Currency_TRANSFXA.XLS_1_02012000_Epe" xfId="0"/>
    <cellStyle name="Currency_TRANSIME.XLS" xfId="0"/>
    <cellStyle name="Currency_TRANSIME.XLS_02012000_Epe" xfId="0"/>
    <cellStyle name="Currency_TRANSIME.XLS_TRANSDSC.XLS" xfId="0"/>
    <cellStyle name="Currency_TRANSIME.XLS_TRANSDSC.XLS_02012000_Epe" xfId="0"/>
    <cellStyle name="Currency_TRANSIME.XLS_TRANSFXA.XLS" xfId="0"/>
    <cellStyle name="Currency_TRANSIME.XLS_TRANSFXA.XLS_02012000_Epe" xfId="0"/>
    <cellStyle name="Currency_VERA" xfId="0"/>
    <cellStyle name="Currency_VIRUS-EDY" xfId="0"/>
    <cellStyle name="Currency_VIRUS-EDY_02012000_Epe" xfId="0"/>
    <cellStyle name="Currency_VIRUS-EDY_1" xfId="0"/>
    <cellStyle name="Currency_White" xfId="0"/>
    <cellStyle name="Currency_White_02012000_Epe" xfId="0"/>
    <cellStyle name="Currency_WO Var. &amp; Tot. Exp." xfId="0"/>
    <cellStyle name="Currency_WO Var. &amp; Tot. Exp._02012000_Epe" xfId="0"/>
    <cellStyle name="Currency_WSP" xfId="0"/>
    <cellStyle name="Currency_WSP_02012000_Epe" xfId="0"/>
    <cellStyle name="Currency_yrcao" xfId="0"/>
    <cellStyle name="Currency_yrcao_02012000_Epe" xfId="0"/>
    <cellStyle name="Currency_YREND55" xfId="0"/>
    <cellStyle name="Currency_YREND55_02012000_Epe" xfId="0"/>
    <cellStyle name="Currency_YREND57" xfId="0"/>
    <cellStyle name="Currency_YREND57_02012000_Epe" xfId="0"/>
    <cellStyle name="Currency_YTDCUR" xfId="0"/>
    <cellStyle name="Currency_YTDCUR_02012000_Epe" xfId="0"/>
    <cellStyle name="Date" xfId="0"/>
    <cellStyle name="Fixed" xfId="0"/>
    <cellStyle name="Fixed_02012000_Epe" xfId="0"/>
    <cellStyle name="Grey" xfId="0"/>
    <cellStyle name="HEADER" xfId="0"/>
    <cellStyle name="Heading 1" xfId="0"/>
    <cellStyle name="Heading1_02012000_Epe" xfId="0"/>
    <cellStyle name="Heading2" xfId="0"/>
    <cellStyle name="Heading2_02012000_Epe" xfId="0"/>
    <cellStyle name="HIGHLIGHT" xfId="0"/>
    <cellStyle name="Input [yellow]" xfId="0"/>
    <cellStyle name="no dec" xfId="0"/>
    <cellStyle name="Normal - Style1" xfId="0"/>
    <cellStyle name="Normal - Style1_02012000_Epe" xfId="0"/>
    <cellStyle name="Normal - Style1_dimon" xfId="0"/>
    <cellStyle name="Normal - Style1_dimon_02012000_Epe" xfId="0"/>
    <cellStyle name="Normal_02012000_Epe" xfId="0"/>
    <cellStyle name="Normal_022299" xfId="0"/>
    <cellStyle name="Normal_03_06_98 list _ecm deals 030998 excel95" xfId="0"/>
    <cellStyle name="Normal_0818_BRpipe" xfId="0"/>
    <cellStyle name="Normal_0914_BRpwr" xfId="0"/>
    <cellStyle name="Normal_0915_BRpwr" xfId="0"/>
    <cellStyle name="Normal_0915_Curves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990114_Tbs" xfId="0"/>
    <cellStyle name="Normal_A" xfId="0"/>
    <cellStyle name="Normal_A (2)" xfId="0"/>
    <cellStyle name="Normal_A (2)_02012000_Epe" xfId="0"/>
    <cellStyle name="Normal_A_02012000_Epe" xfId="0"/>
    <cellStyle name="Normal_A_dimon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IGOUT" xfId="0"/>
    <cellStyle name="Normal_Book3" xfId="0"/>
    <cellStyle name="Normal_BOP" xfId="0"/>
    <cellStyle name="Normal_BOPBAL1" xfId="0"/>
    <cellStyle name="Normal_BOPBAL1_02012000_Epe" xfId="0"/>
    <cellStyle name="Normal_BOPCBU" xfId="0"/>
    <cellStyle name="Normal_BOPCBU (2)" xfId="0"/>
    <cellStyle name="Normal_BOPCBU (2)_02012000_Epe" xfId="0"/>
    <cellStyle name="Normal_BOPCBU96" xfId="0"/>
    <cellStyle name="Normal_BOPCBU96_02012000_Epe" xfId="0"/>
    <cellStyle name="Normal_BOPCBU_02012000_Epe" xfId="0"/>
    <cellStyle name="Normal_BREPAIR" xfId="0"/>
    <cellStyle name="Normal_BREPAIR_02012000_Epe" xfId="0"/>
    <cellStyle name="Normal_BSAPPE.XLS" xfId="0"/>
    <cellStyle name="Normal_BSAPPE.XLS_02012000_Epe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02012000_Epe" xfId="0"/>
    <cellStyle name="Normal_CAPEX94" xfId="0"/>
    <cellStyle name="Normal_CAPEX94_02012000_Epe" xfId="0"/>
    <cellStyle name="Normal_CAPEX_dimon" xfId="0"/>
    <cellStyle name="Normal_CAPEX_dimon_02012000_Epe" xfId="0"/>
    <cellStyle name="Normal_CAPEX_VERA" xfId="0"/>
    <cellStyle name="Normal_CAPEXPWI.XLS" xfId="0"/>
    <cellStyle name="Normal_CAPEXPWI.XLS_02012000_Epe" xfId="0"/>
    <cellStyle name="Normal_CAPEXPWO.XLS" xfId="0"/>
    <cellStyle name="Normal_CAPEXPWO.XLS_02012000_Epe" xfId="0"/>
    <cellStyle name="Normal_Cardig GHS" xfId="0"/>
    <cellStyle name="Normal_Cash Flows" xfId="0"/>
    <cellStyle name="Normal_CBU BOX CHART V PLAN" xfId="0"/>
    <cellStyle name="Normal_CBU BOX CHART V PLAN_02012000_Epe" xfId="0"/>
    <cellStyle name="Normal_CBU BOX CHART V PLAN_1" xfId="0"/>
    <cellStyle name="Normal_CCOCPX" xfId="0"/>
    <cellStyle name="Normal_CEL-C-CO.XLS" xfId="0"/>
    <cellStyle name="Normal_CEL-C-CO.XLS_02012000_Epe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ANGES.XLS_1_02012000_Epe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dimon" xfId="0"/>
    <cellStyle name="Normal_COMOTH" xfId="0"/>
    <cellStyle name="Normal_coperdefault" xfId="0"/>
    <cellStyle name="Normal_coperdefault_1" xfId="0"/>
    <cellStyle name="Normal_Corp method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MPLTCH_02012000_Epe" xfId="0"/>
    <cellStyle name="Normal_CurrencySKorea" xfId="0"/>
    <cellStyle name="Normal_Curve Sheet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2" xfId="0"/>
    <cellStyle name="Normal_dimon_3" xfId="0"/>
    <cellStyle name="Normal_dimon_4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mserdefault" xfId="0"/>
    <cellStyle name="Normal_emserdefault_1" xfId="0"/>
    <cellStyle name="Normal_EPS" xfId="0"/>
    <cellStyle name="Normal_EQCON" xfId="0"/>
    <cellStyle name="Normal_EQCON_02012000_Epe" xfId="0"/>
    <cellStyle name="Normal_export 61898" xfId="0"/>
    <cellStyle name="Normal_export deals 050898" xfId="0"/>
    <cellStyle name="Normal_F&amp;COCPX" xfId="0"/>
    <cellStyle name="Normal_FEBRUARY" xfId="0"/>
    <cellStyle name="Normal_FEBRUARY_02012000_Epe" xfId="0"/>
    <cellStyle name="Normal_FF" xfId="0"/>
    <cellStyle name="Normal_FF_02012000_Epe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GCM" xfId="0"/>
    <cellStyle name="Normal_GE03" xfId="0"/>
    <cellStyle name="Normal_GE04" xfId="0"/>
    <cellStyle name="Normal_GenAssum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02012000_Ep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ancf_02012000_Epe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02012000_Epe" xfId="0"/>
    <cellStyle name="Normal_laroux_1_dimon" xfId="0"/>
    <cellStyle name="Normal_laroux_1_dimon_1" xfId="0"/>
    <cellStyle name="Normal_laroux_1_dimon_2" xfId="0"/>
    <cellStyle name="Normal_laroux_1_dimon_2_02012000_Epe" xfId="0"/>
    <cellStyle name="Normal_laroux_1_laroux" xfId="0"/>
    <cellStyle name="Normal_laroux_1_laroux_1" xfId="0"/>
    <cellStyle name="Normal_laroux_1_laroux_1_02012000_Ep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2_02012000_Epe" xfId="0"/>
    <cellStyle name="Normal_laroux_2_dimon_3" xfId="0"/>
    <cellStyle name="Normal_laroux_2_laroux" xfId="0"/>
    <cellStyle name="Normal_laroux_2_laroux_02012000_Epe" xfId="0"/>
    <cellStyle name="Normal_laroux_2_laroux_1" xfId="0"/>
    <cellStyle name="Normal_laroux_2_laroux_2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2" xfId="0"/>
    <cellStyle name="Normal_laroux_3_dimon_2_02012000_Epe" xfId="0"/>
    <cellStyle name="Normal_laroux_3_dimon_3" xfId="0"/>
    <cellStyle name="Normal_laroux_3_dimon_4" xfId="0"/>
    <cellStyle name="Normal_laroux_3_laroux" xfId="0"/>
    <cellStyle name="Normal_laroux_3_laroux_1" xfId="0"/>
    <cellStyle name="Normal_laroux_3_laroux_2" xfId="0"/>
    <cellStyle name="Normal_laroux_3_laroux_2_02012000_Ep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02012000_Epe" xfId="0"/>
    <cellStyle name="Normal_laroux_3_VERA_1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dimon_3_02012000_Epe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2" xfId="0"/>
    <cellStyle name="Normal_laroux_5_dimon_2_02012000_Epe" xfId="0"/>
    <cellStyle name="Normal_laroux_5_dimon_3" xfId="0"/>
    <cellStyle name="Normal_laroux_5_laroux" xfId="0"/>
    <cellStyle name="Normal_laroux_5_laroux_1" xfId="0"/>
    <cellStyle name="Normal_laroux_5_laroux_1_02012000_Ep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02012000_Epe" xfId="0"/>
    <cellStyle name="Normal_laroux_6_dimon_2" xfId="0"/>
    <cellStyle name="Normal_laroux_6_dimon_3" xfId="0"/>
    <cellStyle name="Normal_laroux_6_laroux" xfId="0"/>
    <cellStyle name="Normal_laroux_6_laroux_1" xfId="0"/>
    <cellStyle name="Normal_laroux_6_laroux_dimon" xfId="0"/>
    <cellStyle name="Normal_laroux_6_laroux_dimon_02012000_Ep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02012000_Epe" xfId="0"/>
    <cellStyle name="Normal_laroux_7" xfId="0"/>
    <cellStyle name="Normal_laroux_7_dimon" xfId="0"/>
    <cellStyle name="Normal_laroux_7_dimon_1" xfId="0"/>
    <cellStyle name="Normal_laroux_7_dimon_2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A" xfId="0"/>
    <cellStyle name="Normal_laroux_B" xfId="0"/>
    <cellStyle name="Normal_laroux_C" xfId="0"/>
    <cellStyle name="Normal_laroux_D" xfId="0"/>
    <cellStyle name="Normal_laroux_D_02012000_Epe" xfId="0"/>
    <cellStyle name="Normal_laroux_dimon" xfId="0"/>
    <cellStyle name="Normal_laroux_dimon_1" xfId="0"/>
    <cellStyle name="Normal_laroux_dimon_1_02012000_Epe" xfId="0"/>
    <cellStyle name="Normal_laroux_dimon_2" xfId="0"/>
    <cellStyle name="Normal_laroux_dimon_3" xfId="0"/>
    <cellStyle name="Normal_laroux_dimon_4" xfId="0"/>
    <cellStyle name="Normal_laroux_dimon_5" xfId="0"/>
    <cellStyle name="Normal_laroux_dimon_5_02012000_Ep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02012000_Epe" xfId="0"/>
    <cellStyle name="Normal_laroux_pldt_1" xfId="0"/>
    <cellStyle name="Normal_laroux_pldt_2" xfId="0"/>
    <cellStyle name="Normal_laroux_pldt_3" xfId="0"/>
    <cellStyle name="Normal_laroux_pldt_3_02012000_Epe" xfId="0"/>
    <cellStyle name="Normal_laroux_PLDT_dimon" xfId="0"/>
    <cellStyle name="Normal_laroux_PLDT_dimon_02012000_Epe" xfId="0"/>
    <cellStyle name="Normal_laroux_VERA" xfId="0"/>
    <cellStyle name="Normal_laroux_VERA_1" xfId="0"/>
    <cellStyle name="Normal_laroux_VIRUS-EDY" xfId="0"/>
    <cellStyle name="Normal_Line Inst." xfId="0"/>
    <cellStyle name="Normal_List" xfId="0"/>
    <cellStyle name="Normal_List_02012000_Epe" xfId="0"/>
    <cellStyle name="Normal_Locas" xfId="0"/>
    <cellStyle name="Normal_Locas_1" xfId="0"/>
    <cellStyle name="Normal_MAJREP" xfId="0"/>
    <cellStyle name="Normal_MAJREP_02012000_Epe" xfId="0"/>
    <cellStyle name="Normal_MATERAL2" xfId="0"/>
    <cellStyle name="Normal_MATERAL2_dimon" xfId="0"/>
    <cellStyle name="Normal_may98dcr" xfId="0"/>
    <cellStyle name="Normal_MED-A-CO.XLS" xfId="0"/>
    <cellStyle name="Normal_MED-A-CO.XLS_02012000_Epe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HQ-ACT.XLS_02012000_Epe" xfId="0"/>
    <cellStyle name="Normal_NS-A-CO.XLS" xfId="0"/>
    <cellStyle name="Normal_NS-A-CO.XLS_02012000_Epe" xfId="0"/>
    <cellStyle name="Normal_NS_AT" xfId="0"/>
    <cellStyle name="Normal_NS_CONS GROUP" xfId="0"/>
    <cellStyle name="Normal_NSACTUAL.XLS" xfId="0"/>
    <cellStyle name="Normal_NSACTUAL.XLS_1" xfId="0"/>
    <cellStyle name="Normal_NSACTUAL.XLS_1_02012000_Epe" xfId="0"/>
    <cellStyle name="Normal_NX00" xfId="0"/>
    <cellStyle name="Normal_Op Cost Break" xfId="0"/>
    <cellStyle name="Normal_OPSTAT" xfId="0"/>
    <cellStyle name="Normal_OS-A-CO.XLS" xfId="0"/>
    <cellStyle name="Normal_OS-A-CO.XLS_02012000_Epe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02012000_Epe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3_dimon_02012000_Epe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6_02012000_Epe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curv_2_02012000_Epe" xfId="0"/>
    <cellStyle name="Normal_PrintBox (2)" xfId="0"/>
    <cellStyle name="Normal_PROCDS&amp;G" xfId="0"/>
    <cellStyle name="Normal_PROCDS&amp;G_02012000_Epe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Payment model_02012000_Epe" xfId="0"/>
    <cellStyle name="Normal_production tony" xfId="0"/>
    <cellStyle name="Normal_PROFILE4" xfId="0"/>
    <cellStyle name="Normal_PSTNOCFP" xfId="0"/>
    <cellStyle name="Normal_Q08-95.XLS" xfId="0"/>
    <cellStyle name="Normal_Q08-95.XLS_02012000_Epe" xfId="0"/>
    <cellStyle name="Normal_QMM-1" xfId="0"/>
    <cellStyle name="Normal_QMM-1_02012000_Ep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TOCPX" xfId="0"/>
    <cellStyle name="Normal_SC COP" xfId="0"/>
    <cellStyle name="Normal_SC COP_02012000_Epe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02012000_Epe" xfId="0"/>
    <cellStyle name="Normal_sprint contr" xfId="0"/>
    <cellStyle name="Normal_Staff cost%rev" xfId="0"/>
    <cellStyle name="Normal_Summary" xfId="0"/>
    <cellStyle name="Normal_SUMPAGE" xfId="0"/>
    <cellStyle name="Normal_SWI-C-CO.XLS" xfId="0"/>
    <cellStyle name="Normal_SWI-C-CO.XLS_02012000_Epe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02012000_Epe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TRN-A-CO.XLS_02012000_Epe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~0001633" xfId="0"/>
    <cellStyle name="Percent [2]" xfId="0"/>
    <cellStyle name="Total" xfId="0"/>
    <cellStyle name="Total_02012000_Epe" xfId="0"/>
    <cellStyle name="Unprot" xfId="0"/>
    <cellStyle name="Unprot$" xfId="0"/>
    <cellStyle name="Unprot_CurrencySKorea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externalLink" Target="externalLinks/externalLink1.xml"/><Relationship Id="rId3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3.xml"/><Relationship Id="rId32" Type="http://schemas.openxmlformats.org/officeDocument/2006/relationships/externalLink" Target="externalLinks/externalLink4.xml"/><Relationship Id="rId3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Sensitivity to Change in Start Date - 300MW Simple Cycle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uFillTx/>
                <a:latin typeface="Arial"/>
              </a:rPr>
              <a:t>($, 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59947095778684"/>
          <c:y val="0.219268373063825"/>
          <c:w val="0.861732613248099"/>
          <c:h val="0.647698560913984"/>
        </c:manualLayout>
      </c:layout>
      <c:lineChart>
        <c:grouping val="standard"/>
        <c:varyColors val="0"/>
        <c:ser>
          <c:idx val="0"/>
          <c:order val="0"/>
          <c:tx>
            <c:strRef>
              <c:f>RAROC!$B$33</c:f>
              <c:strCache>
                <c:ptCount val="1"/>
                <c:pt idx="0">
                  <c:v>ENE NPV14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RAROC!$A$34:$A$38</c:f>
              <c:strCache>
                <c:ptCount val="5"/>
                <c:pt idx="0">
                  <c:v>3/1/2001</c:v>
                </c:pt>
                <c:pt idx="1">
                  <c:v>4/1/2001</c:v>
                </c:pt>
                <c:pt idx="2">
                  <c:v>5/1/2001</c:v>
                </c:pt>
                <c:pt idx="3">
                  <c:v>6/1/2001</c:v>
                </c:pt>
                <c:pt idx="4">
                  <c:v>7/1/2001</c:v>
                </c:pt>
              </c:strCache>
            </c:strRef>
          </c:cat>
          <c:val>
            <c:numRef>
              <c:f>RAROC!$B$34:$B$38</c:f>
              <c:numCache>
                <c:formatCode>#,##0</c:formatCode>
                <c:ptCount val="5"/>
                <c:pt idx="0">
                  <c:v>6288.87937654694</c:v>
                </c:pt>
                <c:pt idx="1">
                  <c:v>6093.26423214685</c:v>
                </c:pt>
                <c:pt idx="2">
                  <c:v>5896.83186887352</c:v>
                </c:pt>
                <c:pt idx="3">
                  <c:v>5781.0587193042</c:v>
                </c:pt>
                <c:pt idx="4">
                  <c:v>5735.7559408121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696360"/>
        <c:axId val="27575995"/>
      </c:lineChart>
      <c:lineChart>
        <c:grouping val="standard"/>
        <c:varyColors val="0"/>
        <c:ser>
          <c:idx val="1"/>
          <c:order val="1"/>
          <c:tx>
            <c:strRef>
              <c:f>RAROC!$C$33</c:f>
              <c:strCache>
                <c:ptCount val="1"/>
                <c:pt idx="0">
                  <c:v>EBDIT NPV14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RAROC!$A$34:$A$38</c:f>
              <c:strCache>
                <c:ptCount val="5"/>
                <c:pt idx="0">
                  <c:v>3/1/2001</c:v>
                </c:pt>
                <c:pt idx="1">
                  <c:v>4/1/2001</c:v>
                </c:pt>
                <c:pt idx="2">
                  <c:v>5/1/2001</c:v>
                </c:pt>
                <c:pt idx="3">
                  <c:v>6/1/2001</c:v>
                </c:pt>
                <c:pt idx="4">
                  <c:v>7/1/2001</c:v>
                </c:pt>
              </c:strCache>
            </c:strRef>
          </c:cat>
          <c:val>
            <c:numRef>
              <c:f>RAROC!$C$34:$C$38</c:f>
              <c:numCache>
                <c:formatCode>#,##0</c:formatCode>
                <c:ptCount val="5"/>
                <c:pt idx="0">
                  <c:v>123315.910041563</c:v>
                </c:pt>
                <c:pt idx="1">
                  <c:v>122072.564110946</c:v>
                </c:pt>
                <c:pt idx="2">
                  <c:v>120811.174274705</c:v>
                </c:pt>
                <c:pt idx="3">
                  <c:v>120076.953708292</c:v>
                </c:pt>
                <c:pt idx="4">
                  <c:v>119820.072968917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879893"/>
        <c:axId val="26234901"/>
      </c:lineChart>
      <c:catAx>
        <c:axId val="5969636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575995"/>
        <c:crossesAt val="0"/>
        <c:auto val="1"/>
        <c:lblAlgn val="ctr"/>
        <c:lblOffset val="100"/>
        <c:noMultiLvlLbl val="0"/>
      </c:catAx>
      <c:valAx>
        <c:axId val="2757599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696360"/>
        <c:crossesAt val="1"/>
        <c:crossBetween val="midCat"/>
      </c:valAx>
      <c:catAx>
        <c:axId val="47879893"/>
        <c:scaling>
          <c:orientation val="minMax"/>
        </c:scaling>
        <c:delete val="1"/>
        <c:axPos val="t"/>
        <c:numFmt formatCode="[$-409]m/d/yy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34901"/>
        <c:auto val="1"/>
        <c:lblAlgn val="ctr"/>
        <c:lblOffset val="100"/>
        <c:noMultiLvlLbl val="0"/>
      </c:catAx>
      <c:valAx>
        <c:axId val="2623490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Project EBDIT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79893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75873470737353"/>
          <c:y val="0.8688344501812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Sensitivity to Change in Start Date - 480MW Combined Cycle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uFillTx/>
                <a:latin typeface="Arial"/>
              </a:rPr>
              <a:t>($, 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59947095778684"/>
          <c:y val="0.208948740225891"/>
          <c:w val="0.861732613248099"/>
          <c:h val="0.657688966116421"/>
        </c:manualLayout>
      </c:layout>
      <c:lineChart>
        <c:grouping val="standard"/>
        <c:varyColors val="0"/>
        <c:ser>
          <c:idx val="0"/>
          <c:order val="0"/>
          <c:tx>
            <c:strRef>
              <c:f>RAROC!$B$41</c:f>
              <c:strCache>
                <c:ptCount val="1"/>
                <c:pt idx="0">
                  <c:v>ENE NPV14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RAROC!$A$42:$A$46</c:f>
              <c:strCache>
                <c:ptCount val="5"/>
                <c:pt idx="0">
                  <c:v>8/1/2001</c:v>
                </c:pt>
                <c:pt idx="1">
                  <c:v>12/1/2002</c:v>
                </c:pt>
                <c:pt idx="2">
                  <c:v>3/1/2002</c:v>
                </c:pt>
                <c:pt idx="3">
                  <c:v>6/1/2002</c:v>
                </c:pt>
                <c:pt idx="4">
                  <c:v>9/1/2002</c:v>
                </c:pt>
              </c:strCache>
            </c:strRef>
          </c:cat>
          <c:val>
            <c:numRef>
              <c:f>RAROC!$B$42:$B$46</c:f>
              <c:numCache>
                <c:formatCode>#,##0</c:formatCode>
                <c:ptCount val="5"/>
                <c:pt idx="0">
                  <c:v>6288.87937654694</c:v>
                </c:pt>
                <c:pt idx="1">
                  <c:v>7464.82637712031</c:v>
                </c:pt>
                <c:pt idx="2">
                  <c:v>6928.8232560153</c:v>
                </c:pt>
                <c:pt idx="3">
                  <c:v>7086.5858246135</c:v>
                </c:pt>
                <c:pt idx="4">
                  <c:v>7313.97332637243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820518"/>
        <c:axId val="41442916"/>
      </c:lineChart>
      <c:lineChart>
        <c:grouping val="standard"/>
        <c:varyColors val="0"/>
        <c:ser>
          <c:idx val="1"/>
          <c:order val="1"/>
          <c:tx>
            <c:strRef>
              <c:f>RAROC!$C$41</c:f>
              <c:strCache>
                <c:ptCount val="1"/>
                <c:pt idx="0">
                  <c:v>EBDIT NPV14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RAROC!$A$42:$A$46</c:f>
              <c:strCache>
                <c:ptCount val="5"/>
                <c:pt idx="0">
                  <c:v>8/1/2001</c:v>
                </c:pt>
                <c:pt idx="1">
                  <c:v>12/1/2002</c:v>
                </c:pt>
                <c:pt idx="2">
                  <c:v>3/1/2002</c:v>
                </c:pt>
                <c:pt idx="3">
                  <c:v>6/1/2002</c:v>
                </c:pt>
                <c:pt idx="4">
                  <c:v>9/1/2002</c:v>
                </c:pt>
              </c:strCache>
            </c:strRef>
          </c:cat>
          <c:val>
            <c:numRef>
              <c:f>RAROC!$C$42:$C$46</c:f>
              <c:numCache>
                <c:formatCode>#,##0</c:formatCode>
                <c:ptCount val="5"/>
                <c:pt idx="0">
                  <c:v>123315.910041563</c:v>
                </c:pt>
                <c:pt idx="1">
                  <c:v>117704.904573325</c:v>
                </c:pt>
                <c:pt idx="2">
                  <c:v>121113.787051771</c:v>
                </c:pt>
                <c:pt idx="3">
                  <c:v>119908.883534317</c:v>
                </c:pt>
                <c:pt idx="4">
                  <c:v>119007.43893471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730040"/>
        <c:axId val="5774416"/>
      </c:lineChart>
      <c:catAx>
        <c:axId val="92820518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42916"/>
        <c:crossesAt val="0"/>
        <c:auto val="1"/>
        <c:lblAlgn val="ctr"/>
        <c:lblOffset val="100"/>
        <c:noMultiLvlLbl val="0"/>
      </c:catAx>
      <c:valAx>
        <c:axId val="4144291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820518"/>
        <c:crossesAt val="1"/>
        <c:crossBetween val="midCat"/>
      </c:valAx>
      <c:catAx>
        <c:axId val="44730040"/>
        <c:scaling>
          <c:orientation val="minMax"/>
        </c:scaling>
        <c:delete val="1"/>
        <c:axPos val="t"/>
        <c:numFmt formatCode="[$-409]m/d/yy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74416"/>
        <c:auto val="1"/>
        <c:lblAlgn val="ctr"/>
        <c:lblOffset val="100"/>
        <c:noMultiLvlLbl val="0"/>
      </c:catAx>
      <c:valAx>
        <c:axId val="5774416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Project EBDIT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30040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76589882067673"/>
          <c:y val="0.8688097306689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Sensitivity to OPIC Loan Rate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RAROC!$G$33</c:f>
              <c:strCache>
                <c:ptCount val="1"/>
                <c:pt idx="0">
                  <c:v>ENE NPV14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RAROC!$F$34:$F$38</c:f>
              <c:strCache>
                <c:ptCount val="5"/>
                <c:pt idx="0">
                  <c:v>10%</c:v>
                </c:pt>
                <c:pt idx="1">
                  <c:v>10.50%</c:v>
                </c:pt>
                <c:pt idx="2">
                  <c:v>11%</c:v>
                </c:pt>
                <c:pt idx="3">
                  <c:v>11.50%</c:v>
                </c:pt>
                <c:pt idx="4">
                  <c:v>12%</c:v>
                </c:pt>
              </c:strCache>
            </c:strRef>
          </c:cat>
          <c:val>
            <c:numRef>
              <c:f>RAROC!$G$34:$G$38</c:f>
              <c:numCache>
                <c:formatCode>#,##0</c:formatCode>
                <c:ptCount val="5"/>
                <c:pt idx="0">
                  <c:v>6865.39484267021</c:v>
                </c:pt>
                <c:pt idx="1">
                  <c:v>6576.84534060557</c:v>
                </c:pt>
                <c:pt idx="2">
                  <c:v>6288.87937654694</c:v>
                </c:pt>
                <c:pt idx="3">
                  <c:v>5999.26352730886</c:v>
                </c:pt>
                <c:pt idx="4">
                  <c:v>5709.09688915224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0672181"/>
        <c:axId val="17093248"/>
      </c:lineChart>
      <c:catAx>
        <c:axId val="90672181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093248"/>
        <c:crossesAt val="0"/>
        <c:auto val="1"/>
        <c:lblAlgn val="ctr"/>
        <c:lblOffset val="100"/>
        <c:noMultiLvlLbl val="0"/>
      </c:catAx>
      <c:valAx>
        <c:axId val="17093248"/>
        <c:scaling>
          <c:orientation val="minMax"/>
          <c:min val="5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7218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Sensitivity to Construction Cost Overruns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RAROC!$G$41</c:f>
              <c:strCache>
                <c:ptCount val="1"/>
                <c:pt idx="0">
                  <c:v>ENE NPV14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RAROC!$F$42:$F$46</c:f>
              <c:strCache>
                <c:ptCount val="5"/>
                <c:pt idx="0">
                  <c:v>2,500</c:v>
                </c:pt>
                <c:pt idx="1">
                  <c:v>5,000</c:v>
                </c:pt>
                <c:pt idx="2">
                  <c:v>7,500</c:v>
                </c:pt>
                <c:pt idx="3">
                  <c:v>10,000</c:v>
                </c:pt>
                <c:pt idx="4">
                  <c:v>12,500</c:v>
                </c:pt>
              </c:strCache>
            </c:strRef>
          </c:cat>
          <c:val>
            <c:numRef>
              <c:f>RAROC!$G$42:$G$46</c:f>
              <c:numCache>
                <c:formatCode>#,##0</c:formatCode>
                <c:ptCount val="5"/>
                <c:pt idx="0">
                  <c:v>5988.46532595393</c:v>
                </c:pt>
                <c:pt idx="1">
                  <c:v>5684.85689658581</c:v>
                </c:pt>
                <c:pt idx="2">
                  <c:v>5361.97380967267</c:v>
                </c:pt>
                <c:pt idx="3">
                  <c:v>5053.55116768768</c:v>
                </c:pt>
                <c:pt idx="4">
                  <c:v>4745.4896187755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7314390"/>
        <c:axId val="19381670"/>
      </c:lineChart>
      <c:catAx>
        <c:axId val="4731439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Project Cost Overrun from Base Case ($, 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381670"/>
        <c:crossesAt val="0"/>
        <c:auto val="1"/>
        <c:lblAlgn val="ctr"/>
        <c:lblOffset val="100"/>
        <c:noMultiLvlLbl val="0"/>
      </c:catAx>
      <c:valAx>
        <c:axId val="19381670"/>
        <c:scaling>
          <c:orientation val="minMax"/>
          <c:min val="4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1439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Sensitivity to Change in Volume Throughput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RAROC!$K$33</c:f>
              <c:strCache>
                <c:ptCount val="1"/>
                <c:pt idx="0">
                  <c:v>ENE NPV14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RAROC!$J$34:$J$38</c:f>
              <c:strCache>
                <c:ptCount val="5"/>
                <c:pt idx="0">
                  <c:v>-20%</c:v>
                </c:pt>
                <c:pt idx="1">
                  <c:v>-10%</c:v>
                </c:pt>
                <c:pt idx="2">
                  <c:v>0%</c:v>
                </c:pt>
                <c:pt idx="3">
                  <c:v>10%</c:v>
                </c:pt>
                <c:pt idx="4">
                  <c:v>20%</c:v>
                </c:pt>
              </c:strCache>
            </c:strRef>
          </c:cat>
          <c:val>
            <c:numRef>
              <c:f>RAROC!$K$34:$K$38</c:f>
              <c:numCache>
                <c:formatCode>#,##0</c:formatCode>
                <c:ptCount val="5"/>
                <c:pt idx="0">
                  <c:v>360.447616223781</c:v>
                </c:pt>
                <c:pt idx="1">
                  <c:v>3374.81299769582</c:v>
                </c:pt>
                <c:pt idx="2">
                  <c:v>6288.87937654694</c:v>
                </c:pt>
                <c:pt idx="3">
                  <c:v>9122.08876255857</c:v>
                </c:pt>
                <c:pt idx="4">
                  <c:v>11871.2008259192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248809"/>
        <c:axId val="66782567"/>
      </c:lineChart>
      <c:catAx>
        <c:axId val="624880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Shift in Monhtly Volume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82567"/>
        <c:crossesAt val="0"/>
        <c:auto val="1"/>
        <c:lblAlgn val="ctr"/>
        <c:lblOffset val="100"/>
        <c:noMultiLvlLbl val="0"/>
      </c:catAx>
      <c:valAx>
        <c:axId val="667825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NPV14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880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533520</xdr:colOff>
          <xdr:row>2</xdr:row>
          <xdr:rowOff>47880</xdr:rowOff>
        </xdr:from>
        <xdr:to>
          <xdr:col>2</xdr:col>
          <xdr:colOff>715320</xdr:colOff>
          <xdr:row>4</xdr:row>
          <xdr:rowOff>76320</xdr:rowOff>
        </xdr:to>
        <xdr:sp>
          <xdr:nvSpPr>
            <xdr:cNvPr id="1001" name="Button 1" descr="Converge&#10;Mod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Converge
Model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362520</xdr:colOff>
          <xdr:row>2</xdr:row>
          <xdr:rowOff>38520</xdr:rowOff>
        </xdr:from>
        <xdr:to>
          <xdr:col>5</xdr:col>
          <xdr:colOff>644400</xdr:colOff>
          <xdr:row>4</xdr:row>
          <xdr:rowOff>66960</xdr:rowOff>
        </xdr:to>
        <xdr:sp>
          <xdr:nvSpPr>
            <xdr:cNvPr id="1002" name="Button 2" descr="Print Entire&#10;Mod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Entire
Model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29880</xdr:colOff>
          <xdr:row>2</xdr:row>
          <xdr:rowOff>57240</xdr:rowOff>
        </xdr:from>
        <xdr:to>
          <xdr:col>4</xdr:col>
          <xdr:colOff>222480</xdr:colOff>
          <xdr:row>4</xdr:row>
          <xdr:rowOff>66960</xdr:rowOff>
        </xdr:to>
        <xdr:sp>
          <xdr:nvSpPr>
            <xdr:cNvPr id="1003" name="Button 122" descr="Converge&#10;Commitmen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Converge
Commitment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774720</xdr:colOff>
          <xdr:row>2</xdr:row>
          <xdr:rowOff>38520</xdr:rowOff>
        </xdr:from>
        <xdr:to>
          <xdr:col>7</xdr:col>
          <xdr:colOff>795960</xdr:colOff>
          <xdr:row>4</xdr:row>
          <xdr:rowOff>56880</xdr:rowOff>
        </xdr:to>
        <xdr:sp>
          <xdr:nvSpPr>
            <xdr:cNvPr id="1004" name="Button 123" descr="Print Appendix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Appendix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28</xdr:col>
      <xdr:colOff>388800</xdr:colOff>
      <xdr:row>1</xdr:row>
      <xdr:rowOff>104760</xdr:rowOff>
    </xdr:from>
    <xdr:to>
      <xdr:col>38</xdr:col>
      <xdr:colOff>539280</xdr:colOff>
      <xdr:row>21</xdr:row>
      <xdr:rowOff>86040</xdr:rowOff>
    </xdr:to>
    <xdr:graphicFrame>
      <xdr:nvGraphicFramePr>
        <xdr:cNvPr id="0" name="Chart 18"/>
        <xdr:cNvGraphicFramePr/>
      </xdr:nvGraphicFramePr>
      <xdr:xfrm>
        <a:off x="19252080" y="266760"/>
        <a:ext cx="6532200" cy="327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28</xdr:col>
      <xdr:colOff>388800</xdr:colOff>
      <xdr:row>22</xdr:row>
      <xdr:rowOff>86040</xdr:rowOff>
    </xdr:from>
    <xdr:to>
      <xdr:col>38</xdr:col>
      <xdr:colOff>539280</xdr:colOff>
      <xdr:row>42</xdr:row>
      <xdr:rowOff>162000</xdr:rowOff>
    </xdr:to>
    <xdr:graphicFrame>
      <xdr:nvGraphicFramePr>
        <xdr:cNvPr id="1" name="Chart 19"/>
        <xdr:cNvGraphicFramePr/>
      </xdr:nvGraphicFramePr>
      <xdr:xfrm>
        <a:off x="19252080" y="3705480"/>
        <a:ext cx="653220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28</xdr:col>
      <xdr:colOff>438840</xdr:colOff>
      <xdr:row>44</xdr:row>
      <xdr:rowOff>86040</xdr:rowOff>
    </xdr:from>
    <xdr:to>
      <xdr:col>38</xdr:col>
      <xdr:colOff>588960</xdr:colOff>
      <xdr:row>62</xdr:row>
      <xdr:rowOff>123840</xdr:rowOff>
    </xdr:to>
    <xdr:graphicFrame>
      <xdr:nvGraphicFramePr>
        <xdr:cNvPr id="2" name="Chart 20"/>
        <xdr:cNvGraphicFramePr/>
      </xdr:nvGraphicFramePr>
      <xdr:xfrm>
        <a:off x="19302120" y="7268040"/>
        <a:ext cx="6531840" cy="3133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28</xdr:col>
      <xdr:colOff>438840</xdr:colOff>
      <xdr:row>64</xdr:row>
      <xdr:rowOff>0</xdr:rowOff>
    </xdr:from>
    <xdr:to>
      <xdr:col>38</xdr:col>
      <xdr:colOff>588960</xdr:colOff>
      <xdr:row>84</xdr:row>
      <xdr:rowOff>47520</xdr:rowOff>
    </xdr:to>
    <xdr:graphicFrame>
      <xdr:nvGraphicFramePr>
        <xdr:cNvPr id="3" name="Chart 21"/>
        <xdr:cNvGraphicFramePr/>
      </xdr:nvGraphicFramePr>
      <xdr:xfrm>
        <a:off x="19302120" y="10601280"/>
        <a:ext cx="6531840" cy="3286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28</xdr:col>
      <xdr:colOff>428760</xdr:colOff>
      <xdr:row>85</xdr:row>
      <xdr:rowOff>37800</xdr:rowOff>
    </xdr:from>
    <xdr:to>
      <xdr:col>38</xdr:col>
      <xdr:colOff>578880</xdr:colOff>
      <xdr:row>105</xdr:row>
      <xdr:rowOff>75600</xdr:rowOff>
    </xdr:to>
    <xdr:graphicFrame>
      <xdr:nvGraphicFramePr>
        <xdr:cNvPr id="4" name="Chart 22"/>
        <xdr:cNvGraphicFramePr/>
      </xdr:nvGraphicFramePr>
      <xdr:xfrm>
        <a:off x="19292040" y="14039640"/>
        <a:ext cx="6531840" cy="3276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ASH_EPE_0400MyCopy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M/RAAP/$LIBRARY/SOUTHERN%20CONE%20Deals/Cuiaba_Cemat%20Pwr/Reval_0400/F%20M%20V/CASH_Cons_040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M/RAAP/$LIBRARY/SOUTHERN%20CONE%20Deals/Cuiaba_Cemat%20Pwr/Reval_0400/F%20M%20V/CASH_Curves_04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CASH_TBS_0400MyCop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Assm"/>
      <sheetName val="RAROC"/>
      <sheetName val="Tariff"/>
      <sheetName val="Rev_Exp"/>
      <sheetName val="CF"/>
      <sheetName val="Project &amp; Investor Returns"/>
      <sheetName val="Enron Returns"/>
      <sheetName val="Shell &amp; Trans Returns"/>
      <sheetName val="100% Partner Cash Flow"/>
      <sheetName val="EINC"/>
      <sheetName val="PLRisk"/>
      <sheetName val="Trapped"/>
      <sheetName val="Turnkey"/>
      <sheetName val="Drawdown"/>
      <sheetName val="IDC"/>
      <sheetName val="Debt Amort"/>
      <sheetName val="Sudam"/>
      <sheetName val="Taxes"/>
      <sheetName val="Depr"/>
      <sheetName val="CommonSized"/>
      <sheetName val="BS_IS"/>
      <sheetName val="Ref1"/>
      <sheetName val="Ref2"/>
      <sheetName val="Ref3"/>
      <sheetName val="Ref4"/>
      <sheetName val="Ref5"/>
      <sheetName val="RAC_LDs"/>
      <sheetName val="Plant Operations"/>
      <sheetName val="Avail Penalty"/>
      <sheetName val="Annex 12-Plant"/>
      <sheetName val="Annex 12-Gas"/>
      <sheetName val="Annex 10-Plant"/>
      <sheetName val="Annex 10-Gas"/>
      <sheetName val="Fuel Expense"/>
      <sheetName val="Escalation"/>
      <sheetName val="US$ Table"/>
      <sheetName val="R$ Table"/>
      <sheetName val="NPV Of Tariff"/>
      <sheetName val="Converge"/>
    </sheetNames>
    <definedNames>
      <definedName name="Guar_Fee_Table" refersTo="[1]RAROC!$A$107:$D$113"/>
    </definedNames>
    <sheetDataSet>
      <sheetData sheetId="0"/>
      <sheetData sheetId="1"/>
      <sheetData sheetId="2">
        <row r="35">
          <cell r="C35">
            <v>-2535.159172224</v>
          </cell>
          <cell r="D35">
            <v>-19780.8629977828</v>
          </cell>
          <cell r="E35">
            <v>7262.5943912575</v>
          </cell>
          <cell r="F35">
            <v>1191.49207367046</v>
          </cell>
          <cell r="G35">
            <v>1516.53056381045</v>
          </cell>
          <cell r="H35">
            <v>1069.83010955448</v>
          </cell>
          <cell r="I35">
            <v>1550.84004608774</v>
          </cell>
          <cell r="J35">
            <v>339.118222250387</v>
          </cell>
          <cell r="K35">
            <v>1345.69082800949</v>
          </cell>
          <cell r="L35">
            <v>1507.8438696587</v>
          </cell>
          <cell r="M35">
            <v>2607.57801787317</v>
          </cell>
          <cell r="N35">
            <v>3905.68303177604</v>
          </cell>
          <cell r="O35">
            <v>4227.85972496988</v>
          </cell>
          <cell r="P35">
            <v>3825.89686270416</v>
          </cell>
          <cell r="Q35">
            <v>2594.40422969683</v>
          </cell>
          <cell r="R35">
            <v>2465.70126514765</v>
          </cell>
          <cell r="S35">
            <v>3083.41816647567</v>
          </cell>
          <cell r="T35">
            <v>4127.50142873931</v>
          </cell>
          <cell r="U35">
            <v>6147.25058908842</v>
          </cell>
          <cell r="V35">
            <v>6298.72068366026</v>
          </cell>
          <cell r="W35">
            <v>6467.60604098712</v>
          </cell>
          <cell r="X35">
            <v>103642.335889257</v>
          </cell>
        </row>
        <row r="50">
          <cell r="J50">
            <v>36892</v>
          </cell>
        </row>
        <row r="51">
          <cell r="J51">
            <v>36951</v>
          </cell>
        </row>
        <row r="52">
          <cell r="J52">
            <v>37104</v>
          </cell>
        </row>
        <row r="83">
          <cell r="D83">
            <v>1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1.2</v>
          </cell>
          <cell r="J83">
            <v>1</v>
          </cell>
          <cell r="K83">
            <v>1</v>
          </cell>
          <cell r="L83">
            <v>1</v>
          </cell>
          <cell r="M83">
            <v>1</v>
          </cell>
          <cell r="N83">
            <v>1</v>
          </cell>
          <cell r="O83">
            <v>1</v>
          </cell>
          <cell r="P83">
            <v>1</v>
          </cell>
          <cell r="Q83">
            <v>1</v>
          </cell>
          <cell r="R83">
            <v>1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X83">
            <v>1</v>
          </cell>
        </row>
        <row r="92">
          <cell r="E92">
            <v>0.1101</v>
          </cell>
        </row>
        <row r="103">
          <cell r="B103">
            <v>1</v>
          </cell>
        </row>
        <row r="107">
          <cell r="A107">
            <v>2001</v>
          </cell>
          <cell r="B107">
            <v>0.04</v>
          </cell>
          <cell r="C107">
            <v>0.04</v>
          </cell>
          <cell r="D107">
            <v>0.04</v>
          </cell>
        </row>
        <row r="108">
          <cell r="A108">
            <v>2002</v>
          </cell>
          <cell r="B108">
            <v>0.04</v>
          </cell>
          <cell r="C108">
            <v>0.04</v>
          </cell>
          <cell r="D108">
            <v>0.04</v>
          </cell>
        </row>
        <row r="109">
          <cell r="A109">
            <v>2003</v>
          </cell>
          <cell r="B109">
            <v>0.04</v>
          </cell>
          <cell r="C109">
            <v>0.04</v>
          </cell>
          <cell r="D109">
            <v>0.04</v>
          </cell>
        </row>
        <row r="110">
          <cell r="A110">
            <v>2004</v>
          </cell>
          <cell r="B110">
            <v>0</v>
          </cell>
          <cell r="C110">
            <v>0.04</v>
          </cell>
          <cell r="D110">
            <v>0.04</v>
          </cell>
        </row>
        <row r="111">
          <cell r="A111">
            <v>2005</v>
          </cell>
          <cell r="B111">
            <v>0</v>
          </cell>
          <cell r="C111">
            <v>0.04</v>
          </cell>
          <cell r="D111">
            <v>0.04</v>
          </cell>
        </row>
        <row r="112">
          <cell r="A112">
            <v>2006</v>
          </cell>
          <cell r="B112">
            <v>0</v>
          </cell>
          <cell r="C112">
            <v>0</v>
          </cell>
          <cell r="D112">
            <v>0.04</v>
          </cell>
        </row>
        <row r="113">
          <cell r="A113">
            <v>2007</v>
          </cell>
          <cell r="B113">
            <v>0</v>
          </cell>
          <cell r="C113">
            <v>0</v>
          </cell>
          <cell r="D113">
            <v>0.04</v>
          </cell>
        </row>
        <row r="119">
          <cell r="D119">
            <v>7914</v>
          </cell>
        </row>
        <row r="135">
          <cell r="B135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RAC_ASSUMP"/>
      <sheetName val="RAC_RATIOS"/>
      <sheetName val="Summary WO-TBS"/>
      <sheetName val="Summary W-TBS"/>
      <sheetName val="Enron Summary W-TBS"/>
      <sheetName val="Shell &amp; Transredes"/>
      <sheetName val="Fin Stmts WO-TBS"/>
      <sheetName val="Current Finance"/>
      <sheetName val="IDC"/>
      <sheetName val="Senior Debt Split"/>
      <sheetName val="Default Payment"/>
      <sheetName val="Consolidated Project Cost"/>
      <sheetName val="Funded Project Cost"/>
    </sheetNames>
    <definedNames>
      <definedName name="GasBol_Disc" refersTo="[2]RAC_ASSUMP!$C$5"/>
    </definedNames>
    <sheetDataSet>
      <sheetData sheetId="0"/>
      <sheetData sheetId="1">
        <row r="5">
          <cell r="C5">
            <v>0.19</v>
          </cell>
        </row>
        <row r="15">
          <cell r="C15">
            <v>36770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Valuation 4-30-00"/>
      <sheetName val="Annual Curve Selection"/>
      <sheetName val="Monthly Curve Calc."/>
      <sheetName val="11-17-99 CPI &amp; PPI"/>
      <sheetName val="1-28-2000 WTI"/>
      <sheetName val="012600 cpi-ppi"/>
      <sheetName val="02112000 USD-CPI-IGPM"/>
    </sheetNames>
    <sheetDataSet>
      <sheetData sheetId="0"/>
      <sheetData sheetId="1"/>
      <sheetData sheetId="2">
        <row r="12">
          <cell r="F12">
            <v>0</v>
          </cell>
        </row>
        <row r="22">
          <cell r="B22">
            <v>134.689</v>
          </cell>
          <cell r="C22">
            <v>159.1</v>
          </cell>
          <cell r="D22">
            <v>133</v>
          </cell>
          <cell r="E22">
            <v>25.92</v>
          </cell>
          <cell r="F22">
            <v>1.0385</v>
          </cell>
        </row>
        <row r="23">
          <cell r="B23">
            <v>136.814</v>
          </cell>
          <cell r="C23">
            <v>159.1</v>
          </cell>
          <cell r="D23">
            <v>133</v>
          </cell>
          <cell r="E23">
            <v>24.15</v>
          </cell>
          <cell r="F23">
            <v>1.0456</v>
          </cell>
        </row>
        <row r="24">
          <cell r="B24">
            <v>137.39</v>
          </cell>
          <cell r="C24">
            <v>159.6</v>
          </cell>
          <cell r="D24">
            <v>132.7</v>
          </cell>
          <cell r="E24">
            <v>20.3</v>
          </cell>
          <cell r="F24">
            <v>1.051</v>
          </cell>
        </row>
        <row r="25">
          <cell r="B25">
            <v>138.99</v>
          </cell>
          <cell r="C25">
            <v>160</v>
          </cell>
          <cell r="D25">
            <v>132.5</v>
          </cell>
          <cell r="E25">
            <v>20.41</v>
          </cell>
          <cell r="F25">
            <v>1.0594</v>
          </cell>
        </row>
        <row r="26">
          <cell r="B26">
            <v>139.807</v>
          </cell>
          <cell r="C26">
            <v>160.2</v>
          </cell>
          <cell r="D26">
            <v>131.9</v>
          </cell>
          <cell r="E26">
            <v>19.74773</v>
          </cell>
          <cell r="F26">
            <v>1.0635</v>
          </cell>
        </row>
        <row r="27">
          <cell r="B27">
            <v>140.22</v>
          </cell>
          <cell r="C27">
            <v>160.1</v>
          </cell>
          <cell r="D27">
            <v>131.6</v>
          </cell>
          <cell r="E27">
            <v>20.91</v>
          </cell>
          <cell r="F27">
            <v>1.0703</v>
          </cell>
        </row>
        <row r="28">
          <cell r="B28">
            <v>141.207</v>
          </cell>
          <cell r="C28">
            <v>160.3</v>
          </cell>
          <cell r="D28">
            <v>131.3</v>
          </cell>
          <cell r="E28">
            <v>19.27738</v>
          </cell>
          <cell r="F28">
            <v>1.0766</v>
          </cell>
        </row>
        <row r="29">
          <cell r="B29">
            <v>141.33</v>
          </cell>
          <cell r="C29">
            <v>160.5</v>
          </cell>
          <cell r="D29">
            <v>131</v>
          </cell>
          <cell r="E29">
            <v>19.63409</v>
          </cell>
          <cell r="F29">
            <v>1.0829</v>
          </cell>
        </row>
        <row r="30">
          <cell r="B30">
            <v>141.26</v>
          </cell>
          <cell r="C30">
            <v>160.8</v>
          </cell>
          <cell r="D30">
            <v>131.3</v>
          </cell>
          <cell r="E30">
            <v>19.93286</v>
          </cell>
          <cell r="F30">
            <v>1.0913</v>
          </cell>
        </row>
        <row r="31">
          <cell r="B31">
            <v>142.101</v>
          </cell>
          <cell r="C31">
            <v>161.2</v>
          </cell>
          <cell r="D31">
            <v>131.7</v>
          </cell>
          <cell r="E31">
            <v>19.775955</v>
          </cell>
          <cell r="F31">
            <v>1.096</v>
          </cell>
        </row>
        <row r="32">
          <cell r="B32">
            <v>142.587</v>
          </cell>
          <cell r="C32">
            <v>161.6</v>
          </cell>
          <cell r="D32">
            <v>131.8</v>
          </cell>
          <cell r="E32">
            <v>21.271305</v>
          </cell>
          <cell r="F32">
            <v>1.1027</v>
          </cell>
        </row>
        <row r="33">
          <cell r="B33">
            <v>143.771</v>
          </cell>
          <cell r="C33">
            <v>161.5</v>
          </cell>
          <cell r="D33">
            <v>131.5</v>
          </cell>
          <cell r="E33">
            <v>20.176945</v>
          </cell>
          <cell r="F33">
            <v>1.1095</v>
          </cell>
        </row>
        <row r="34">
          <cell r="B34">
            <v>144.765</v>
          </cell>
          <cell r="C34">
            <v>161.3</v>
          </cell>
          <cell r="D34">
            <v>131.4</v>
          </cell>
          <cell r="E34">
            <v>18.299775</v>
          </cell>
          <cell r="F34">
            <v>1.116</v>
          </cell>
        </row>
        <row r="35">
          <cell r="B35">
            <v>146.038</v>
          </cell>
          <cell r="C35">
            <v>161.6</v>
          </cell>
          <cell r="D35">
            <v>130.6</v>
          </cell>
          <cell r="E35">
            <v>16.6885</v>
          </cell>
          <cell r="F35">
            <v>1.1234</v>
          </cell>
        </row>
        <row r="36">
          <cell r="B36">
            <v>146.067</v>
          </cell>
          <cell r="C36">
            <v>161.9</v>
          </cell>
          <cell r="D36">
            <v>130.5</v>
          </cell>
          <cell r="E36">
            <v>16.072895</v>
          </cell>
          <cell r="F36">
            <v>1.13</v>
          </cell>
        </row>
        <row r="37">
          <cell r="B37">
            <v>146.406</v>
          </cell>
          <cell r="C37">
            <v>162.2</v>
          </cell>
          <cell r="D37">
            <v>130.5</v>
          </cell>
          <cell r="E37">
            <v>15.098635</v>
          </cell>
          <cell r="F37">
            <v>1.137</v>
          </cell>
        </row>
        <row r="38">
          <cell r="B38">
            <v>146.211</v>
          </cell>
          <cell r="C38">
            <v>162.5</v>
          </cell>
          <cell r="D38">
            <v>130.7</v>
          </cell>
          <cell r="E38">
            <v>15.31643</v>
          </cell>
          <cell r="F38">
            <v>1.1443</v>
          </cell>
        </row>
        <row r="39">
          <cell r="B39">
            <v>146.544</v>
          </cell>
          <cell r="C39">
            <v>162.8</v>
          </cell>
          <cell r="D39">
            <v>130.6</v>
          </cell>
          <cell r="E39">
            <v>14.92775</v>
          </cell>
          <cell r="F39">
            <v>1.1501</v>
          </cell>
        </row>
        <row r="40">
          <cell r="B40">
            <v>146.951</v>
          </cell>
          <cell r="C40">
            <v>163</v>
          </cell>
          <cell r="D40">
            <v>130.4</v>
          </cell>
          <cell r="E40">
            <v>13.68614</v>
          </cell>
          <cell r="F40">
            <v>1.1565</v>
          </cell>
        </row>
        <row r="41">
          <cell r="B41">
            <v>146.39</v>
          </cell>
          <cell r="C41">
            <v>163.2</v>
          </cell>
          <cell r="D41">
            <v>130.7</v>
          </cell>
          <cell r="E41">
            <v>14.26</v>
          </cell>
          <cell r="F41">
            <v>1.163</v>
          </cell>
        </row>
        <row r="42">
          <cell r="B42">
            <v>146.144</v>
          </cell>
          <cell r="C42">
            <v>163.4</v>
          </cell>
          <cell r="D42">
            <v>130.3</v>
          </cell>
          <cell r="E42">
            <v>13.38</v>
          </cell>
          <cell r="F42">
            <v>1.1765</v>
          </cell>
        </row>
        <row r="43">
          <cell r="B43">
            <v>146.111</v>
          </cell>
          <cell r="C43">
            <v>163.6</v>
          </cell>
          <cell r="D43">
            <v>130.6</v>
          </cell>
          <cell r="E43">
            <v>16.17</v>
          </cell>
          <cell r="F43">
            <v>1.1856</v>
          </cell>
        </row>
        <row r="44">
          <cell r="B44">
            <v>146.063</v>
          </cell>
          <cell r="C44">
            <v>164</v>
          </cell>
          <cell r="D44">
            <v>131</v>
          </cell>
          <cell r="E44">
            <v>14.45</v>
          </cell>
          <cell r="F44">
            <v>1.1928</v>
          </cell>
        </row>
        <row r="45">
          <cell r="B45">
            <v>145.797</v>
          </cell>
          <cell r="C45">
            <v>164</v>
          </cell>
          <cell r="D45">
            <v>130.7</v>
          </cell>
          <cell r="E45">
            <v>11.26</v>
          </cell>
          <cell r="F45">
            <v>1.2008</v>
          </cell>
        </row>
        <row r="46">
          <cell r="B46">
            <v>147.23</v>
          </cell>
          <cell r="C46">
            <v>163.9</v>
          </cell>
          <cell r="D46">
            <v>131.3</v>
          </cell>
          <cell r="E46">
            <v>12.09</v>
          </cell>
          <cell r="F46">
            <v>1.2083</v>
          </cell>
        </row>
        <row r="47">
          <cell r="B47">
            <v>148.92</v>
          </cell>
          <cell r="C47">
            <v>164.3</v>
          </cell>
          <cell r="D47">
            <v>131.7</v>
          </cell>
          <cell r="E47">
            <v>12.76</v>
          </cell>
          <cell r="F47">
            <v>2.05</v>
          </cell>
        </row>
        <row r="48">
          <cell r="B48">
            <v>155.53</v>
          </cell>
          <cell r="C48">
            <v>164.5</v>
          </cell>
          <cell r="D48">
            <v>131.1</v>
          </cell>
          <cell r="E48">
            <v>12.28</v>
          </cell>
          <cell r="F48">
            <v>2.035</v>
          </cell>
        </row>
        <row r="49">
          <cell r="B49">
            <v>158.6</v>
          </cell>
          <cell r="C49">
            <v>165</v>
          </cell>
          <cell r="D49">
            <v>131.5</v>
          </cell>
          <cell r="E49">
            <v>16.76</v>
          </cell>
          <cell r="F49">
            <v>1.7175</v>
          </cell>
        </row>
        <row r="50">
          <cell r="B50">
            <v>158.65</v>
          </cell>
          <cell r="C50">
            <v>166.2</v>
          </cell>
          <cell r="D50">
            <v>132.2</v>
          </cell>
          <cell r="E50">
            <v>18.66</v>
          </cell>
          <cell r="F50">
            <v>1.665</v>
          </cell>
        </row>
        <row r="51">
          <cell r="B51">
            <v>158.1</v>
          </cell>
          <cell r="C51">
            <v>166.2</v>
          </cell>
          <cell r="D51">
            <v>132.4</v>
          </cell>
          <cell r="E51">
            <v>16.84</v>
          </cell>
          <cell r="F51">
            <v>1.721</v>
          </cell>
        </row>
        <row r="52">
          <cell r="B52">
            <v>159.71</v>
          </cell>
          <cell r="C52">
            <v>166.2</v>
          </cell>
          <cell r="D52">
            <v>132.3</v>
          </cell>
          <cell r="E52">
            <v>19.29</v>
          </cell>
          <cell r="F52">
            <v>1.7525</v>
          </cell>
        </row>
        <row r="53">
          <cell r="B53">
            <v>162.25</v>
          </cell>
          <cell r="C53">
            <v>166.7</v>
          </cell>
          <cell r="D53">
            <v>132.6</v>
          </cell>
          <cell r="E53">
            <v>20.53</v>
          </cell>
          <cell r="F53">
            <v>1.801</v>
          </cell>
        </row>
        <row r="54">
          <cell r="B54">
            <v>164.61</v>
          </cell>
          <cell r="C54">
            <v>167.1</v>
          </cell>
          <cell r="D54">
            <v>133.4</v>
          </cell>
          <cell r="E54">
            <v>22.11</v>
          </cell>
          <cell r="F54">
            <v>1.919</v>
          </cell>
        </row>
        <row r="55">
          <cell r="B55">
            <v>167.03</v>
          </cell>
          <cell r="C55">
            <v>167.9</v>
          </cell>
          <cell r="D55">
            <v>134.7</v>
          </cell>
          <cell r="E55">
            <v>24.51</v>
          </cell>
          <cell r="F55">
            <v>1.9375</v>
          </cell>
        </row>
        <row r="56">
          <cell r="B56">
            <v>170.18</v>
          </cell>
          <cell r="C56">
            <v>168.2</v>
          </cell>
          <cell r="D56">
            <v>134.5</v>
          </cell>
          <cell r="E56">
            <v>21.75</v>
          </cell>
          <cell r="F56">
            <v>1.949</v>
          </cell>
        </row>
        <row r="57">
          <cell r="B57">
            <v>174.5</v>
          </cell>
          <cell r="C57">
            <v>168.3</v>
          </cell>
          <cell r="D57">
            <v>134.8</v>
          </cell>
          <cell r="E57">
            <v>24.59</v>
          </cell>
          <cell r="F57">
            <v>1.923</v>
          </cell>
        </row>
        <row r="58">
          <cell r="B58">
            <v>176.65</v>
          </cell>
          <cell r="C58">
            <v>168.3</v>
          </cell>
          <cell r="D58">
            <v>135.2</v>
          </cell>
          <cell r="E58">
            <v>25.6</v>
          </cell>
          <cell r="F58">
            <v>1.799</v>
          </cell>
        </row>
        <row r="59">
          <cell r="B59">
            <v>177.962667619927</v>
          </cell>
          <cell r="C59">
            <v>168.759419216569</v>
          </cell>
          <cell r="D59">
            <v>135.639875986202</v>
          </cell>
          <cell r="E59">
            <v>26.1920833333333</v>
          </cell>
          <cell r="F59">
            <v>1.79475064868979</v>
          </cell>
        </row>
        <row r="60">
          <cell r="B60">
            <v>179.285089535243</v>
          </cell>
          <cell r="C60">
            <v>169.220092538999</v>
          </cell>
          <cell r="D60">
            <v>136.081183117991</v>
          </cell>
          <cell r="E60">
            <v>26.7841666666667</v>
          </cell>
          <cell r="F60">
            <v>1.79051133461502</v>
          </cell>
        </row>
        <row r="61">
          <cell r="B61">
            <v>180.617338229093</v>
          </cell>
          <cell r="C61">
            <v>169.682023390704</v>
          </cell>
          <cell r="D61">
            <v>136.523926051627</v>
          </cell>
          <cell r="E61">
            <v>27.37625</v>
          </cell>
          <cell r="F61">
            <v>1.78628203406711</v>
          </cell>
        </row>
        <row r="62">
          <cell r="B62">
            <v>181.959486723239</v>
          </cell>
          <cell r="C62">
            <v>170.145215204442</v>
          </cell>
          <cell r="D62">
            <v>136.968109458522</v>
          </cell>
          <cell r="E62">
            <v>27.9683333333333</v>
          </cell>
          <cell r="F62">
            <v>1.78206272339347</v>
          </cell>
        </row>
        <row r="63">
          <cell r="B63">
            <v>183.311608582057</v>
          </cell>
          <cell r="C63">
            <v>170.609671422339</v>
          </cell>
          <cell r="D63">
            <v>137.413738025284</v>
          </cell>
          <cell r="E63">
            <v>28.5604166666667</v>
          </cell>
          <cell r="F63">
            <v>1.7778533789974</v>
          </cell>
        </row>
        <row r="64">
          <cell r="B64">
            <v>184.673777916574</v>
          </cell>
          <cell r="C64">
            <v>171.075395495921</v>
          </cell>
          <cell r="D64">
            <v>137.860816453773</v>
          </cell>
          <cell r="E64">
            <v>29.1525</v>
          </cell>
          <cell r="F64">
            <v>1.77365397733792</v>
          </cell>
        </row>
        <row r="65">
          <cell r="B65">
            <v>186.046069388528</v>
          </cell>
          <cell r="C65">
            <v>171.542390886135</v>
          </cell>
          <cell r="D65">
            <v>138.309349461142</v>
          </cell>
          <cell r="E65">
            <v>29.7445833333333</v>
          </cell>
          <cell r="F65">
            <v>1.76946449492966</v>
          </cell>
        </row>
        <row r="66">
          <cell r="B66">
            <v>187.428558214461</v>
          </cell>
          <cell r="C66">
            <v>172.010661063373</v>
          </cell>
          <cell r="D66">
            <v>138.759341779893</v>
          </cell>
          <cell r="E66">
            <v>30.3366666666667</v>
          </cell>
          <cell r="F66">
            <v>1.76528490834273</v>
          </cell>
        </row>
        <row r="67">
          <cell r="B67">
            <v>188.82132016984</v>
          </cell>
          <cell r="C67">
            <v>172.480209507504</v>
          </cell>
          <cell r="D67">
            <v>139.210798157927</v>
          </cell>
          <cell r="E67">
            <v>30.92875</v>
          </cell>
          <cell r="F67">
            <v>1.76111519420256</v>
          </cell>
        </row>
        <row r="68">
          <cell r="B68">
            <v>190.224431593213</v>
          </cell>
          <cell r="C68">
            <v>172.951039707894</v>
          </cell>
          <cell r="D68">
            <v>139.663723358591</v>
          </cell>
          <cell r="E68">
            <v>31.5208333333334</v>
          </cell>
          <cell r="F68">
            <v>1.75695532918982</v>
          </cell>
        </row>
        <row r="69">
          <cell r="B69">
            <v>191.637969390391</v>
          </cell>
          <cell r="C69">
            <v>173.423155163434</v>
          </cell>
          <cell r="D69">
            <v>140.118122160729</v>
          </cell>
          <cell r="E69">
            <v>32.1129166666667</v>
          </cell>
          <cell r="F69">
            <v>1.75280529004025</v>
          </cell>
        </row>
        <row r="70">
          <cell r="B70">
            <v>193.062011038664</v>
          </cell>
          <cell r="C70">
            <v>173.896559382566</v>
          </cell>
          <cell r="D70">
            <v>140.573999358734</v>
          </cell>
          <cell r="E70">
            <v>26.745</v>
          </cell>
          <cell r="F70">
            <v>1.80386772326803</v>
          </cell>
        </row>
        <row r="71">
          <cell r="B71">
            <v>194.453471372283</v>
          </cell>
          <cell r="C71">
            <v>174.362626231407</v>
          </cell>
          <cell r="D71">
            <v>140.996524595263</v>
          </cell>
          <cell r="E71">
            <v>26.4221527777778</v>
          </cell>
          <cell r="F71">
            <v>1.81882126905259</v>
          </cell>
        </row>
        <row r="72">
          <cell r="B72">
            <v>195.854960410408</v>
          </cell>
          <cell r="C72">
            <v>174.829942203913</v>
          </cell>
          <cell r="D72">
            <v>141.420319821808</v>
          </cell>
          <cell r="E72">
            <v>26.0993055555556</v>
          </cell>
          <cell r="F72">
            <v>1.8338987754406</v>
          </cell>
        </row>
        <row r="73">
          <cell r="B73">
            <v>197.266550433155</v>
          </cell>
          <cell r="C73">
            <v>175.298510647909</v>
          </cell>
          <cell r="D73">
            <v>141.845388855593</v>
          </cell>
          <cell r="E73">
            <v>25.7764583333333</v>
          </cell>
          <cell r="F73">
            <v>1.84910127002989</v>
          </cell>
        </row>
        <row r="74">
          <cell r="B74">
            <v>198.688314241586</v>
          </cell>
          <cell r="C74">
            <v>175.76833492019</v>
          </cell>
          <cell r="D74">
            <v>142.271735525321</v>
          </cell>
          <cell r="E74">
            <v>25.4536111111111</v>
          </cell>
          <cell r="F74">
            <v>1.8644297889368</v>
          </cell>
        </row>
        <row r="75">
          <cell r="B75">
            <v>200.120325161463</v>
          </cell>
          <cell r="C75">
            <v>176.239418386552</v>
          </cell>
          <cell r="D75">
            <v>142.699363671198</v>
          </cell>
          <cell r="E75">
            <v>25.1307638888889</v>
          </cell>
          <cell r="F75">
            <v>1.87988537686674</v>
          </cell>
        </row>
        <row r="76">
          <cell r="B76">
            <v>201.562657047032</v>
          </cell>
          <cell r="C76">
            <v>176.711764421808</v>
          </cell>
          <cell r="D76">
            <v>143.128277144976</v>
          </cell>
          <cell r="E76">
            <v>24.8079166666667</v>
          </cell>
          <cell r="F76">
            <v>1.89546908718545</v>
          </cell>
        </row>
        <row r="77">
          <cell r="B77">
            <v>203.01538428483</v>
          </cell>
          <cell r="C77">
            <v>177.185376409817</v>
          </cell>
          <cell r="D77">
            <v>143.558479809983</v>
          </cell>
          <cell r="E77">
            <v>24.4850694444444</v>
          </cell>
          <cell r="F77">
            <v>1.91118198199078</v>
          </cell>
        </row>
        <row r="78">
          <cell r="B78">
            <v>204.47858179752</v>
          </cell>
          <cell r="C78">
            <v>177.660257743509</v>
          </cell>
          <cell r="D78">
            <v>143.989975541158</v>
          </cell>
          <cell r="E78">
            <v>24.1622222222222</v>
          </cell>
          <cell r="F78">
            <v>1.92702513218504</v>
          </cell>
        </row>
        <row r="79">
          <cell r="B79">
            <v>205.95232504776</v>
          </cell>
          <cell r="C79">
            <v>178.136411824906</v>
          </cell>
          <cell r="D79">
            <v>144.422768225089</v>
          </cell>
          <cell r="E79">
            <v>23.839375</v>
          </cell>
          <cell r="F79">
            <v>1.94299961754803</v>
          </cell>
        </row>
        <row r="80">
          <cell r="B80">
            <v>207.43669004209</v>
          </cell>
          <cell r="C80">
            <v>178.613842065146</v>
          </cell>
          <cell r="D80">
            <v>144.856861760046</v>
          </cell>
          <cell r="E80">
            <v>23.5165277777778</v>
          </cell>
          <cell r="F80">
            <v>1.95910652681061</v>
          </cell>
        </row>
        <row r="81">
          <cell r="B81">
            <v>208.931753334852</v>
          </cell>
          <cell r="C81">
            <v>179.092551884514</v>
          </cell>
          <cell r="D81">
            <v>145.292260056013</v>
          </cell>
          <cell r="E81">
            <v>23.1936805555556</v>
          </cell>
          <cell r="F81">
            <v>1.97534695772891</v>
          </cell>
        </row>
        <row r="82">
          <cell r="B82">
            <v>210.437592032144</v>
          </cell>
          <cell r="C82">
            <v>179.572544712458</v>
          </cell>
          <cell r="D82">
            <v>145.72896703473</v>
          </cell>
          <cell r="E82">
            <v>22.8708333333333</v>
          </cell>
          <cell r="F82">
            <v>1.99172201715913</v>
          </cell>
        </row>
        <row r="83">
          <cell r="B83">
            <v>211.87309067014</v>
          </cell>
          <cell r="C83">
            <v>180.021954839391</v>
          </cell>
          <cell r="D83">
            <v>146.092801264201</v>
          </cell>
          <cell r="E83">
            <v>22.7121527777778</v>
          </cell>
          <cell r="F83">
            <v>2.00248656102165</v>
          </cell>
        </row>
        <row r="84">
          <cell r="B84">
            <v>213.318381552572</v>
          </cell>
          <cell r="C84">
            <v>180.472489689831</v>
          </cell>
          <cell r="D84">
            <v>146.45754386041</v>
          </cell>
          <cell r="E84">
            <v>22.5534722222222</v>
          </cell>
          <cell r="F84">
            <v>2.01330928338677</v>
          </cell>
        </row>
        <row r="85">
          <cell r="B85">
            <v>214.773531477171</v>
          </cell>
          <cell r="C85">
            <v>180.924152078586</v>
          </cell>
          <cell r="D85">
            <v>146.823197091233</v>
          </cell>
          <cell r="E85">
            <v>22.3947916666667</v>
          </cell>
          <cell r="F85">
            <v>2.02419049868846</v>
          </cell>
        </row>
        <row r="86">
          <cell r="B86">
            <v>216.238607697327</v>
          </cell>
          <cell r="C86">
            <v>181.376944827506</v>
          </cell>
          <cell r="D86">
            <v>147.189763230203</v>
          </cell>
          <cell r="E86">
            <v>22.2361111111111</v>
          </cell>
          <cell r="F86">
            <v>2.03513052306008</v>
          </cell>
        </row>
        <row r="87">
          <cell r="B87">
            <v>217.713677925199</v>
          </cell>
          <cell r="C87">
            <v>181.830870765507</v>
          </cell>
          <cell r="D87">
            <v>147.557244556535</v>
          </cell>
          <cell r="E87">
            <v>22.0774305555556</v>
          </cell>
          <cell r="F87">
            <v>2.04612967434359</v>
          </cell>
        </row>
        <row r="88">
          <cell r="B88">
            <v>219.198810334845</v>
          </cell>
          <cell r="C88">
            <v>182.285932728581</v>
          </cell>
          <cell r="D88">
            <v>147.92564335513</v>
          </cell>
          <cell r="E88">
            <v>21.91875</v>
          </cell>
          <cell r="F88">
            <v>2.05718827209876</v>
          </cell>
        </row>
        <row r="89">
          <cell r="B89">
            <v>220.694073565371</v>
          </cell>
          <cell r="C89">
            <v>182.742133559822</v>
          </cell>
          <cell r="D89">
            <v>148.294961916595</v>
          </cell>
          <cell r="E89">
            <v>21.7600694444444</v>
          </cell>
          <cell r="F89">
            <v>2.06830663761246</v>
          </cell>
        </row>
        <row r="90">
          <cell r="B90">
            <v>222.199536724104</v>
          </cell>
          <cell r="C90">
            <v>183.199476109434</v>
          </cell>
          <cell r="D90">
            <v>148.665202537257</v>
          </cell>
          <cell r="E90">
            <v>21.6013888888889</v>
          </cell>
          <cell r="F90">
            <v>2.07948509390801</v>
          </cell>
        </row>
        <row r="91">
          <cell r="B91">
            <v>223.715269389788</v>
          </cell>
          <cell r="C91">
            <v>183.657963234759</v>
          </cell>
          <cell r="D91">
            <v>149.036367519174</v>
          </cell>
          <cell r="E91">
            <v>21.4427083333333</v>
          </cell>
          <cell r="F91">
            <v>2.09072396575457</v>
          </cell>
        </row>
        <row r="92">
          <cell r="B92">
            <v>225.241341615795</v>
          </cell>
          <cell r="C92">
            <v>184.117597800287</v>
          </cell>
          <cell r="D92">
            <v>149.408459170153</v>
          </cell>
          <cell r="E92">
            <v>21.2840277777778</v>
          </cell>
          <cell r="F92">
            <v>2.10202357967654</v>
          </cell>
        </row>
        <row r="93">
          <cell r="B93">
            <v>226.777823933367</v>
          </cell>
          <cell r="C93">
            <v>184.578382677678</v>
          </cell>
          <cell r="D93">
            <v>149.781479803763</v>
          </cell>
          <cell r="E93">
            <v>21.1253472222222</v>
          </cell>
          <cell r="F93">
            <v>2.11338426396307</v>
          </cell>
        </row>
        <row r="94">
          <cell r="B94">
            <v>228.324787354876</v>
          </cell>
          <cell r="C94">
            <v>185.040320745779</v>
          </cell>
          <cell r="D94">
            <v>150.155431739348</v>
          </cell>
          <cell r="E94">
            <v>20.9666666666667</v>
          </cell>
          <cell r="F94">
            <v>2.12480634867759</v>
          </cell>
        </row>
        <row r="95">
          <cell r="B95">
            <v>229.793835911578</v>
          </cell>
          <cell r="C95">
            <v>185.488406521398</v>
          </cell>
          <cell r="D95">
            <v>150.500358235925</v>
          </cell>
          <cell r="E95">
            <v>20.8947916666667</v>
          </cell>
          <cell r="F95">
            <v>2.13087787834043</v>
          </cell>
        </row>
        <row r="96">
          <cell r="B96">
            <v>231.272336370926</v>
          </cell>
          <cell r="C96">
            <v>185.937577362486</v>
          </cell>
          <cell r="D96">
            <v>150.84607707339</v>
          </cell>
          <cell r="E96">
            <v>20.8229166666667</v>
          </cell>
          <cell r="F96">
            <v>2.13696675710073</v>
          </cell>
        </row>
        <row r="97">
          <cell r="B97">
            <v>232.760349546747</v>
          </cell>
          <cell r="C97">
            <v>186.38783589659</v>
          </cell>
          <cell r="D97">
            <v>151.192590071852</v>
          </cell>
          <cell r="E97">
            <v>20.7510416666667</v>
          </cell>
          <cell r="F97">
            <v>2.14307303453269</v>
          </cell>
        </row>
        <row r="98">
          <cell r="B98">
            <v>234.257936644146</v>
          </cell>
          <cell r="C98">
            <v>186.839184757623</v>
          </cell>
          <cell r="D98">
            <v>151.539899055602</v>
          </cell>
          <cell r="E98">
            <v>20.6791666666667</v>
          </cell>
          <cell r="F98">
            <v>2.14919676035217</v>
          </cell>
        </row>
        <row r="99">
          <cell r="B99">
            <v>235.765159262022</v>
          </cell>
          <cell r="C99">
            <v>187.291626585873</v>
          </cell>
          <cell r="D99">
            <v>151.888005853122</v>
          </cell>
          <cell r="E99">
            <v>20.6072916666667</v>
          </cell>
          <cell r="F99">
            <v>2.15533798441706</v>
          </cell>
        </row>
        <row r="100">
          <cell r="B100">
            <v>237.282079395603</v>
          </cell>
          <cell r="C100">
            <v>187.745164028023</v>
          </cell>
          <cell r="D100">
            <v>152.236912297093</v>
          </cell>
          <cell r="E100">
            <v>20.5354166666667</v>
          </cell>
          <cell r="F100">
            <v>2.16149675672775</v>
          </cell>
        </row>
        <row r="101">
          <cell r="B101">
            <v>238.808759438999</v>
          </cell>
          <cell r="C101">
            <v>188.199799737166</v>
          </cell>
          <cell r="D101">
            <v>152.586620224406</v>
          </cell>
          <cell r="E101">
            <v>20.4635416666667</v>
          </cell>
          <cell r="F101">
            <v>2.16767312742749</v>
          </cell>
        </row>
        <row r="102">
          <cell r="B102">
            <v>240.345262187762</v>
          </cell>
          <cell r="C102">
            <v>188.655536372818</v>
          </cell>
          <cell r="D102">
            <v>152.937131476173</v>
          </cell>
          <cell r="E102">
            <v>20.3916666666667</v>
          </cell>
          <cell r="F102">
            <v>2.17386714680281</v>
          </cell>
        </row>
        <row r="103">
          <cell r="B103">
            <v>241.891650841475</v>
          </cell>
          <cell r="C103">
            <v>189.112376600935</v>
          </cell>
          <cell r="D103">
            <v>153.288447897734</v>
          </cell>
          <cell r="E103">
            <v>20.3197916666667</v>
          </cell>
          <cell r="F103">
            <v>2.18007886528392</v>
          </cell>
        </row>
        <row r="104">
          <cell r="B104">
            <v>243.447989006347</v>
          </cell>
          <cell r="C104">
            <v>189.570323093932</v>
          </cell>
          <cell r="D104">
            <v>153.640571338669</v>
          </cell>
          <cell r="E104">
            <v>20.2479166666667</v>
          </cell>
          <cell r="F104">
            <v>2.18630833344516</v>
          </cell>
        </row>
        <row r="105">
          <cell r="B105">
            <v>245.014340697834</v>
          </cell>
          <cell r="C105">
            <v>190.02937853069</v>
          </cell>
          <cell r="D105">
            <v>153.993503652806</v>
          </cell>
          <cell r="E105">
            <v>20.1760416666667</v>
          </cell>
          <cell r="F105">
            <v>2.19255560200536</v>
          </cell>
        </row>
        <row r="106">
          <cell r="B106">
            <v>246.590770343266</v>
          </cell>
          <cell r="C106">
            <v>190.489545596583</v>
          </cell>
          <cell r="D106">
            <v>154.347246698232</v>
          </cell>
          <cell r="E106">
            <v>20.1041666666667</v>
          </cell>
          <cell r="F106">
            <v>2.19882072182829</v>
          </cell>
        </row>
        <row r="107">
          <cell r="B107">
            <v>248.177342784504</v>
          </cell>
          <cell r="C107">
            <v>190.939552895467</v>
          </cell>
          <cell r="D107">
            <v>154.678738625621</v>
          </cell>
          <cell r="E107">
            <v>20.0728125</v>
          </cell>
          <cell r="F107">
            <v>2.20450306493358</v>
          </cell>
        </row>
        <row r="108">
          <cell r="B108">
            <v>249.7741232806</v>
          </cell>
          <cell r="C108">
            <v>191.3906232793</v>
          </cell>
          <cell r="D108">
            <v>155.010942498964</v>
          </cell>
          <cell r="E108">
            <v>20.0414583333333</v>
          </cell>
          <cell r="F108">
            <v>2.21020009273911</v>
          </cell>
        </row>
        <row r="109">
          <cell r="B109">
            <v>251.381177510487</v>
          </cell>
          <cell r="C109">
            <v>191.842759259487</v>
          </cell>
          <cell r="D109">
            <v>155.343859847311</v>
          </cell>
          <cell r="E109">
            <v>20.0101041666667</v>
          </cell>
          <cell r="F109">
            <v>2.21591184319408</v>
          </cell>
        </row>
        <row r="110">
          <cell r="B110">
            <v>252.998571575677</v>
          </cell>
          <cell r="C110">
            <v>192.295963353362</v>
          </cell>
          <cell r="D110">
            <v>155.677492202992</v>
          </cell>
          <cell r="E110">
            <v>19.97875</v>
          </cell>
          <cell r="F110">
            <v>2.22163835434577</v>
          </cell>
        </row>
        <row r="111">
          <cell r="B111">
            <v>254.626372002983</v>
          </cell>
          <cell r="C111">
            <v>192.750238084208</v>
          </cell>
          <cell r="D111">
            <v>156.01184110163</v>
          </cell>
          <cell r="E111">
            <v>19.9473958333333</v>
          </cell>
          <cell r="F111">
            <v>2.22737966433978</v>
          </cell>
        </row>
        <row r="112">
          <cell r="B112">
            <v>256.264645747251</v>
          </cell>
          <cell r="C112">
            <v>193.205585981269</v>
          </cell>
          <cell r="D112">
            <v>156.346908082147</v>
          </cell>
          <cell r="E112">
            <v>19.9160416666667</v>
          </cell>
          <cell r="F112">
            <v>2.23313581142029</v>
          </cell>
        </row>
        <row r="113">
          <cell r="B113">
            <v>257.913460194119</v>
          </cell>
          <cell r="C113">
            <v>193.662009579763</v>
          </cell>
          <cell r="D113">
            <v>156.682694686768</v>
          </cell>
          <cell r="E113">
            <v>19.8846875</v>
          </cell>
          <cell r="F113">
            <v>2.23890683393033</v>
          </cell>
        </row>
        <row r="114">
          <cell r="B114">
            <v>259.572883162783</v>
          </cell>
          <cell r="C114">
            <v>194.119511420898</v>
          </cell>
          <cell r="D114">
            <v>157.019202461032</v>
          </cell>
          <cell r="E114">
            <v>19.8533333333333</v>
          </cell>
          <cell r="F114">
            <v>2.24469277031199</v>
          </cell>
        </row>
        <row r="115">
          <cell r="B115">
            <v>261.242982908792</v>
          </cell>
          <cell r="C115">
            <v>194.578094051885</v>
          </cell>
          <cell r="D115">
            <v>157.356432953797</v>
          </cell>
          <cell r="E115">
            <v>19.8219791666667</v>
          </cell>
          <cell r="F115">
            <v>2.25049365910673</v>
          </cell>
        </row>
        <row r="116">
          <cell r="B116">
            <v>262.923828126855</v>
          </cell>
          <cell r="C116">
            <v>195.037760025952</v>
          </cell>
          <cell r="D116">
            <v>157.694387717246</v>
          </cell>
          <cell r="E116">
            <v>19.790625</v>
          </cell>
          <cell r="F116">
            <v>2.25630953895558</v>
          </cell>
        </row>
        <row r="117">
          <cell r="B117">
            <v>264.61548795366</v>
          </cell>
          <cell r="C117">
            <v>195.49851190236</v>
          </cell>
          <cell r="D117">
            <v>158.033068306897</v>
          </cell>
          <cell r="E117">
            <v>19.7592708333333</v>
          </cell>
          <cell r="F117">
            <v>2.26214044859947</v>
          </cell>
        </row>
        <row r="118">
          <cell r="B118">
            <v>266.318031970727</v>
          </cell>
          <cell r="C118">
            <v>195.960352246414</v>
          </cell>
          <cell r="D118">
            <v>158.372476281609</v>
          </cell>
          <cell r="E118">
            <v>19.7279166666667</v>
          </cell>
          <cell r="F118">
            <v>2.26798642687942</v>
          </cell>
        </row>
        <row r="119">
          <cell r="B119">
            <v>267.927902908699</v>
          </cell>
          <cell r="C119">
            <v>196.415326114842</v>
          </cell>
          <cell r="D119">
            <v>158.693481135868</v>
          </cell>
          <cell r="E119">
            <v>19.7182638888889</v>
          </cell>
          <cell r="F119">
            <v>2.27329442304836</v>
          </cell>
        </row>
        <row r="120">
          <cell r="B120">
            <v>269.54750538613</v>
          </cell>
          <cell r="C120">
            <v>196.871356325631</v>
          </cell>
          <cell r="D120">
            <v>159.015136634221</v>
          </cell>
          <cell r="E120">
            <v>19.7086111111111</v>
          </cell>
          <cell r="F120">
            <v>2.27861484205326</v>
          </cell>
        </row>
        <row r="121">
          <cell r="B121">
            <v>271.176898229389</v>
          </cell>
          <cell r="C121">
            <v>197.328445331359</v>
          </cell>
          <cell r="D121">
            <v>159.337444095458</v>
          </cell>
          <cell r="E121">
            <v>19.6989583333333</v>
          </cell>
          <cell r="F121">
            <v>2.28394771296852</v>
          </cell>
        </row>
        <row r="122">
          <cell r="B122">
            <v>272.816140620445</v>
          </cell>
          <cell r="C122">
            <v>197.786595590298</v>
          </cell>
          <cell r="D122">
            <v>159.660404841042</v>
          </cell>
          <cell r="E122">
            <v>19.6893055555556</v>
          </cell>
          <cell r="F122">
            <v>2.2892930649366</v>
          </cell>
        </row>
        <row r="123">
          <cell r="B123">
            <v>274.465292099015</v>
          </cell>
          <cell r="C123">
            <v>198.245809566429</v>
          </cell>
          <cell r="D123">
            <v>159.984020195112</v>
          </cell>
          <cell r="E123">
            <v>19.6796527777778</v>
          </cell>
          <cell r="F123">
            <v>2.29465092716816</v>
          </cell>
        </row>
        <row r="124">
          <cell r="B124">
            <v>276.124412564732</v>
          </cell>
          <cell r="C124">
            <v>198.706089729453</v>
          </cell>
          <cell r="D124">
            <v>160.308291484494</v>
          </cell>
          <cell r="E124">
            <v>19.67</v>
          </cell>
          <cell r="F124">
            <v>2.30002132894223</v>
          </cell>
        </row>
        <row r="125">
          <cell r="B125">
            <v>277.793562279316</v>
          </cell>
          <cell r="C125">
            <v>199.167438554806</v>
          </cell>
          <cell r="D125">
            <v>160.633220038701</v>
          </cell>
          <cell r="E125">
            <v>19.6603472222222</v>
          </cell>
          <cell r="F125">
            <v>2.30540429960635</v>
          </cell>
        </row>
        <row r="126">
          <cell r="B126">
            <v>279.472801868764</v>
          </cell>
          <cell r="C126">
            <v>199.62985852367</v>
          </cell>
          <cell r="D126">
            <v>160.958807189943</v>
          </cell>
          <cell r="E126">
            <v>19.6506944444445</v>
          </cell>
          <cell r="F126">
            <v>2.31079986857675</v>
          </cell>
        </row>
        <row r="127">
          <cell r="B127">
            <v>281.162192325553</v>
          </cell>
          <cell r="C127">
            <v>200.093352122988</v>
          </cell>
          <cell r="D127">
            <v>161.285054273128</v>
          </cell>
          <cell r="E127">
            <v>19.6410416666667</v>
          </cell>
          <cell r="F127">
            <v>2.31620806533853</v>
          </cell>
        </row>
        <row r="128">
          <cell r="B128">
            <v>282.861795010853</v>
          </cell>
          <cell r="C128">
            <v>200.557921845479</v>
          </cell>
          <cell r="D128">
            <v>161.611962625871</v>
          </cell>
          <cell r="E128">
            <v>19.6313888888889</v>
          </cell>
          <cell r="F128">
            <v>2.32162891944576</v>
          </cell>
        </row>
        <row r="129">
          <cell r="B129">
            <v>284.571671656759</v>
          </cell>
          <cell r="C129">
            <v>201.023570189647</v>
          </cell>
          <cell r="D129">
            <v>161.939533588498</v>
          </cell>
          <cell r="E129">
            <v>19.6217361111111</v>
          </cell>
          <cell r="F129">
            <v>2.3270624605217</v>
          </cell>
        </row>
        <row r="130">
          <cell r="B130">
            <v>286.291884368532</v>
          </cell>
          <cell r="C130">
            <v>201.490299659798</v>
          </cell>
          <cell r="D130">
            <v>162.267768504052</v>
          </cell>
          <cell r="E130">
            <v>19.6120833333333</v>
          </cell>
          <cell r="F130">
            <v>2.33250871825894</v>
          </cell>
        </row>
        <row r="131">
          <cell r="B131">
            <v>288.022495626852</v>
          </cell>
          <cell r="C131">
            <v>201.947265641857</v>
          </cell>
          <cell r="D131">
            <v>162.578032230373</v>
          </cell>
          <cell r="E131">
            <v>19.6094097222222</v>
          </cell>
          <cell r="F131">
            <v>2.33788261742251</v>
          </cell>
        </row>
        <row r="132">
          <cell r="B132">
            <v>289.76356829009</v>
          </cell>
          <cell r="C132">
            <v>202.405267990972</v>
          </cell>
          <cell r="D132">
            <v>162.888889195764</v>
          </cell>
          <cell r="E132">
            <v>19.6067361111111</v>
          </cell>
          <cell r="F132">
            <v>2.34326889758685</v>
          </cell>
        </row>
        <row r="133">
          <cell r="B133">
            <v>291.515165596594</v>
          </cell>
          <cell r="C133">
            <v>202.864309057552</v>
          </cell>
          <cell r="D133">
            <v>163.200340534524</v>
          </cell>
          <cell r="E133">
            <v>19.6040625</v>
          </cell>
          <cell r="F133">
            <v>2.34866758727671</v>
          </cell>
        </row>
        <row r="134">
          <cell r="B134">
            <v>293.277351166978</v>
          </cell>
          <cell r="C134">
            <v>203.324391197336</v>
          </cell>
          <cell r="D134">
            <v>163.512387383125</v>
          </cell>
          <cell r="E134">
            <v>19.6013888888889</v>
          </cell>
          <cell r="F134">
            <v>2.35407871508258</v>
          </cell>
        </row>
        <row r="135">
          <cell r="B135">
            <v>295.050189006441</v>
          </cell>
          <cell r="C135">
            <v>203.785516771405</v>
          </cell>
          <cell r="D135">
            <v>163.82503088021</v>
          </cell>
          <cell r="E135">
            <v>19.5987152777778</v>
          </cell>
          <cell r="F135">
            <v>2.35950230966078</v>
          </cell>
        </row>
        <row r="136">
          <cell r="B136">
            <v>296.833743507087</v>
          </cell>
          <cell r="C136">
            <v>204.247688146196</v>
          </cell>
          <cell r="D136">
            <v>164.138272166599</v>
          </cell>
          <cell r="E136">
            <v>19.5960416666667</v>
          </cell>
          <cell r="F136">
            <v>2.36493839973371</v>
          </cell>
        </row>
        <row r="137">
          <cell r="B137">
            <v>298.628079450265</v>
          </cell>
          <cell r="C137">
            <v>204.710907693511</v>
          </cell>
          <cell r="D137">
            <v>164.452112385293</v>
          </cell>
          <cell r="E137">
            <v>19.5933680555555</v>
          </cell>
          <cell r="F137">
            <v>2.3703870140899</v>
          </cell>
        </row>
        <row r="138">
          <cell r="B138">
            <v>300.433262008922</v>
          </cell>
          <cell r="C138">
            <v>205.175177790535</v>
          </cell>
          <cell r="D138">
            <v>164.766552681481</v>
          </cell>
          <cell r="E138">
            <v>19.5906944444444</v>
          </cell>
          <cell r="F138">
            <v>2.37584818158422</v>
          </cell>
        </row>
        <row r="139">
          <cell r="B139">
            <v>302.249356749969</v>
          </cell>
          <cell r="C139">
            <v>205.640500819839</v>
          </cell>
          <cell r="D139">
            <v>165.081594202539</v>
          </cell>
          <cell r="E139">
            <v>19.5880208333333</v>
          </cell>
          <cell r="F139">
            <v>2.38132193113802</v>
          </cell>
        </row>
        <row r="140">
          <cell r="B140">
            <v>304.076429636667</v>
          </cell>
          <cell r="C140">
            <v>206.106879169401</v>
          </cell>
          <cell r="D140">
            <v>165.397238098037</v>
          </cell>
          <cell r="E140">
            <v>19.5853472222222</v>
          </cell>
          <cell r="F140">
            <v>2.38680829173927</v>
          </cell>
        </row>
        <row r="141">
          <cell r="B141">
            <v>305.914547031016</v>
          </cell>
          <cell r="C141">
            <v>206.574315232615</v>
          </cell>
          <cell r="D141">
            <v>165.713485519744</v>
          </cell>
          <cell r="E141">
            <v>19.5826736111111</v>
          </cell>
          <cell r="F141">
            <v>2.39230729244276</v>
          </cell>
        </row>
        <row r="142">
          <cell r="B142">
            <v>307.763775696172</v>
          </cell>
          <cell r="C142">
            <v>207.0428114083</v>
          </cell>
          <cell r="D142">
            <v>166.030337621631</v>
          </cell>
          <cell r="E142">
            <v>19.58</v>
          </cell>
          <cell r="F142">
            <v>2.39781896237018</v>
          </cell>
        </row>
        <row r="143">
          <cell r="B143">
            <v>309.624182798865</v>
          </cell>
          <cell r="C143">
            <v>207.501638963156</v>
          </cell>
          <cell r="D143">
            <v>166.327459636305</v>
          </cell>
          <cell r="E143">
            <v>19.605</v>
          </cell>
          <cell r="F143">
            <v>2.40318207825579</v>
          </cell>
        </row>
        <row r="144">
          <cell r="B144">
            <v>311.495835911847</v>
          </cell>
          <cell r="C144">
            <v>207.961483325712</v>
          </cell>
          <cell r="D144">
            <v>166.625113370018</v>
          </cell>
          <cell r="E144">
            <v>19.63</v>
          </cell>
          <cell r="F144">
            <v>2.40855718963083</v>
          </cell>
        </row>
        <row r="145">
          <cell r="B145">
            <v>313.378803016338</v>
          </cell>
          <cell r="C145">
            <v>208.422346749317</v>
          </cell>
          <cell r="D145">
            <v>166.923299774316</v>
          </cell>
          <cell r="E145">
            <v>19.655</v>
          </cell>
          <cell r="F145">
            <v>2.41394432332517</v>
          </cell>
        </row>
        <row r="146">
          <cell r="B146">
            <v>315.273152504501</v>
          </cell>
          <cell r="C146">
            <v>208.884231492312</v>
          </cell>
          <cell r="D146">
            <v>167.222019802447</v>
          </cell>
          <cell r="E146">
            <v>19.68</v>
          </cell>
          <cell r="F146">
            <v>2.41934350622871</v>
          </cell>
        </row>
        <row r="147">
          <cell r="B147">
            <v>317.178953181924</v>
          </cell>
          <cell r="C147">
            <v>209.347139818042</v>
          </cell>
          <cell r="D147">
            <v>167.521274409365</v>
          </cell>
          <cell r="E147">
            <v>19.705</v>
          </cell>
          <cell r="F147">
            <v>2.42475476529148</v>
          </cell>
        </row>
        <row r="148">
          <cell r="B148">
            <v>319.096274270119</v>
          </cell>
          <cell r="C148">
            <v>209.811073994869</v>
          </cell>
          <cell r="D148">
            <v>167.821064551734</v>
          </cell>
          <cell r="E148">
            <v>19.73</v>
          </cell>
          <cell r="F148">
            <v>2.4301781275238</v>
          </cell>
        </row>
        <row r="149">
          <cell r="B149">
            <v>321.025185409035</v>
          </cell>
          <cell r="C149">
            <v>210.276036296182</v>
          </cell>
          <cell r="D149">
            <v>168.12139118793</v>
          </cell>
          <cell r="E149">
            <v>19.755</v>
          </cell>
          <cell r="F149">
            <v>2.43561361999639</v>
          </cell>
        </row>
        <row r="150">
          <cell r="B150">
            <v>322.965756659591</v>
          </cell>
          <cell r="C150">
            <v>210.742029000406</v>
          </cell>
          <cell r="D150">
            <v>168.422255278042</v>
          </cell>
          <cell r="E150">
            <v>19.78</v>
          </cell>
          <cell r="F150">
            <v>2.44106126984052</v>
          </cell>
        </row>
        <row r="151">
          <cell r="B151">
            <v>324.918058506217</v>
          </cell>
          <cell r="C151">
            <v>211.209054391019</v>
          </cell>
          <cell r="D151">
            <v>168.723657783878</v>
          </cell>
          <cell r="E151">
            <v>19.805</v>
          </cell>
          <cell r="F151">
            <v>2.44652110424816</v>
          </cell>
        </row>
        <row r="152">
          <cell r="B152">
            <v>326.882161859417</v>
          </cell>
          <cell r="C152">
            <v>211.677114756556</v>
          </cell>
          <cell r="D152">
            <v>169.02559966897</v>
          </cell>
          <cell r="E152">
            <v>19.83</v>
          </cell>
          <cell r="F152">
            <v>2.45199315047208</v>
          </cell>
        </row>
        <row r="153">
          <cell r="B153">
            <v>328.858138058343</v>
          </cell>
          <cell r="C153">
            <v>212.146212390625</v>
          </cell>
          <cell r="D153">
            <v>169.32808189857</v>
          </cell>
          <cell r="E153">
            <v>19.855</v>
          </cell>
          <cell r="F153">
            <v>2.45747743582601</v>
          </cell>
        </row>
        <row r="154">
          <cell r="B154">
            <v>330.846058873385</v>
          </cell>
          <cell r="C154">
            <v>212.616349591916</v>
          </cell>
          <cell r="D154">
            <v>169.63110543966</v>
          </cell>
          <cell r="E154">
            <v>19.88</v>
          </cell>
          <cell r="F154">
            <v>2.46297398768479</v>
          </cell>
        </row>
        <row r="155">
          <cell r="B155">
            <v>332.84599650878</v>
          </cell>
          <cell r="C155">
            <v>213.078880911827</v>
          </cell>
          <cell r="D155">
            <v>169.917625547035</v>
          </cell>
          <cell r="E155">
            <v>19.9320833333333</v>
          </cell>
          <cell r="F155">
            <v>2.4681826378384</v>
          </cell>
        </row>
        <row r="156">
          <cell r="B156">
            <v>334.858023605236</v>
          </cell>
          <cell r="C156">
            <v>213.542418434801</v>
          </cell>
          <cell r="D156">
            <v>170.204629609117</v>
          </cell>
          <cell r="E156">
            <v>19.9841666666667</v>
          </cell>
          <cell r="F156">
            <v>2.47340230314547</v>
          </cell>
        </row>
        <row r="157">
          <cell r="B157">
            <v>336.882213242564</v>
          </cell>
          <cell r="C157">
            <v>214.006964349756</v>
          </cell>
          <cell r="D157">
            <v>170.492118443343</v>
          </cell>
          <cell r="E157">
            <v>20.03625</v>
          </cell>
          <cell r="F157">
            <v>2.47863300690063</v>
          </cell>
        </row>
        <row r="158">
          <cell r="B158">
            <v>338.918638942339</v>
          </cell>
          <cell r="C158">
            <v>214.472520850378</v>
          </cell>
          <cell r="D158">
            <v>170.780092868531</v>
          </cell>
          <cell r="E158">
            <v>20.0883333333333</v>
          </cell>
          <cell r="F158">
            <v>2.48387477244777</v>
          </cell>
        </row>
        <row r="159">
          <cell r="B159">
            <v>340.967374670569</v>
          </cell>
          <cell r="C159">
            <v>214.93909013512</v>
          </cell>
          <cell r="D159">
            <v>171.068553704882</v>
          </cell>
          <cell r="E159">
            <v>20.1404166666667</v>
          </cell>
          <cell r="F159">
            <v>2.48912762318016</v>
          </cell>
        </row>
        <row r="160">
          <cell r="B160">
            <v>343.028494840378</v>
          </cell>
          <cell r="C160">
            <v>215.406674407222</v>
          </cell>
          <cell r="D160">
            <v>171.357501773981</v>
          </cell>
          <cell r="E160">
            <v>20.1925</v>
          </cell>
          <cell r="F160">
            <v>2.49439158254055</v>
          </cell>
        </row>
        <row r="161">
          <cell r="B161">
            <v>345.102074314712</v>
          </cell>
          <cell r="C161">
            <v>215.875275874712</v>
          </cell>
          <cell r="D161">
            <v>171.646937898804</v>
          </cell>
          <cell r="E161">
            <v>20.2445833333333</v>
          </cell>
          <cell r="F161">
            <v>2.49966667402123</v>
          </cell>
        </row>
        <row r="162">
          <cell r="B162">
            <v>347.18818840906</v>
          </cell>
          <cell r="C162">
            <v>216.344896750427</v>
          </cell>
          <cell r="D162">
            <v>171.936862903713</v>
          </cell>
          <cell r="E162">
            <v>20.2966666666667</v>
          </cell>
          <cell r="F162">
            <v>2.50495292116421</v>
          </cell>
        </row>
        <row r="163">
          <cell r="B163">
            <v>349.286912894183</v>
          </cell>
          <cell r="C163">
            <v>216.815539252013</v>
          </cell>
          <cell r="D163">
            <v>172.227277614466</v>
          </cell>
          <cell r="E163">
            <v>20.34875</v>
          </cell>
          <cell r="F163">
            <v>2.51025034756126</v>
          </cell>
        </row>
        <row r="164">
          <cell r="B164">
            <v>351.398323998873</v>
          </cell>
          <cell r="C164">
            <v>217.287205601944</v>
          </cell>
          <cell r="D164">
            <v>172.518182858213</v>
          </cell>
          <cell r="E164">
            <v>20.4008333333333</v>
          </cell>
          <cell r="F164">
            <v>2.51555897685407</v>
          </cell>
        </row>
        <row r="165">
          <cell r="B165">
            <v>353.522498412718</v>
          </cell>
          <cell r="C165">
            <v>217.759898027525</v>
          </cell>
          <cell r="D165">
            <v>172.809579463502</v>
          </cell>
          <cell r="E165">
            <v>20.4529166666667</v>
          </cell>
          <cell r="F165">
            <v>2.52087883273429</v>
          </cell>
        </row>
        <row r="166">
          <cell r="B166">
            <v>355.659513288888</v>
          </cell>
          <cell r="C166">
            <v>218.233618760911</v>
          </cell>
          <cell r="D166">
            <v>173.101468260283</v>
          </cell>
          <cell r="E166">
            <v>20.505</v>
          </cell>
          <cell r="F166">
            <v>2.52620993894371</v>
          </cell>
        </row>
        <row r="167">
          <cell r="B167">
            <v>357.726128124347</v>
          </cell>
          <cell r="C167">
            <v>218.700452127379</v>
          </cell>
          <cell r="D167">
            <v>173.38121940357</v>
          </cell>
          <cell r="E167">
            <v>20.555</v>
          </cell>
          <cell r="F167">
            <v>2.53141351780118</v>
          </cell>
        </row>
        <row r="168">
          <cell r="B168">
            <v>359.80475134625</v>
          </cell>
          <cell r="C168">
            <v>219.168284118134</v>
          </cell>
          <cell r="D168">
            <v>173.661422655686</v>
          </cell>
          <cell r="E168">
            <v>20.605</v>
          </cell>
          <cell r="F168">
            <v>2.53662781517912</v>
          </cell>
        </row>
        <row r="169">
          <cell r="B169">
            <v>361.895452731191</v>
          </cell>
          <cell r="C169">
            <v>219.637116869379</v>
          </cell>
          <cell r="D169">
            <v>173.94207874729</v>
          </cell>
          <cell r="E169">
            <v>20.655</v>
          </cell>
          <cell r="F169">
            <v>2.54185285315591</v>
          </cell>
        </row>
        <row r="170">
          <cell r="B170">
            <v>363.998302461213</v>
          </cell>
          <cell r="C170">
            <v>220.106952521885</v>
          </cell>
          <cell r="D170">
            <v>174.223188410219</v>
          </cell>
          <cell r="E170">
            <v>20.705</v>
          </cell>
          <cell r="F170">
            <v>2.54708865385545</v>
          </cell>
        </row>
        <row r="171">
          <cell r="B171">
            <v>366.113371126161</v>
          </cell>
          <cell r="C171">
            <v>220.577793221005</v>
          </cell>
          <cell r="D171">
            <v>174.504752377496</v>
          </cell>
          <cell r="E171">
            <v>20.755</v>
          </cell>
          <cell r="F171">
            <v>2.55233523944716</v>
          </cell>
        </row>
        <row r="172">
          <cell r="B172">
            <v>368.240729726054</v>
          </cell>
          <cell r="C172">
            <v>221.049641116678</v>
          </cell>
          <cell r="D172">
            <v>174.786771383327</v>
          </cell>
          <cell r="E172">
            <v>20.805</v>
          </cell>
          <cell r="F172">
            <v>2.55759263214617</v>
          </cell>
        </row>
        <row r="173">
          <cell r="B173">
            <v>370.380449673469</v>
          </cell>
          <cell r="C173">
            <v>221.522498363443</v>
          </cell>
          <cell r="D173">
            <v>175.069246163104</v>
          </cell>
          <cell r="E173">
            <v>20.855</v>
          </cell>
          <cell r="F173">
            <v>2.56286085421335</v>
          </cell>
        </row>
        <row r="174">
          <cell r="B174">
            <v>372.532602795934</v>
          </cell>
          <cell r="C174">
            <v>221.99636712045</v>
          </cell>
          <cell r="D174">
            <v>175.352177453409</v>
          </cell>
          <cell r="E174">
            <v>20.905</v>
          </cell>
          <cell r="F174">
            <v>2.56813992795542</v>
          </cell>
        </row>
        <row r="175">
          <cell r="B175">
            <v>374.697261338343</v>
          </cell>
          <cell r="C175">
            <v>222.471249551465</v>
          </cell>
          <cell r="D175">
            <v>175.635565992013</v>
          </cell>
          <cell r="E175">
            <v>20.955</v>
          </cell>
          <cell r="F175">
            <v>2.57342987572505</v>
          </cell>
        </row>
        <row r="176">
          <cell r="B176">
            <v>376.874497965382</v>
          </cell>
          <cell r="C176">
            <v>222.947147824885</v>
          </cell>
          <cell r="D176">
            <v>175.91941251788</v>
          </cell>
          <cell r="E176">
            <v>21.005</v>
          </cell>
          <cell r="F176">
            <v>2.57873071992097</v>
          </cell>
        </row>
        <row r="177">
          <cell r="B177">
            <v>379.064385763965</v>
          </cell>
          <cell r="C177">
            <v>223.424064113743</v>
          </cell>
          <cell r="D177">
            <v>176.203717771168</v>
          </cell>
          <cell r="E177">
            <v>21.055</v>
          </cell>
          <cell r="F177">
            <v>2.58404248298802</v>
          </cell>
        </row>
        <row r="178">
          <cell r="B178">
            <v>381.266998245689</v>
          </cell>
          <cell r="C178">
            <v>223.902000595721</v>
          </cell>
          <cell r="D178">
            <v>176.488482493231</v>
          </cell>
          <cell r="E178">
            <v>21.105</v>
          </cell>
          <cell r="F178">
            <v>2.58936518741729</v>
          </cell>
        </row>
        <row r="179">
          <cell r="B179">
            <v>383.4824093493</v>
          </cell>
          <cell r="C179">
            <v>224.373668201941</v>
          </cell>
          <cell r="D179">
            <v>176.759010996359</v>
          </cell>
          <cell r="E179">
            <v>21.155</v>
          </cell>
          <cell r="F179">
            <v>2.59440828709463</v>
          </cell>
        </row>
        <row r="180">
          <cell r="B180">
            <v>385.71069344318</v>
          </cell>
          <cell r="C180">
            <v>224.846329413979</v>
          </cell>
          <cell r="D180">
            <v>177.02995417624</v>
          </cell>
          <cell r="E180">
            <v>21.205</v>
          </cell>
          <cell r="F180">
            <v>2.59946120881426</v>
          </cell>
        </row>
        <row r="181">
          <cell r="B181">
            <v>387.951925327837</v>
          </cell>
          <cell r="C181">
            <v>225.319986324948</v>
          </cell>
          <cell r="D181">
            <v>177.301312668508</v>
          </cell>
          <cell r="E181">
            <v>21.255</v>
          </cell>
          <cell r="F181">
            <v>2.60452397170578</v>
          </cell>
        </row>
        <row r="182">
          <cell r="B182">
            <v>390.20618023842</v>
          </cell>
          <cell r="C182">
            <v>225.794641032367</v>
          </cell>
          <cell r="D182">
            <v>177.57308710977</v>
          </cell>
          <cell r="E182">
            <v>21.305</v>
          </cell>
          <cell r="F182">
            <v>2.60959659493605</v>
          </cell>
        </row>
        <row r="183">
          <cell r="B183">
            <v>392.473533847245</v>
          </cell>
          <cell r="C183">
            <v>226.270295638174</v>
          </cell>
          <cell r="D183">
            <v>177.845278137609</v>
          </cell>
          <cell r="E183">
            <v>21.355</v>
          </cell>
          <cell r="F183">
            <v>2.61467909770927</v>
          </cell>
        </row>
        <row r="184">
          <cell r="B184">
            <v>394.754062266331</v>
          </cell>
          <cell r="C184">
            <v>226.746952248737</v>
          </cell>
          <cell r="D184">
            <v>178.117886390586</v>
          </cell>
          <cell r="E184">
            <v>21.405</v>
          </cell>
          <cell r="F184">
            <v>2.61977149926703</v>
          </cell>
        </row>
        <row r="185">
          <cell r="B185">
            <v>397.047842049959</v>
          </cell>
          <cell r="C185">
            <v>227.224612974859</v>
          </cell>
          <cell r="D185">
            <v>178.390912508238</v>
          </cell>
          <cell r="E185">
            <v>21.455</v>
          </cell>
          <cell r="F185">
            <v>2.62487381888841</v>
          </cell>
        </row>
        <row r="186">
          <cell r="B186">
            <v>399.354950197241</v>
          </cell>
          <cell r="C186">
            <v>227.70327993179</v>
          </cell>
          <cell r="D186">
            <v>178.664357131087</v>
          </cell>
          <cell r="E186">
            <v>21.505</v>
          </cell>
          <cell r="F186">
            <v>2.62998607589002</v>
          </cell>
        </row>
        <row r="187">
          <cell r="B187">
            <v>401.675464154704</v>
          </cell>
          <cell r="C187">
            <v>228.182955239237</v>
          </cell>
          <cell r="D187">
            <v>178.938220900632</v>
          </cell>
          <cell r="E187">
            <v>21.555</v>
          </cell>
          <cell r="F187">
            <v>2.63510828962611</v>
          </cell>
        </row>
        <row r="188">
          <cell r="B188">
            <v>404.00946181889</v>
          </cell>
          <cell r="C188">
            <v>228.663641021371</v>
          </cell>
          <cell r="D188">
            <v>179.212504459359</v>
          </cell>
          <cell r="E188">
            <v>21.605</v>
          </cell>
          <cell r="F188">
            <v>2.64024047948862</v>
          </cell>
        </row>
        <row r="189">
          <cell r="B189">
            <v>406.357021538971</v>
          </cell>
          <cell r="C189">
            <v>229.145339406839</v>
          </cell>
          <cell r="D189">
            <v>179.487208450737</v>
          </cell>
          <cell r="E189">
            <v>21.655</v>
          </cell>
          <cell r="F189">
            <v>2.64538266490724</v>
          </cell>
        </row>
        <row r="190">
          <cell r="B190">
            <v>408.718222119378</v>
          </cell>
          <cell r="C190">
            <v>229.62805252877</v>
          </cell>
          <cell r="D190">
            <v>179.762333519222</v>
          </cell>
          <cell r="E190">
            <v>21.705</v>
          </cell>
          <cell r="F190">
            <v>2.65053486534952</v>
          </cell>
        </row>
        <row r="191">
          <cell r="B191">
            <v>411.09314282245</v>
          </cell>
          <cell r="C191">
            <v>230.106328427722</v>
          </cell>
          <cell r="D191">
            <v>180.020993707922</v>
          </cell>
          <cell r="E191">
            <v>21.755</v>
          </cell>
          <cell r="F191">
            <v>2.65513335215341</v>
          </cell>
        </row>
        <row r="192">
          <cell r="B192">
            <v>413.481863371089</v>
          </cell>
          <cell r="C192">
            <v>230.585600493445</v>
          </cell>
          <cell r="D192">
            <v>180.280026083008</v>
          </cell>
          <cell r="E192">
            <v>21.805</v>
          </cell>
          <cell r="F192">
            <v>2.6597398170002</v>
          </cell>
        </row>
        <row r="193">
          <cell r="B193">
            <v>415.884463951441</v>
          </cell>
          <cell r="C193">
            <v>231.065870800783</v>
          </cell>
          <cell r="D193">
            <v>180.539431180018</v>
          </cell>
          <cell r="E193">
            <v>21.855</v>
          </cell>
          <cell r="F193">
            <v>2.66435427373123</v>
          </cell>
        </row>
        <row r="194">
          <cell r="B194">
            <v>418.301025215587</v>
          </cell>
          <cell r="C194">
            <v>231.547141428902</v>
          </cell>
          <cell r="D194">
            <v>180.799209535264</v>
          </cell>
          <cell r="E194">
            <v>21.905</v>
          </cell>
          <cell r="F194">
            <v>2.66897673621184</v>
          </cell>
        </row>
        <row r="195">
          <cell r="B195">
            <v>420.731628284247</v>
          </cell>
          <cell r="C195">
            <v>232.0294144613</v>
          </cell>
          <cell r="D195">
            <v>181.059361685827</v>
          </cell>
          <cell r="E195">
            <v>21.955</v>
          </cell>
          <cell r="F195">
            <v>2.67360721833143</v>
          </cell>
        </row>
        <row r="196">
          <cell r="B196">
            <v>423.176354749506</v>
          </cell>
          <cell r="C196">
            <v>232.512691985813</v>
          </cell>
          <cell r="D196">
            <v>181.319888169561</v>
          </cell>
          <cell r="E196">
            <v>22.005</v>
          </cell>
          <cell r="F196">
            <v>2.67824573400349</v>
          </cell>
        </row>
        <row r="197">
          <cell r="B197">
            <v>425.635286677556</v>
          </cell>
          <cell r="C197">
            <v>232.996976094626</v>
          </cell>
          <cell r="D197">
            <v>181.580789525094</v>
          </cell>
          <cell r="E197">
            <v>22.055</v>
          </cell>
          <cell r="F197">
            <v>2.68289229716566</v>
          </cell>
        </row>
        <row r="198">
          <cell r="B198">
            <v>428.108506611442</v>
          </cell>
          <cell r="C198">
            <v>233.482268884281</v>
          </cell>
          <cell r="D198">
            <v>181.84206629183</v>
          </cell>
          <cell r="E198">
            <v>22.105</v>
          </cell>
          <cell r="F198">
            <v>2.68754692177975</v>
          </cell>
        </row>
        <row r="199">
          <cell r="B199">
            <v>430.596097573843</v>
          </cell>
          <cell r="C199">
            <v>233.968572455688</v>
          </cell>
          <cell r="D199">
            <v>182.103719009948</v>
          </cell>
          <cell r="E199">
            <v>22.155</v>
          </cell>
          <cell r="F199">
            <v>2.6922096218318</v>
          </cell>
        </row>
        <row r="200">
          <cell r="B200">
            <v>433.09814306985</v>
          </cell>
          <cell r="C200">
            <v>234.455888914132</v>
          </cell>
          <cell r="D200">
            <v>182.365748220406</v>
          </cell>
          <cell r="E200">
            <v>22.205</v>
          </cell>
          <cell r="F200">
            <v>2.69688041133211</v>
          </cell>
        </row>
        <row r="201">
          <cell r="B201">
            <v>435.614727089777</v>
          </cell>
          <cell r="C201">
            <v>234.944220369284</v>
          </cell>
          <cell r="D201">
            <v>182.628154464937</v>
          </cell>
          <cell r="E201">
            <v>22.255</v>
          </cell>
          <cell r="F201">
            <v>2.70155930431529</v>
          </cell>
        </row>
        <row r="202">
          <cell r="B202">
            <v>438.145934111974</v>
          </cell>
          <cell r="C202">
            <v>235.433568935207</v>
          </cell>
          <cell r="D202">
            <v>182.890938286058</v>
          </cell>
          <cell r="E202">
            <v>22.305</v>
          </cell>
          <cell r="F202">
            <v>2.70624631484031</v>
          </cell>
        </row>
        <row r="203">
          <cell r="B203">
            <v>440.691849105666</v>
          </cell>
          <cell r="C203">
            <v>235.920101317146</v>
          </cell>
          <cell r="D203">
            <v>183.139217085792</v>
          </cell>
          <cell r="E203">
            <v>22.355</v>
          </cell>
          <cell r="F203">
            <v>2.71071337566439</v>
          </cell>
        </row>
        <row r="204">
          <cell r="B204">
            <v>443.252557533807</v>
          </cell>
          <cell r="C204">
            <v>236.407639136668</v>
          </cell>
          <cell r="D204">
            <v>183.387832929903</v>
          </cell>
          <cell r="E204">
            <v>22.405</v>
          </cell>
          <cell r="F204">
            <v>2.71518781003473</v>
          </cell>
        </row>
        <row r="205">
          <cell r="B205">
            <v>445.828145355945</v>
          </cell>
          <cell r="C205">
            <v>236.896184471549</v>
          </cell>
          <cell r="D205">
            <v>183.636786275936</v>
          </cell>
          <cell r="E205">
            <v>22.455</v>
          </cell>
          <cell r="F205">
            <v>2.71966963012247</v>
          </cell>
        </row>
        <row r="206">
          <cell r="B206">
            <v>448.418699031109</v>
          </cell>
          <cell r="C206">
            <v>237.385739403857</v>
          </cell>
          <cell r="D206">
            <v>183.88607758206</v>
          </cell>
          <cell r="E206">
            <v>22.505</v>
          </cell>
          <cell r="F206">
            <v>2.72415884811883</v>
          </cell>
        </row>
        <row r="207">
          <cell r="B207">
            <v>451.024305520712</v>
          </cell>
          <cell r="C207">
            <v>237.876306019964</v>
          </cell>
          <cell r="D207">
            <v>184.135707307062</v>
          </cell>
          <cell r="E207">
            <v>22.555</v>
          </cell>
          <cell r="F207">
            <v>2.72865547623515</v>
          </cell>
        </row>
        <row r="208">
          <cell r="B208">
            <v>453.645052291471</v>
          </cell>
          <cell r="C208">
            <v>238.367886410552</v>
          </cell>
          <cell r="D208">
            <v>184.385675910355</v>
          </cell>
          <cell r="E208">
            <v>22.605</v>
          </cell>
          <cell r="F208">
            <v>2.73315952670294</v>
          </cell>
        </row>
        <row r="209">
          <cell r="B209">
            <v>456.28102731834</v>
          </cell>
          <cell r="C209">
            <v>238.860482670624</v>
          </cell>
          <cell r="D209">
            <v>184.635983851974</v>
          </cell>
          <cell r="E209">
            <v>22.655</v>
          </cell>
          <cell r="F209">
            <v>2.73767101177388</v>
          </cell>
        </row>
        <row r="210">
          <cell r="B210">
            <v>458.932319087466</v>
          </cell>
          <cell r="C210">
            <v>239.354096899514</v>
          </cell>
          <cell r="D210">
            <v>184.886631592578</v>
          </cell>
          <cell r="E210">
            <v>22.705</v>
          </cell>
          <cell r="F210">
            <v>2.7421899437199</v>
          </cell>
        </row>
        <row r="211">
          <cell r="B211">
            <v>461.59901659916</v>
          </cell>
          <cell r="C211">
            <v>239.848731200893</v>
          </cell>
          <cell r="D211">
            <v>185.137619593453</v>
          </cell>
          <cell r="E211">
            <v>22.755</v>
          </cell>
          <cell r="F211">
            <v>2.74671633483315</v>
          </cell>
        </row>
        <row r="212">
          <cell r="B212">
            <v>464.28120937088</v>
          </cell>
          <cell r="C212">
            <v>240.344387682778</v>
          </cell>
          <cell r="D212">
            <v>185.38894831651</v>
          </cell>
          <cell r="E212">
            <v>22.805</v>
          </cell>
          <cell r="F212">
            <v>2.75125019742612</v>
          </cell>
        </row>
        <row r="213">
          <cell r="B213">
            <v>466.978987440241</v>
          </cell>
          <cell r="C213">
            <v>240.841068457545</v>
          </cell>
          <cell r="D213">
            <v>185.640618224288</v>
          </cell>
          <cell r="E213">
            <v>22.855</v>
          </cell>
          <cell r="F213">
            <v>2.75579154383157</v>
          </cell>
        </row>
        <row r="214">
          <cell r="B214">
            <v>469.692441368036</v>
          </cell>
          <cell r="C214">
            <v>241.338775641934</v>
          </cell>
          <cell r="D214">
            <v>185.892629779954</v>
          </cell>
          <cell r="E214">
            <v>22.905</v>
          </cell>
          <cell r="F214">
            <v>2.76034038640265</v>
          </cell>
        </row>
        <row r="215">
          <cell r="B215">
            <v>472.348150718896</v>
          </cell>
          <cell r="C215">
            <v>241.838903844445</v>
          </cell>
          <cell r="D215">
            <v>186.134551819489</v>
          </cell>
          <cell r="E215">
            <v>22.955</v>
          </cell>
          <cell r="F215">
            <v>2.76492823407979</v>
          </cell>
        </row>
        <row r="216">
          <cell r="B216">
            <v>475.018875836533</v>
          </cell>
          <cell r="C216">
            <v>242.34006846648</v>
          </cell>
          <cell r="D216">
            <v>186.376788698151</v>
          </cell>
          <cell r="E216">
            <v>23.005</v>
          </cell>
          <cell r="F216">
            <v>2.76952370702894</v>
          </cell>
        </row>
        <row r="217">
          <cell r="B217">
            <v>477.704701622274</v>
          </cell>
          <cell r="C217">
            <v>242.84227165582</v>
          </cell>
          <cell r="D217">
            <v>186.619340825674</v>
          </cell>
          <cell r="E217">
            <v>23.055</v>
          </cell>
          <cell r="F217">
            <v>2.77412681792376</v>
          </cell>
        </row>
        <row r="218">
          <cell r="B218">
            <v>480.405713457494</v>
          </cell>
          <cell r="C218">
            <v>243.345515564694</v>
          </cell>
          <cell r="D218">
            <v>186.862208612325</v>
          </cell>
          <cell r="E218">
            <v>23.105</v>
          </cell>
          <cell r="F218">
            <v>2.77873757945897</v>
          </cell>
        </row>
        <row r="219">
          <cell r="B219">
            <v>483.121997206323</v>
          </cell>
          <cell r="C219">
            <v>243.849802349795</v>
          </cell>
          <cell r="D219">
            <v>187.105392468904</v>
          </cell>
          <cell r="E219">
            <v>23.155</v>
          </cell>
          <cell r="F219">
            <v>2.78335600435036</v>
          </cell>
        </row>
        <row r="220">
          <cell r="B220">
            <v>485.853639218381</v>
          </cell>
          <cell r="C220">
            <v>244.355134172282</v>
          </cell>
          <cell r="D220">
            <v>187.348892806748</v>
          </cell>
          <cell r="E220">
            <v>23.205</v>
          </cell>
          <cell r="F220">
            <v>2.7879821053349</v>
          </cell>
        </row>
        <row r="221">
          <cell r="B221">
            <v>488.600726331521</v>
          </cell>
          <cell r="C221">
            <v>244.861513197794</v>
          </cell>
          <cell r="D221">
            <v>187.592710037728</v>
          </cell>
          <cell r="E221">
            <v>23.2550000000001</v>
          </cell>
          <cell r="F221">
            <v>2.7926158951707</v>
          </cell>
        </row>
        <row r="222">
          <cell r="B222">
            <v>491.363345874592</v>
          </cell>
          <cell r="C222">
            <v>245.368941596459</v>
          </cell>
          <cell r="D222">
            <v>187.836844574251</v>
          </cell>
          <cell r="E222">
            <v>23.3050000000001</v>
          </cell>
          <cell r="F222">
            <v>2.79725738663708</v>
          </cell>
        </row>
        <row r="223">
          <cell r="B223">
            <v>494.141585670208</v>
          </cell>
          <cell r="C223">
            <v>245.877421542901</v>
          </cell>
          <cell r="D223">
            <v>188.08129682926</v>
          </cell>
          <cell r="E223">
            <v>23.3550000000001</v>
          </cell>
          <cell r="F223">
            <v>2.8019065925346</v>
          </cell>
        </row>
        <row r="224">
          <cell r="B224">
            <v>496.935534037551</v>
          </cell>
          <cell r="C224">
            <v>246.38695521625</v>
          </cell>
          <cell r="D224">
            <v>188.326067216237</v>
          </cell>
          <cell r="E224">
            <v>23.4050000000001</v>
          </cell>
          <cell r="F224">
            <v>2.80656352568511</v>
          </cell>
        </row>
        <row r="225">
          <cell r="B225">
            <v>499.745279795167</v>
          </cell>
          <cell r="C225">
            <v>246.897544800153</v>
          </cell>
          <cell r="D225">
            <v>188.571156149201</v>
          </cell>
          <cell r="E225">
            <v>23.4550000000001</v>
          </cell>
          <cell r="F225">
            <v>2.81122819893174</v>
          </cell>
        </row>
        <row r="226">
          <cell r="B226">
            <v>502.570912263798</v>
          </cell>
          <cell r="C226">
            <v>247.40919248278</v>
          </cell>
          <cell r="D226">
            <v>188.816564042711</v>
          </cell>
          <cell r="E226">
            <v>23.5050000000001</v>
          </cell>
          <cell r="F226">
            <v>2.81590062513899</v>
          </cell>
        </row>
        <row r="227">
          <cell r="B227">
            <v>505.412521269219</v>
          </cell>
          <cell r="C227">
            <v>247.929036811111</v>
          </cell>
          <cell r="D227">
            <v>189.060417070838</v>
          </cell>
          <cell r="E227">
            <v>23.5550000000001</v>
          </cell>
          <cell r="F227">
            <v>2.82055022749078</v>
          </cell>
        </row>
        <row r="228">
          <cell r="B228">
            <v>508.27019714509</v>
          </cell>
          <cell r="C228">
            <v>248.44997341141</v>
          </cell>
          <cell r="D228">
            <v>189.304585030547</v>
          </cell>
          <cell r="E228">
            <v>23.6050000000001</v>
          </cell>
          <cell r="F228">
            <v>2.82520750724491</v>
          </cell>
        </row>
        <row r="229">
          <cell r="B229">
            <v>511.144030735834</v>
          </cell>
          <cell r="C229">
            <v>248.972004578708</v>
          </cell>
          <cell r="D229">
            <v>189.549068328567</v>
          </cell>
          <cell r="E229">
            <v>23.6550000000001</v>
          </cell>
          <cell r="F229">
            <v>2.82987247707826</v>
          </cell>
        </row>
        <row r="230">
          <cell r="B230">
            <v>514.034113399518</v>
          </cell>
          <cell r="C230">
            <v>249.495132612855</v>
          </cell>
          <cell r="D230">
            <v>189.793867372152</v>
          </cell>
          <cell r="E230">
            <v>23.7050000000001</v>
          </cell>
          <cell r="F230">
            <v>2.83454514968866</v>
          </cell>
        </row>
        <row r="231">
          <cell r="B231">
            <v>516.940537010765</v>
          </cell>
          <cell r="C231">
            <v>250.019359818535</v>
          </cell>
          <cell r="D231">
            <v>190.03898256908</v>
          </cell>
          <cell r="E231">
            <v>23.7550000000001</v>
          </cell>
          <cell r="F231">
            <v>2.8392255377949</v>
          </cell>
        </row>
        <row r="232">
          <cell r="B232">
            <v>519.863393963667</v>
          </cell>
          <cell r="C232">
            <v>250.544688505276</v>
          </cell>
          <cell r="D232">
            <v>190.284414327658</v>
          </cell>
          <cell r="E232">
            <v>23.8050000000001</v>
          </cell>
          <cell r="F232">
            <v>2.84391365413677</v>
          </cell>
        </row>
        <row r="233">
          <cell r="B233">
            <v>522.802777174728</v>
          </cell>
          <cell r="C233">
            <v>251.071120987456</v>
          </cell>
          <cell r="D233">
            <v>190.530163056719</v>
          </cell>
          <cell r="E233">
            <v>23.8550000000001</v>
          </cell>
          <cell r="F233">
            <v>2.8486095114751</v>
          </cell>
        </row>
        <row r="234">
          <cell r="B234">
            <v>525.758780085813</v>
          </cell>
          <cell r="C234">
            <v>251.598659584318</v>
          </cell>
          <cell r="D234">
            <v>190.776229165624</v>
          </cell>
          <cell r="E234">
            <v>23.9050000000001</v>
          </cell>
          <cell r="F234">
            <v>2.85331312259178</v>
          </cell>
        </row>
        <row r="235">
          <cell r="B235">
            <v>528.731496667123</v>
          </cell>
          <cell r="C235">
            <v>252.127306619976</v>
          </cell>
          <cell r="D235">
            <v>191.022613064265</v>
          </cell>
          <cell r="E235">
            <v>23.9550000000001</v>
          </cell>
          <cell r="F235">
            <v>2.85802450028983</v>
          </cell>
        </row>
        <row r="236">
          <cell r="B236">
            <v>531.721021420179</v>
          </cell>
          <cell r="C236">
            <v>252.657064423429</v>
          </cell>
          <cell r="D236">
            <v>191.269315163059</v>
          </cell>
          <cell r="E236">
            <v>24.0050000000001</v>
          </cell>
          <cell r="F236">
            <v>2.86274365739339</v>
          </cell>
        </row>
        <row r="237">
          <cell r="B237">
            <v>534.727449380829</v>
          </cell>
          <cell r="C237">
            <v>253.187935328568</v>
          </cell>
          <cell r="D237">
            <v>191.516335872956</v>
          </cell>
          <cell r="E237">
            <v>24.0550000000001</v>
          </cell>
          <cell r="F237">
            <v>2.86747060674777</v>
          </cell>
        </row>
        <row r="238">
          <cell r="B238">
            <v>537.750876122264</v>
          </cell>
          <cell r="C238">
            <v>253.719921674191</v>
          </cell>
          <cell r="D238">
            <v>191.763675605438</v>
          </cell>
          <cell r="E238">
            <v>24.1050000000001</v>
          </cell>
          <cell r="F238">
            <v>2.8722053612195</v>
          </cell>
        </row>
        <row r="239">
          <cell r="B239">
            <v>540.749261996104</v>
          </cell>
          <cell r="C239">
            <v>254.261288552445</v>
          </cell>
          <cell r="D239">
            <v>192.017044903824</v>
          </cell>
          <cell r="E239">
            <v>24.1550000000001</v>
          </cell>
          <cell r="F239">
            <v>2.87694237018618</v>
          </cell>
        </row>
        <row r="240">
          <cell r="B240">
            <v>543.764366239448</v>
          </cell>
          <cell r="C240">
            <v>254.803810555196</v>
          </cell>
          <cell r="D240">
            <v>192.270748968432</v>
          </cell>
          <cell r="E240">
            <v>24.2050000000001</v>
          </cell>
          <cell r="F240">
            <v>2.88168719170494</v>
          </cell>
        </row>
        <row r="241">
          <cell r="B241">
            <v>546.796282070411</v>
          </cell>
          <cell r="C241">
            <v>255.347490147154</v>
          </cell>
          <cell r="D241">
            <v>192.524788241577</v>
          </cell>
          <cell r="E241">
            <v>24.2550000000001</v>
          </cell>
          <cell r="F241">
            <v>2.8864398386607</v>
          </cell>
        </row>
        <row r="242">
          <cell r="B242">
            <v>549.845103226873</v>
          </cell>
          <cell r="C242">
            <v>255.892329798289</v>
          </cell>
          <cell r="D242">
            <v>192.779163166153</v>
          </cell>
          <cell r="E242">
            <v>24.3050000000001</v>
          </cell>
          <cell r="F242">
            <v>2.89120032395961</v>
          </cell>
        </row>
        <row r="243">
          <cell r="B243">
            <v>552.910923969377</v>
          </cell>
          <cell r="C243">
            <v>256.438331983841</v>
          </cell>
          <cell r="D243">
            <v>193.033874185644</v>
          </cell>
          <cell r="E243">
            <v>24.3550000000001</v>
          </cell>
          <cell r="F243">
            <v>2.89596866052913</v>
          </cell>
        </row>
        <row r="244">
          <cell r="B244">
            <v>555.993839084041</v>
          </cell>
          <cell r="C244">
            <v>256.98549918433</v>
          </cell>
          <cell r="D244">
            <v>193.288921744118</v>
          </cell>
          <cell r="E244">
            <v>24.4050000000001</v>
          </cell>
          <cell r="F244">
            <v>2.90074486131804</v>
          </cell>
        </row>
        <row r="245">
          <cell r="B245">
            <v>559.093943885492</v>
          </cell>
          <cell r="C245">
            <v>257.53383388557</v>
          </cell>
          <cell r="D245">
            <v>193.544306286229</v>
          </cell>
          <cell r="E245">
            <v>24.4550000000001</v>
          </cell>
          <cell r="F245">
            <v>2.90552893929647</v>
          </cell>
        </row>
        <row r="246">
          <cell r="B246">
            <v>562.211334219812</v>
          </cell>
          <cell r="C246">
            <v>258.08333857868</v>
          </cell>
          <cell r="D246">
            <v>193.80002825722</v>
          </cell>
          <cell r="E246">
            <v>24.5050000000001</v>
          </cell>
          <cell r="F246">
            <v>2.91032090745594</v>
          </cell>
        </row>
        <row r="247">
          <cell r="B247">
            <v>565.346106467498</v>
          </cell>
          <cell r="C247">
            <v>258.634015760092</v>
          </cell>
          <cell r="D247">
            <v>194.056088102922</v>
          </cell>
          <cell r="E247">
            <v>24.5550000000001</v>
          </cell>
          <cell r="F247">
            <v>2.91512077880939</v>
          </cell>
        </row>
        <row r="248">
          <cell r="B248">
            <v>568.498357546447</v>
          </cell>
          <cell r="C248">
            <v>259.185867931567</v>
          </cell>
          <cell r="D248">
            <v>194.312486269754</v>
          </cell>
          <cell r="E248">
            <v>24.6050000000001</v>
          </cell>
          <cell r="F248">
            <v>2.91992856639125</v>
          </cell>
        </row>
        <row r="249">
          <cell r="B249">
            <v>571.668184914949</v>
          </cell>
          <cell r="C249">
            <v>259.738897600203</v>
          </cell>
          <cell r="D249">
            <v>194.569223204725</v>
          </cell>
          <cell r="E249">
            <v>24.6550000000001</v>
          </cell>
          <cell r="F249">
            <v>2.9247442832574</v>
          </cell>
        </row>
        <row r="250">
          <cell r="B250">
            <v>574.8556865747</v>
          </cell>
          <cell r="C250">
            <v>260.293107278446</v>
          </cell>
          <cell r="D250">
            <v>194.826299355436</v>
          </cell>
          <cell r="E250">
            <v>24.7050000000001</v>
          </cell>
          <cell r="F250">
            <v>2.9295679424853</v>
          </cell>
        </row>
        <row r="251">
          <cell r="B251">
            <v>578.060961073834</v>
          </cell>
          <cell r="C251">
            <v>260.859267560075</v>
          </cell>
          <cell r="D251">
            <v>195.094312690353</v>
          </cell>
          <cell r="E251">
            <v>24.7359027777779</v>
          </cell>
          <cell r="F251">
            <v>2.9344084151188</v>
          </cell>
        </row>
        <row r="252">
          <cell r="B252">
            <v>581.284107509969</v>
          </cell>
          <cell r="C252">
            <v>261.426659289851</v>
          </cell>
          <cell r="D252">
            <v>195.362694718552</v>
          </cell>
          <cell r="E252">
            <v>24.7668055555557</v>
          </cell>
          <cell r="F252">
            <v>2.93925688557853</v>
          </cell>
        </row>
        <row r="253">
          <cell r="B253">
            <v>584.525225533269</v>
          </cell>
          <cell r="C253">
            <v>261.99528514628</v>
          </cell>
          <cell r="D253">
            <v>195.631445947226</v>
          </cell>
          <cell r="E253">
            <v>24.7977083333334</v>
          </cell>
          <cell r="F253">
            <v>2.94411336707915</v>
          </cell>
        </row>
        <row r="254">
          <cell r="B254">
            <v>587.784415349527</v>
          </cell>
          <cell r="C254">
            <v>262.565147813697</v>
          </cell>
          <cell r="D254">
            <v>195.900566884268</v>
          </cell>
          <cell r="E254">
            <v>24.8286111111112</v>
          </cell>
          <cell r="F254">
            <v>2.94897787285716</v>
          </cell>
        </row>
        <row r="255">
          <cell r="B255">
            <v>591.061777723263</v>
          </cell>
          <cell r="C255">
            <v>263.136249982273</v>
          </cell>
          <cell r="D255">
            <v>196.170058038268</v>
          </cell>
          <cell r="E255">
            <v>24.859513888889</v>
          </cell>
          <cell r="F255">
            <v>2.95385041617093</v>
          </cell>
        </row>
        <row r="256">
          <cell r="B256">
            <v>594.357413980839</v>
          </cell>
          <cell r="C256">
            <v>263.708594348032</v>
          </cell>
          <cell r="D256">
            <v>196.439919918515</v>
          </cell>
          <cell r="E256">
            <v>24.8904166666668</v>
          </cell>
          <cell r="F256">
            <v>2.95873101030073</v>
          </cell>
        </row>
        <row r="257">
          <cell r="B257">
            <v>597.671426013591</v>
          </cell>
          <cell r="C257">
            <v>264.282183612862</v>
          </cell>
          <cell r="D257">
            <v>196.710153035001</v>
          </cell>
          <cell r="E257">
            <v>24.9213194444445</v>
          </cell>
          <cell r="F257">
            <v>2.96361966854878</v>
          </cell>
        </row>
        <row r="258">
          <cell r="B258">
            <v>601.003916280978</v>
          </cell>
          <cell r="C258">
            <v>264.857020484526</v>
          </cell>
          <cell r="D258">
            <v>196.980757898417</v>
          </cell>
          <cell r="E258">
            <v>24.9522222222223</v>
          </cell>
          <cell r="F258">
            <v>2.96851640423929</v>
          </cell>
        </row>
        <row r="259">
          <cell r="B259">
            <v>604.354987813755</v>
          </cell>
          <cell r="C259">
            <v>265.43310767668</v>
          </cell>
          <cell r="D259">
            <v>197.251735020158</v>
          </cell>
          <cell r="E259">
            <v>24.9831250000001</v>
          </cell>
          <cell r="F259">
            <v>2.97342123071846</v>
          </cell>
        </row>
        <row r="260">
          <cell r="B260">
            <v>607.724744217151</v>
          </cell>
          <cell r="C260">
            <v>266.010447908878</v>
          </cell>
          <cell r="D260">
            <v>197.523084912322</v>
          </cell>
          <cell r="E260">
            <v>25.0140277777779</v>
          </cell>
          <cell r="F260">
            <v>2.97833416135456</v>
          </cell>
        </row>
        <row r="261">
          <cell r="B261">
            <v>611.11328967408</v>
          </cell>
          <cell r="C261">
            <v>266.589043906594</v>
          </cell>
          <cell r="D261">
            <v>197.794808087713</v>
          </cell>
          <cell r="E261">
            <v>25.0449305555556</v>
          </cell>
          <cell r="F261">
            <v>2.98325520953795</v>
          </cell>
        </row>
        <row r="262">
          <cell r="B262">
            <v>614.520728948354</v>
          </cell>
          <cell r="C262">
            <v>267.168898401227</v>
          </cell>
          <cell r="D262">
            <v>198.066905059837</v>
          </cell>
          <cell r="E262">
            <v>25.0758333333334</v>
          </cell>
          <cell r="F262">
            <v>2.9881843886811</v>
          </cell>
        </row>
        <row r="263">
          <cell r="B263">
            <v>617.898974975202</v>
          </cell>
          <cell r="C263">
            <v>267.760699845458</v>
          </cell>
          <cell r="D263">
            <v>198.350618042666</v>
          </cell>
          <cell r="E263">
            <v>25.0761805555557</v>
          </cell>
          <cell r="F263">
            <v>2.99310910169973</v>
          </cell>
        </row>
        <row r="264">
          <cell r="B264">
            <v>621.295792460556</v>
          </cell>
          <cell r="C264">
            <v>268.35381217936</v>
          </cell>
          <cell r="D264">
            <v>198.634737418761</v>
          </cell>
          <cell r="E264">
            <v>25.0765277777779</v>
          </cell>
          <cell r="F264">
            <v>2.99804193095055</v>
          </cell>
        </row>
        <row r="265">
          <cell r="B265">
            <v>624.711283498538</v>
          </cell>
          <cell r="C265">
            <v>268.948238306664</v>
          </cell>
          <cell r="D265">
            <v>198.919263770245</v>
          </cell>
          <cell r="E265">
            <v>25.0768750000001</v>
          </cell>
          <cell r="F265">
            <v>3.00298288980961</v>
          </cell>
        </row>
        <row r="266">
          <cell r="B266">
            <v>628.145550744524</v>
          </cell>
          <cell r="C266">
            <v>269.543981137531</v>
          </cell>
          <cell r="D266">
            <v>199.204197680074</v>
          </cell>
          <cell r="E266">
            <v>25.0772222222223</v>
          </cell>
          <cell r="F266">
            <v>3.00793199167501</v>
          </cell>
        </row>
        <row r="267">
          <cell r="B267">
            <v>631.59869741822</v>
          </cell>
          <cell r="C267">
            <v>270.14104358857</v>
          </cell>
          <cell r="D267">
            <v>199.489539732037</v>
          </cell>
          <cell r="E267">
            <v>25.0775694444445</v>
          </cell>
          <cell r="F267">
            <v>3.01288924996692</v>
          </cell>
        </row>
        <row r="268">
          <cell r="B268">
            <v>635.070827306771</v>
          </cell>
          <cell r="C268">
            <v>270.739428582851</v>
          </cell>
          <cell r="D268">
            <v>199.775290510761</v>
          </cell>
          <cell r="E268">
            <v>25.0779166666668</v>
          </cell>
          <cell r="F268">
            <v>3.01785467812765</v>
          </cell>
        </row>
        <row r="269">
          <cell r="B269">
            <v>638.562044767878</v>
          </cell>
          <cell r="C269">
            <v>271.339139049916</v>
          </cell>
          <cell r="D269">
            <v>200.061450601712</v>
          </cell>
          <cell r="E269">
            <v>25.078263888889</v>
          </cell>
          <cell r="F269">
            <v>3.02282828962165</v>
          </cell>
        </row>
        <row r="270">
          <cell r="B270">
            <v>642.072454732934</v>
          </cell>
          <cell r="C270">
            <v>271.940177925799</v>
          </cell>
          <cell r="D270">
            <v>200.348020591191</v>
          </cell>
          <cell r="E270">
            <v>25.0786111111112</v>
          </cell>
          <cell r="F270">
            <v>3.02781009793555</v>
          </cell>
        </row>
        <row r="271">
          <cell r="B271">
            <v>645.602162710177</v>
          </cell>
          <cell r="C271">
            <v>272.542548153037</v>
          </cell>
          <cell r="D271">
            <v>200.635001066342</v>
          </cell>
          <cell r="E271">
            <v>25.0789583333334</v>
          </cell>
          <cell r="F271">
            <v>3.03280011657821</v>
          </cell>
        </row>
        <row r="272">
          <cell r="B272">
            <v>649.151274787866</v>
          </cell>
          <cell r="C272">
            <v>273.146252680685</v>
          </cell>
          <cell r="D272">
            <v>200.922392615148</v>
          </cell>
          <cell r="E272">
            <v>25.0793055555556</v>
          </cell>
          <cell r="F272">
            <v>3.03779835908079</v>
          </cell>
        </row>
        <row r="273">
          <cell r="B273">
            <v>652.719897637462</v>
          </cell>
          <cell r="C273">
            <v>273.751294464328</v>
          </cell>
          <cell r="D273">
            <v>201.210195826435</v>
          </cell>
          <cell r="E273">
            <v>25.0796527777779</v>
          </cell>
          <cell r="F273">
            <v>3.04280483899669</v>
          </cell>
        </row>
        <row r="274">
          <cell r="B274">
            <v>656.308138516842</v>
          </cell>
          <cell r="C274">
            <v>274.357676466101</v>
          </cell>
          <cell r="D274">
            <v>201.498411289872</v>
          </cell>
          <cell r="E274">
            <v>25.0800000000001</v>
          </cell>
          <cell r="F274">
            <v>3.04781956990169</v>
          </cell>
        </row>
        <row r="275">
          <cell r="B275">
            <v>659.916105273517</v>
          </cell>
          <cell r="C275">
            <v>274.973117170653</v>
          </cell>
          <cell r="D275">
            <v>201.799638495327</v>
          </cell>
          <cell r="E275">
            <v>25.0800000000001</v>
          </cell>
          <cell r="F275">
            <v>3.05285098115965</v>
          </cell>
        </row>
        <row r="276">
          <cell r="B276">
            <v>663.543906347874</v>
          </cell>
          <cell r="C276">
            <v>275.589938435303</v>
          </cell>
          <cell r="D276">
            <v>202.101316016141</v>
          </cell>
          <cell r="E276">
            <v>25.0800000000001</v>
          </cell>
          <cell r="F276">
            <v>3.05789069838804</v>
          </cell>
        </row>
        <row r="277">
          <cell r="B277">
            <v>667.19165077644</v>
          </cell>
          <cell r="C277">
            <v>276.208143356931</v>
          </cell>
          <cell r="D277">
            <v>202.403444525506</v>
          </cell>
          <cell r="E277">
            <v>25.0800000000001</v>
          </cell>
          <cell r="F277">
            <v>3.06293873529856</v>
          </cell>
        </row>
        <row r="278">
          <cell r="B278">
            <v>670.859448195152</v>
          </cell>
          <cell r="C278">
            <v>276.827735039366</v>
          </cell>
          <cell r="D278">
            <v>202.70602469762</v>
          </cell>
          <cell r="E278">
            <v>25.0800000000001</v>
          </cell>
          <cell r="F278">
            <v>3.06799510562553</v>
          </cell>
        </row>
        <row r="279">
          <cell r="B279">
            <v>674.54740884266</v>
          </cell>
          <cell r="C279">
            <v>277.448716593396</v>
          </cell>
          <cell r="D279">
            <v>203.009057207692</v>
          </cell>
          <cell r="E279">
            <v>25.0800000000001</v>
          </cell>
          <cell r="F279">
            <v>3.07305982312594</v>
          </cell>
        </row>
        <row r="280">
          <cell r="B280">
            <v>678.255643563632</v>
          </cell>
          <cell r="C280">
            <v>278.07109113679</v>
          </cell>
          <cell r="D280">
            <v>203.312542731937</v>
          </cell>
          <cell r="E280">
            <v>25.0800000000001</v>
          </cell>
          <cell r="F280">
            <v>3.07813290157952</v>
          </cell>
        </row>
        <row r="281">
          <cell r="B281">
            <v>681.984263812095</v>
          </cell>
          <cell r="C281">
            <v>278.694861794309</v>
          </cell>
          <cell r="D281">
            <v>203.616481947581</v>
          </cell>
          <cell r="E281">
            <v>25.0800000000001</v>
          </cell>
          <cell r="F281">
            <v>3.0832143547887</v>
          </cell>
        </row>
        <row r="282">
          <cell r="B282">
            <v>685.733381654774</v>
          </cell>
          <cell r="C282">
            <v>279.320031697725</v>
          </cell>
          <cell r="D282">
            <v>203.920875532866</v>
          </cell>
          <cell r="E282">
            <v>25.0800000000001</v>
          </cell>
          <cell r="F282">
            <v>3.08830419657873</v>
          </cell>
        </row>
        <row r="283">
          <cell r="B283">
            <v>689.50310977447</v>
          </cell>
          <cell r="C283">
            <v>279.946603985833</v>
          </cell>
          <cell r="D283">
            <v>204.225724167044</v>
          </cell>
          <cell r="E283">
            <v>25.0800000000001</v>
          </cell>
          <cell r="F283">
            <v>3.09340244079768</v>
          </cell>
        </row>
        <row r="284">
          <cell r="B284">
            <v>693.293561473441</v>
          </cell>
          <cell r="C284">
            <v>280.574581804471</v>
          </cell>
          <cell r="D284">
            <v>204.531028530384</v>
          </cell>
          <cell r="E284">
            <v>25.0800000000001</v>
          </cell>
          <cell r="F284">
            <v>3.09850910131647</v>
          </cell>
        </row>
        <row r="285">
          <cell r="B285">
            <v>697.10485067681</v>
          </cell>
          <cell r="C285">
            <v>281.203968306534</v>
          </cell>
          <cell r="D285">
            <v>204.836789304172</v>
          </cell>
          <cell r="E285">
            <v>25.0800000000001</v>
          </cell>
          <cell r="F285">
            <v>3.10362419202893</v>
          </cell>
        </row>
        <row r="286">
          <cell r="B286">
            <v>700.937091935988</v>
          </cell>
          <cell r="C286">
            <v>281.834766651987</v>
          </cell>
          <cell r="D286">
            <v>205.143007170713</v>
          </cell>
          <cell r="E286">
            <v>25.0800000000001</v>
          </cell>
          <cell r="F286">
            <v>3.10874772685181</v>
          </cell>
        </row>
        <row r="287">
          <cell r="B287">
            <v>704.790400432116</v>
          </cell>
          <cell r="C287">
            <v>282.480056369098</v>
          </cell>
          <cell r="D287">
            <v>205.464811657908</v>
          </cell>
          <cell r="E287">
            <v>25.0800000000001</v>
          </cell>
          <cell r="F287">
            <v>3.11389218833154</v>
          </cell>
        </row>
        <row r="288">
          <cell r="B288">
            <v>708.66489197953</v>
          </cell>
          <cell r="C288">
            <v>283.126823543458</v>
          </cell>
          <cell r="D288">
            <v>205.78712095455</v>
          </cell>
          <cell r="E288">
            <v>25.0800000000001</v>
          </cell>
          <cell r="F288">
            <v>3.11904516304111</v>
          </cell>
        </row>
        <row r="289">
          <cell r="B289">
            <v>712.560683029238</v>
          </cell>
          <cell r="C289">
            <v>283.775071557857</v>
          </cell>
          <cell r="D289">
            <v>206.109935852525</v>
          </cell>
          <cell r="E289">
            <v>25.0800000000001</v>
          </cell>
          <cell r="F289">
            <v>3.12420666506851</v>
          </cell>
        </row>
        <row r="290">
          <cell r="B290">
            <v>716.477890672423</v>
          </cell>
          <cell r="C290">
            <v>284.424803802831</v>
          </cell>
          <cell r="D290">
            <v>206.433257144962</v>
          </cell>
          <cell r="E290">
            <v>25.0800000000001</v>
          </cell>
          <cell r="F290">
            <v>3.12937670852503</v>
          </cell>
        </row>
        <row r="291">
          <cell r="B291">
            <v>720.416632643961</v>
          </cell>
          <cell r="C291">
            <v>285.076023676679</v>
          </cell>
          <cell r="D291">
            <v>206.757085626233</v>
          </cell>
          <cell r="E291">
            <v>25.0800000000001</v>
          </cell>
          <cell r="F291">
            <v>3.13455530754531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Assm"/>
      <sheetName val="Cashflow"/>
      <sheetName val="Returns"/>
      <sheetName val="EINC"/>
      <sheetName val="Ref1"/>
      <sheetName val="MMBTU"/>
      <sheetName val="EPE Revenues"/>
      <sheetName val="SCG Commodity"/>
      <sheetName val="Transportation"/>
      <sheetName val="XNPV"/>
      <sheetName val="Escalation"/>
    </sheetNames>
    <sheetDataSet>
      <sheetData sheetId="0"/>
      <sheetData sheetId="1"/>
      <sheetData sheetId="2"/>
      <sheetData sheetId="3"/>
      <sheetData sheetId="4"/>
      <sheetData sheetId="5"/>
      <sheetData sheetId="6">
        <row r="35">
          <cell r="U35">
            <v>127419.274092616</v>
          </cell>
        </row>
        <row r="36">
          <cell r="U36">
            <v>709907.384230288</v>
          </cell>
        </row>
        <row r="37">
          <cell r="U37">
            <v>1485344.68085106</v>
          </cell>
        </row>
        <row r="38">
          <cell r="U38">
            <v>2347427.08385482</v>
          </cell>
        </row>
        <row r="39">
          <cell r="U39">
            <v>2370504.1301627</v>
          </cell>
        </row>
        <row r="40">
          <cell r="U40">
            <v>2095485.40475594</v>
          </cell>
        </row>
        <row r="41">
          <cell r="U41">
            <v>2027889.10137672</v>
          </cell>
        </row>
        <row r="42">
          <cell r="U42">
            <v>2095485.40475594</v>
          </cell>
        </row>
        <row r="43">
          <cell r="U43">
            <v>2027889.10137672</v>
          </cell>
        </row>
        <row r="44">
          <cell r="U44">
            <v>2095485.40475594</v>
          </cell>
        </row>
        <row r="45">
          <cell r="U45">
            <v>2095485.40475594</v>
          </cell>
        </row>
        <row r="46">
          <cell r="U46">
            <v>1892696.49461827</v>
          </cell>
        </row>
        <row r="47">
          <cell r="U47">
            <v>2095485.40475594</v>
          </cell>
        </row>
        <row r="48">
          <cell r="U48">
            <v>2027889.10137672</v>
          </cell>
        </row>
        <row r="49">
          <cell r="U49">
            <v>2095485.40475594</v>
          </cell>
        </row>
        <row r="50">
          <cell r="U50">
            <v>2027889.10137672</v>
          </cell>
        </row>
        <row r="51">
          <cell r="U51">
            <v>2095485.40475594</v>
          </cell>
        </row>
        <row r="52">
          <cell r="U52">
            <v>2095485.40475594</v>
          </cell>
        </row>
        <row r="53">
          <cell r="U53">
            <v>2027889.10137672</v>
          </cell>
        </row>
        <row r="54">
          <cell r="U54">
            <v>2095485.40475594</v>
          </cell>
        </row>
        <row r="55">
          <cell r="U55">
            <v>2027889.10137672</v>
          </cell>
        </row>
        <row r="56">
          <cell r="U56">
            <v>2095485.40475594</v>
          </cell>
        </row>
        <row r="57">
          <cell r="U57">
            <v>2095485.40475594</v>
          </cell>
        </row>
        <row r="58">
          <cell r="U58">
            <v>1892696.49461827</v>
          </cell>
        </row>
        <row r="59">
          <cell r="U59">
            <v>2095485.40475594</v>
          </cell>
        </row>
        <row r="60">
          <cell r="U60">
            <v>2027889.10137672</v>
          </cell>
        </row>
        <row r="61">
          <cell r="U61">
            <v>2095485.40475594</v>
          </cell>
        </row>
        <row r="62">
          <cell r="U62">
            <v>2027889.10137672</v>
          </cell>
        </row>
        <row r="63">
          <cell r="U63">
            <v>2095485.40475594</v>
          </cell>
        </row>
        <row r="64">
          <cell r="U64">
            <v>2095485.40475594</v>
          </cell>
        </row>
        <row r="65">
          <cell r="U65">
            <v>2027889.10137672</v>
          </cell>
        </row>
        <row r="66">
          <cell r="U66">
            <v>2095485.40475594</v>
          </cell>
        </row>
        <row r="67">
          <cell r="U67">
            <v>2027889.10137672</v>
          </cell>
        </row>
        <row r="68">
          <cell r="U68">
            <v>2095485.40475594</v>
          </cell>
        </row>
        <row r="69">
          <cell r="U69">
            <v>2095485.40475594</v>
          </cell>
        </row>
        <row r="70">
          <cell r="U70">
            <v>1960292.7979975</v>
          </cell>
        </row>
        <row r="71">
          <cell r="U71">
            <v>2095485.40475594</v>
          </cell>
        </row>
        <row r="72">
          <cell r="U72">
            <v>2027889.10137672</v>
          </cell>
        </row>
        <row r="73">
          <cell r="U73">
            <v>2095485.40475594</v>
          </cell>
        </row>
        <row r="74">
          <cell r="U74">
            <v>2027889.10137672</v>
          </cell>
        </row>
        <row r="75">
          <cell r="U75">
            <v>2095485.40475594</v>
          </cell>
        </row>
        <row r="76">
          <cell r="U76">
            <v>2095485.40475594</v>
          </cell>
        </row>
        <row r="77">
          <cell r="U77">
            <v>2027889.10137672</v>
          </cell>
        </row>
        <row r="78">
          <cell r="U78">
            <v>2095485.40475594</v>
          </cell>
        </row>
        <row r="79">
          <cell r="U79">
            <v>2027889.10137672</v>
          </cell>
        </row>
        <row r="80">
          <cell r="U80">
            <v>2095485.40475594</v>
          </cell>
        </row>
        <row r="81">
          <cell r="U81">
            <v>2095485.40475594</v>
          </cell>
        </row>
        <row r="82">
          <cell r="U82">
            <v>1892696.49461827</v>
          </cell>
        </row>
        <row r="83">
          <cell r="U83">
            <v>2095485.40475594</v>
          </cell>
        </row>
        <row r="84">
          <cell r="U84">
            <v>2027889.10137672</v>
          </cell>
        </row>
        <row r="85">
          <cell r="U85">
            <v>2095485.40475594</v>
          </cell>
        </row>
        <row r="86">
          <cell r="U86">
            <v>2027889.10137672</v>
          </cell>
        </row>
        <row r="87">
          <cell r="U87">
            <v>2095485.40475594</v>
          </cell>
        </row>
        <row r="88">
          <cell r="U88">
            <v>2095485.40475594</v>
          </cell>
        </row>
        <row r="89">
          <cell r="U89">
            <v>2027889.10137672</v>
          </cell>
        </row>
        <row r="90">
          <cell r="U90">
            <v>2095485.40475594</v>
          </cell>
        </row>
        <row r="91">
          <cell r="U91">
            <v>2027889.10137672</v>
          </cell>
        </row>
        <row r="92">
          <cell r="U92">
            <v>2095485.40475594</v>
          </cell>
        </row>
        <row r="93">
          <cell r="U93">
            <v>2095485.40475594</v>
          </cell>
        </row>
        <row r="94">
          <cell r="U94">
            <v>1892696.49461827</v>
          </cell>
        </row>
        <row r="95">
          <cell r="U95">
            <v>2095485.40475594</v>
          </cell>
        </row>
        <row r="96">
          <cell r="U96">
            <v>2027889.10137672</v>
          </cell>
        </row>
        <row r="97">
          <cell r="U97">
            <v>2095485.40475594</v>
          </cell>
        </row>
        <row r="98">
          <cell r="U98">
            <v>2027889.10137672</v>
          </cell>
        </row>
        <row r="99">
          <cell r="U99">
            <v>2095485.40475594</v>
          </cell>
        </row>
        <row r="100">
          <cell r="U100">
            <v>2095485.40475594</v>
          </cell>
        </row>
        <row r="101">
          <cell r="U101">
            <v>2027889.10137672</v>
          </cell>
        </row>
        <row r="102">
          <cell r="U102">
            <v>2095485.40475594</v>
          </cell>
        </row>
        <row r="103">
          <cell r="U103">
            <v>2027889.10137672</v>
          </cell>
        </row>
        <row r="104">
          <cell r="U104">
            <v>2095485.40475594</v>
          </cell>
        </row>
        <row r="105">
          <cell r="U105">
            <v>2095485.40475594</v>
          </cell>
        </row>
        <row r="106">
          <cell r="U106">
            <v>1892696.49461827</v>
          </cell>
        </row>
        <row r="107">
          <cell r="U107">
            <v>2095485.40475594</v>
          </cell>
        </row>
        <row r="108">
          <cell r="U108">
            <v>2027889.10137672</v>
          </cell>
        </row>
        <row r="109">
          <cell r="U109">
            <v>2095485.40475594</v>
          </cell>
        </row>
        <row r="110">
          <cell r="U110">
            <v>2027889.10137672</v>
          </cell>
        </row>
        <row r="111">
          <cell r="U111">
            <v>2095485.40475594</v>
          </cell>
        </row>
        <row r="112">
          <cell r="U112">
            <v>2095485.40475594</v>
          </cell>
        </row>
        <row r="113">
          <cell r="U113">
            <v>2027889.10137672</v>
          </cell>
        </row>
        <row r="114">
          <cell r="U114">
            <v>2095485.40475594</v>
          </cell>
        </row>
        <row r="115">
          <cell r="U115">
            <v>2027889.10137672</v>
          </cell>
        </row>
        <row r="116">
          <cell r="U116">
            <v>2095485.40475594</v>
          </cell>
        </row>
        <row r="117">
          <cell r="U117">
            <v>2095485.40475594</v>
          </cell>
        </row>
        <row r="118">
          <cell r="U118">
            <v>1960292.7979975</v>
          </cell>
        </row>
        <row r="119">
          <cell r="U119">
            <v>2095485.40475594</v>
          </cell>
        </row>
        <row r="120">
          <cell r="U120">
            <v>2027889.10137672</v>
          </cell>
        </row>
        <row r="121">
          <cell r="U121">
            <v>2095485.40475594</v>
          </cell>
        </row>
        <row r="122">
          <cell r="U122">
            <v>2027889.10137672</v>
          </cell>
        </row>
        <row r="123">
          <cell r="U123">
            <v>2095485.40475594</v>
          </cell>
        </row>
        <row r="124">
          <cell r="U124">
            <v>2095485.40475594</v>
          </cell>
        </row>
        <row r="125">
          <cell r="U125">
            <v>2027889.10137672</v>
          </cell>
        </row>
        <row r="126">
          <cell r="U126">
            <v>2095485.40475594</v>
          </cell>
        </row>
        <row r="127">
          <cell r="U127">
            <v>2027889.10137672</v>
          </cell>
        </row>
        <row r="128">
          <cell r="U128">
            <v>2095485.40475594</v>
          </cell>
        </row>
        <row r="129">
          <cell r="U129">
            <v>2095485.40475594</v>
          </cell>
        </row>
        <row r="130">
          <cell r="U130">
            <v>1892696.49461827</v>
          </cell>
        </row>
        <row r="131">
          <cell r="U131">
            <v>2095485.40475594</v>
          </cell>
        </row>
        <row r="132">
          <cell r="U132">
            <v>2027889.10137672</v>
          </cell>
        </row>
        <row r="133">
          <cell r="U133">
            <v>2095485.40475594</v>
          </cell>
        </row>
        <row r="134">
          <cell r="U134">
            <v>2027889.10137672</v>
          </cell>
        </row>
        <row r="135">
          <cell r="U135">
            <v>2095485.40475594</v>
          </cell>
        </row>
        <row r="136">
          <cell r="U136">
            <v>2095485.40475594</v>
          </cell>
        </row>
        <row r="137">
          <cell r="U137">
            <v>2027889.10137672</v>
          </cell>
        </row>
        <row r="138">
          <cell r="U138">
            <v>2095485.40475594</v>
          </cell>
        </row>
        <row r="139">
          <cell r="U139">
            <v>2027889.10137672</v>
          </cell>
        </row>
        <row r="140">
          <cell r="U140">
            <v>2095485.40475594</v>
          </cell>
        </row>
        <row r="141">
          <cell r="U141">
            <v>2095485.40475594</v>
          </cell>
        </row>
        <row r="142">
          <cell r="U142">
            <v>1892696.49461827</v>
          </cell>
        </row>
        <row r="143">
          <cell r="U143">
            <v>2095485.40475594</v>
          </cell>
        </row>
        <row r="144">
          <cell r="U144">
            <v>2027889.10137672</v>
          </cell>
        </row>
        <row r="145">
          <cell r="U145">
            <v>2095485.40475594</v>
          </cell>
        </row>
        <row r="146">
          <cell r="U146">
            <v>2027889.10137672</v>
          </cell>
        </row>
        <row r="147">
          <cell r="U147">
            <v>2095485.40475594</v>
          </cell>
        </row>
        <row r="148">
          <cell r="U148">
            <v>2095485.40475594</v>
          </cell>
        </row>
        <row r="149">
          <cell r="U149">
            <v>2027889.10137672</v>
          </cell>
        </row>
        <row r="150">
          <cell r="U150">
            <v>2095485.40475594</v>
          </cell>
        </row>
        <row r="151">
          <cell r="U151">
            <v>2027889.10137672</v>
          </cell>
        </row>
        <row r="152">
          <cell r="U152">
            <v>2095485.40475594</v>
          </cell>
        </row>
        <row r="153">
          <cell r="U153">
            <v>2095485.40475594</v>
          </cell>
        </row>
        <row r="154">
          <cell r="U154">
            <v>1892696.49461827</v>
          </cell>
        </row>
        <row r="155">
          <cell r="U155">
            <v>2095485.40475594</v>
          </cell>
        </row>
        <row r="156">
          <cell r="U156">
            <v>2027889.10137672</v>
          </cell>
        </row>
        <row r="157">
          <cell r="U157">
            <v>2095485.40475594</v>
          </cell>
        </row>
        <row r="158">
          <cell r="U158">
            <v>2027889.10137672</v>
          </cell>
        </row>
        <row r="159">
          <cell r="U159">
            <v>2095485.40475594</v>
          </cell>
        </row>
        <row r="160">
          <cell r="U160">
            <v>2095485.40475594</v>
          </cell>
        </row>
        <row r="161">
          <cell r="U161">
            <v>2027889.10137672</v>
          </cell>
        </row>
        <row r="162">
          <cell r="U162">
            <v>2095485.40475594</v>
          </cell>
        </row>
        <row r="163">
          <cell r="U163">
            <v>2027889.10137672</v>
          </cell>
        </row>
        <row r="164">
          <cell r="U164">
            <v>2095485.40475594</v>
          </cell>
        </row>
        <row r="165">
          <cell r="U165">
            <v>2095485.40475594</v>
          </cell>
        </row>
        <row r="166">
          <cell r="U166">
            <v>1960292.7979975</v>
          </cell>
        </row>
        <row r="167">
          <cell r="U167">
            <v>2095485.40475594</v>
          </cell>
        </row>
        <row r="168">
          <cell r="U168">
            <v>2027889.10137672</v>
          </cell>
        </row>
        <row r="169">
          <cell r="U169">
            <v>2095485.40475594</v>
          </cell>
        </row>
        <row r="170">
          <cell r="U170">
            <v>2027889.10137672</v>
          </cell>
        </row>
        <row r="171">
          <cell r="U171">
            <v>2095485.40475594</v>
          </cell>
        </row>
        <row r="172">
          <cell r="U172">
            <v>2095485.40475594</v>
          </cell>
        </row>
        <row r="173">
          <cell r="U173">
            <v>2027889.10137672</v>
          </cell>
        </row>
        <row r="174">
          <cell r="U174">
            <v>2095485.40475594</v>
          </cell>
        </row>
        <row r="175">
          <cell r="U175">
            <v>2027889.10137672</v>
          </cell>
        </row>
        <row r="176">
          <cell r="U176">
            <v>2095485.40475594</v>
          </cell>
        </row>
        <row r="177">
          <cell r="U177">
            <v>2095485.40475594</v>
          </cell>
        </row>
        <row r="178">
          <cell r="U178">
            <v>1892696.49461827</v>
          </cell>
        </row>
        <row r="179">
          <cell r="U179">
            <v>2095485.40475594</v>
          </cell>
        </row>
        <row r="180">
          <cell r="U180">
            <v>2027889.10137672</v>
          </cell>
        </row>
        <row r="181">
          <cell r="U181">
            <v>2095485.40475594</v>
          </cell>
        </row>
        <row r="182">
          <cell r="U182">
            <v>2027889.10137672</v>
          </cell>
        </row>
        <row r="183">
          <cell r="U183">
            <v>2095485.40475594</v>
          </cell>
        </row>
        <row r="184">
          <cell r="U184">
            <v>2095485.40475594</v>
          </cell>
        </row>
        <row r="185">
          <cell r="U185">
            <v>2027889.10137672</v>
          </cell>
        </row>
        <row r="186">
          <cell r="U186">
            <v>2095485.40475594</v>
          </cell>
        </row>
        <row r="187">
          <cell r="U187">
            <v>2027889.10137672</v>
          </cell>
        </row>
        <row r="188">
          <cell r="U188">
            <v>2095485.40475594</v>
          </cell>
        </row>
        <row r="189">
          <cell r="U189">
            <v>2095485.40475594</v>
          </cell>
        </row>
        <row r="190">
          <cell r="U190">
            <v>1892696.49461827</v>
          </cell>
        </row>
        <row r="191">
          <cell r="U191">
            <v>2095485.40475594</v>
          </cell>
        </row>
        <row r="192">
          <cell r="U192">
            <v>2027889.10137672</v>
          </cell>
        </row>
        <row r="193">
          <cell r="U193">
            <v>2095485.40475594</v>
          </cell>
        </row>
        <row r="194">
          <cell r="U194">
            <v>2027889.10137672</v>
          </cell>
        </row>
        <row r="195">
          <cell r="U195">
            <v>2095485.40475594</v>
          </cell>
        </row>
        <row r="196">
          <cell r="U196">
            <v>2095485.40475594</v>
          </cell>
        </row>
        <row r="197">
          <cell r="U197">
            <v>2027889.10137672</v>
          </cell>
        </row>
        <row r="198">
          <cell r="U198">
            <v>2095485.40475594</v>
          </cell>
        </row>
        <row r="199">
          <cell r="U199">
            <v>2027889.10137672</v>
          </cell>
        </row>
        <row r="200">
          <cell r="U200">
            <v>2095485.40475594</v>
          </cell>
        </row>
        <row r="201">
          <cell r="U201">
            <v>2095485.40475594</v>
          </cell>
        </row>
        <row r="202">
          <cell r="U202">
            <v>1892696.49461827</v>
          </cell>
        </row>
        <row r="203">
          <cell r="U203">
            <v>2095485.40475594</v>
          </cell>
        </row>
        <row r="204">
          <cell r="U204">
            <v>2027889.10137672</v>
          </cell>
        </row>
        <row r="205">
          <cell r="U205">
            <v>2095485.40475594</v>
          </cell>
        </row>
        <row r="206">
          <cell r="U206">
            <v>2027889.10137672</v>
          </cell>
        </row>
        <row r="207">
          <cell r="U207">
            <v>2095485.40475594</v>
          </cell>
        </row>
        <row r="208">
          <cell r="U208">
            <v>2095485.40475594</v>
          </cell>
        </row>
        <row r="209">
          <cell r="U209">
            <v>2027889.10137672</v>
          </cell>
        </row>
        <row r="210">
          <cell r="U210">
            <v>2095485.40475594</v>
          </cell>
        </row>
        <row r="211">
          <cell r="U211">
            <v>2027889.10137672</v>
          </cell>
        </row>
        <row r="212">
          <cell r="U212">
            <v>2095485.40475594</v>
          </cell>
        </row>
        <row r="213">
          <cell r="U213">
            <v>2095485.40475594</v>
          </cell>
        </row>
        <row r="214">
          <cell r="U214">
            <v>1960292.7979975</v>
          </cell>
        </row>
        <row r="215">
          <cell r="U215">
            <v>2095485.40475594</v>
          </cell>
        </row>
        <row r="216">
          <cell r="U216">
            <v>2027889.10137672</v>
          </cell>
        </row>
        <row r="217">
          <cell r="U217">
            <v>2095485.40475594</v>
          </cell>
        </row>
        <row r="218">
          <cell r="U218">
            <v>2027889.10137672</v>
          </cell>
        </row>
        <row r="219">
          <cell r="U219">
            <v>2095485.40475594</v>
          </cell>
        </row>
        <row r="220">
          <cell r="U220">
            <v>2095485.40475594</v>
          </cell>
        </row>
        <row r="221">
          <cell r="U221">
            <v>2027889.10137672</v>
          </cell>
        </row>
        <row r="222">
          <cell r="U222">
            <v>2095485.40475594</v>
          </cell>
        </row>
        <row r="223">
          <cell r="U223">
            <v>2027889.10137672</v>
          </cell>
        </row>
        <row r="224">
          <cell r="U224">
            <v>2095485.40475594</v>
          </cell>
        </row>
        <row r="225">
          <cell r="U225">
            <v>2095485.40475594</v>
          </cell>
        </row>
        <row r="226">
          <cell r="U226">
            <v>1892696.49461827</v>
          </cell>
        </row>
        <row r="227">
          <cell r="U227">
            <v>2095485.40475594</v>
          </cell>
        </row>
        <row r="228">
          <cell r="U228">
            <v>2027889.10137672</v>
          </cell>
        </row>
        <row r="229">
          <cell r="U229">
            <v>2095485.40475594</v>
          </cell>
        </row>
        <row r="230">
          <cell r="U230">
            <v>2027889.10137672</v>
          </cell>
        </row>
        <row r="231">
          <cell r="U231">
            <v>2095485.40475594</v>
          </cell>
        </row>
        <row r="232">
          <cell r="U232">
            <v>2095485.40475594</v>
          </cell>
        </row>
        <row r="233">
          <cell r="U233">
            <v>2027889.10137672</v>
          </cell>
        </row>
        <row r="234">
          <cell r="U234">
            <v>2095485.40475594</v>
          </cell>
        </row>
        <row r="235">
          <cell r="U235">
            <v>2027889.10137672</v>
          </cell>
        </row>
        <row r="236">
          <cell r="U236">
            <v>2095485.40475594</v>
          </cell>
        </row>
        <row r="237">
          <cell r="U237">
            <v>2095485.40475594</v>
          </cell>
        </row>
        <row r="238">
          <cell r="U238">
            <v>1892696.49461827</v>
          </cell>
        </row>
        <row r="239">
          <cell r="U239">
            <v>2095485.40475594</v>
          </cell>
        </row>
        <row r="240">
          <cell r="U240">
            <v>2027889.10137672</v>
          </cell>
        </row>
        <row r="241">
          <cell r="U241">
            <v>2095485.40475594</v>
          </cell>
        </row>
        <row r="242">
          <cell r="U242">
            <v>2027889.10137672</v>
          </cell>
        </row>
        <row r="243">
          <cell r="U243">
            <v>2095485.40475594</v>
          </cell>
        </row>
        <row r="244">
          <cell r="U244">
            <v>2095485.40475594</v>
          </cell>
        </row>
        <row r="245">
          <cell r="U245">
            <v>2027889.10137672</v>
          </cell>
        </row>
        <row r="246">
          <cell r="U246">
            <v>2095485.40475594</v>
          </cell>
        </row>
        <row r="247">
          <cell r="U247">
            <v>2027889.10137672</v>
          </cell>
        </row>
        <row r="248">
          <cell r="U248">
            <v>2095485.40475594</v>
          </cell>
        </row>
        <row r="249">
          <cell r="U249">
            <v>2095485.40475594</v>
          </cell>
        </row>
        <row r="250">
          <cell r="U250">
            <v>1892696.49461827</v>
          </cell>
        </row>
        <row r="251">
          <cell r="U251">
            <v>2095485.40475594</v>
          </cell>
        </row>
        <row r="252">
          <cell r="U252">
            <v>2027889.10137672</v>
          </cell>
        </row>
        <row r="253">
          <cell r="U253">
            <v>0</v>
          </cell>
        </row>
        <row r="254">
          <cell r="U254">
            <v>0</v>
          </cell>
        </row>
        <row r="255">
          <cell r="U255">
            <v>0</v>
          </cell>
        </row>
        <row r="256">
          <cell r="U256">
            <v>0</v>
          </cell>
        </row>
        <row r="257">
          <cell r="U257">
            <v>0</v>
          </cell>
        </row>
        <row r="258">
          <cell r="U258">
            <v>0</v>
          </cell>
        </row>
        <row r="259">
          <cell r="U259">
            <v>0</v>
          </cell>
        </row>
        <row r="260">
          <cell r="U260">
            <v>0</v>
          </cell>
        </row>
        <row r="261">
          <cell r="U261">
            <v>0</v>
          </cell>
        </row>
        <row r="262">
          <cell r="U262">
            <v>0</v>
          </cell>
        </row>
        <row r="263">
          <cell r="U263">
            <v>0</v>
          </cell>
        </row>
        <row r="264">
          <cell r="U264">
            <v>0</v>
          </cell>
        </row>
        <row r="265">
          <cell r="U265">
            <v>0</v>
          </cell>
        </row>
        <row r="266">
          <cell r="U266">
            <v>0</v>
          </cell>
        </row>
        <row r="268">
          <cell r="U268">
            <v>445199841.057322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4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50.7"/>
    <col collapsed="false" customWidth="true" hidden="false" outlineLevel="0" max="3" min="3" style="1" width="12.7"/>
    <col collapsed="false" customWidth="false" hidden="false" outlineLevel="0" max="257" min="4" style="1" width="9.14"/>
  </cols>
  <sheetData>
    <row r="1" customFormat="false" ht="15.75" hidden="false" customHeight="false" outlineLevel="0" collapsed="false">
      <c r="B1" s="2"/>
      <c r="C1" s="3"/>
    </row>
    <row r="2" customFormat="false" ht="18" hidden="false" customHeight="false" outlineLevel="0" collapsed="false">
      <c r="B2" s="4" t="s">
        <v>0</v>
      </c>
      <c r="C2" s="4"/>
    </row>
    <row r="3" customFormat="false" ht="15.75" hidden="false" customHeight="false" outlineLevel="0" collapsed="false">
      <c r="B3" s="5" t="s">
        <v>1</v>
      </c>
      <c r="C3" s="5"/>
    </row>
    <row r="4" customFormat="false" ht="15" hidden="false" customHeight="false" outlineLevel="0" collapsed="false">
      <c r="B4" s="6" t="s">
        <v>2</v>
      </c>
      <c r="C4" s="6"/>
    </row>
    <row r="6" customFormat="false" ht="15" hidden="false" customHeight="false" outlineLevel="0" collapsed="false">
      <c r="A6" s="7"/>
      <c r="B6" s="8" t="s">
        <v>3</v>
      </c>
      <c r="C6" s="8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</row>
    <row r="7" customFormat="false" ht="15" hidden="false" customHeight="false" outlineLevel="0" collapsed="false">
      <c r="A7" s="7"/>
      <c r="B7" s="9"/>
      <c r="C7" s="10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</row>
    <row r="8" customFormat="false" ht="15.75" hidden="false" customHeight="false" outlineLevel="0" collapsed="false">
      <c r="B8" s="11" t="s">
        <v>4</v>
      </c>
      <c r="C8" s="11"/>
    </row>
    <row r="10" customFormat="false" ht="12.75" hidden="false" customHeight="false" outlineLevel="0" collapsed="false">
      <c r="C10" s="12" t="s">
        <v>5</v>
      </c>
    </row>
    <row r="11" customFormat="false" ht="12.75" hidden="false" customHeight="false" outlineLevel="0" collapsed="false">
      <c r="B11" s="1" t="s">
        <v>6</v>
      </c>
      <c r="C11" s="13" t="n">
        <v>1</v>
      </c>
    </row>
    <row r="12" customFormat="false" ht="12.75" hidden="false" customHeight="false" outlineLevel="0" collapsed="false">
      <c r="B12" s="1" t="s">
        <v>7</v>
      </c>
      <c r="C12" s="13" t="s">
        <v>8</v>
      </c>
    </row>
    <row r="13" customFormat="false" ht="12.75" hidden="false" customHeight="false" outlineLevel="0" collapsed="false">
      <c r="B13" s="1" t="s">
        <v>9</v>
      </c>
      <c r="C13" s="13" t="s">
        <v>10</v>
      </c>
    </row>
    <row r="14" customFormat="false" ht="12.75" hidden="false" customHeight="false" outlineLevel="0" collapsed="false">
      <c r="B14" s="1" t="s">
        <v>11</v>
      </c>
      <c r="C14" s="13" t="s">
        <v>12</v>
      </c>
    </row>
    <row r="15" customFormat="false" ht="12.75" hidden="false" customHeight="false" outlineLevel="0" collapsed="false">
      <c r="B15" s="1" t="s">
        <v>13</v>
      </c>
      <c r="C15" s="13" t="s">
        <v>14</v>
      </c>
    </row>
    <row r="16" customFormat="false" ht="12.75" hidden="false" customHeight="false" outlineLevel="0" collapsed="false">
      <c r="B16" s="1" t="s">
        <v>15</v>
      </c>
      <c r="C16" s="13" t="s">
        <v>16</v>
      </c>
    </row>
    <row r="17" customFormat="false" ht="12.75" hidden="false" customHeight="false" outlineLevel="0" collapsed="false">
      <c r="B17" s="1" t="s">
        <v>17</v>
      </c>
      <c r="C17" s="13" t="s">
        <v>18</v>
      </c>
    </row>
    <row r="18" customFormat="false" ht="12.75" hidden="false" customHeight="false" outlineLevel="0" collapsed="false">
      <c r="B18" s="1" t="s">
        <v>19</v>
      </c>
      <c r="C18" s="13" t="s">
        <v>20</v>
      </c>
    </row>
    <row r="19" customFormat="false" ht="12.75" hidden="false" customHeight="false" outlineLevel="0" collapsed="false">
      <c r="B19" s="1" t="s">
        <v>21</v>
      </c>
      <c r="C19" s="13" t="s">
        <v>22</v>
      </c>
    </row>
    <row r="20" customFormat="false" ht="12.75" hidden="false" customHeight="false" outlineLevel="0" collapsed="false">
      <c r="B20" s="1" t="s">
        <v>23</v>
      </c>
      <c r="C20" s="13" t="s">
        <v>24</v>
      </c>
    </row>
    <row r="21" customFormat="false" ht="12.75" hidden="false" customHeight="false" outlineLevel="0" collapsed="false">
      <c r="B21" s="1" t="s">
        <v>25</v>
      </c>
      <c r="C21" s="13" t="s">
        <v>26</v>
      </c>
    </row>
    <row r="22" customFormat="false" ht="12.75" hidden="false" customHeight="false" outlineLevel="0" collapsed="false">
      <c r="B22" s="1" t="s">
        <v>27</v>
      </c>
      <c r="C22" s="13" t="s">
        <v>28</v>
      </c>
    </row>
    <row r="23" customFormat="false" ht="12.75" hidden="false" customHeight="false" outlineLevel="0" collapsed="false">
      <c r="B23" s="1" t="s">
        <v>29</v>
      </c>
      <c r="C23" s="13" t="s">
        <v>30</v>
      </c>
    </row>
    <row r="24" customFormat="false" ht="12.75" hidden="false" customHeight="false" outlineLevel="0" collapsed="false">
      <c r="B24" s="1" t="s">
        <v>31</v>
      </c>
      <c r="C24" s="13" t="s">
        <v>32</v>
      </c>
    </row>
    <row r="26" customFormat="false" ht="12.75" hidden="false" customHeight="false" outlineLevel="0" collapsed="false">
      <c r="B26" s="1" t="s">
        <v>33</v>
      </c>
    </row>
  </sheetData>
  <mergeCells count="5">
    <mergeCell ref="B2:C2"/>
    <mergeCell ref="B3:C3"/>
    <mergeCell ref="B4:C4"/>
    <mergeCell ref="B6:C6"/>
    <mergeCell ref="B8:C8"/>
  </mergeCells>
  <printOptions headings="false" gridLines="false" gridLinesSet="true" horizontalCentered="true" verticalCentered="false"/>
  <pageMargins left="0.25" right="0.25" top="1.25" bottom="0.7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Italic"Confidential</oddHeader>
    <oddFooter>&amp;L&amp;"Arial,Italic"Structurer: GLG
Directory: dev_fin/cemat/newexcel/(model date)
Filename: &amp;F
Tabname: &amp;A&amp;R&amp;"Arial,Italic"Date: &amp;D
Time: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.7"/>
    <col collapsed="false" customWidth="true" hidden="false" outlineLevel="0" max="2" min="2" style="39" width="40.7"/>
    <col collapsed="false" customWidth="false" hidden="false" outlineLevel="0" max="4" min="3" style="1" width="9.14"/>
    <col collapsed="false" customWidth="true" hidden="false" outlineLevel="0" max="26" min="5" style="576" width="10.71"/>
    <col collapsed="false" customWidth="true" hidden="false" outlineLevel="0" max="27" min="27" style="47" width="12.7"/>
    <col collapsed="false" customWidth="false" hidden="false" outlineLevel="0" max="257" min="28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5"/>
      <c r="F1" s="415"/>
      <c r="G1" s="415"/>
      <c r="H1" s="416"/>
      <c r="I1" s="415"/>
      <c r="J1" s="415"/>
      <c r="K1" s="417"/>
      <c r="L1" s="415"/>
      <c r="M1" s="415"/>
      <c r="N1" s="415"/>
      <c r="O1" s="415"/>
      <c r="P1" s="415"/>
      <c r="Q1" s="415"/>
      <c r="R1" s="415"/>
      <c r="S1" s="418"/>
      <c r="T1" s="415"/>
      <c r="U1" s="415"/>
      <c r="V1" s="415"/>
      <c r="W1" s="415"/>
      <c r="X1" s="415"/>
      <c r="Y1" s="415"/>
      <c r="Z1" s="415"/>
      <c r="AA1" s="116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5"/>
      <c r="F2" s="415"/>
      <c r="G2" s="415"/>
      <c r="H2" s="416"/>
      <c r="I2" s="415"/>
      <c r="J2" s="415"/>
      <c r="K2" s="417"/>
      <c r="L2" s="415"/>
      <c r="M2" s="415"/>
      <c r="N2" s="415"/>
      <c r="O2" s="415"/>
      <c r="P2" s="415"/>
      <c r="Q2" s="415"/>
      <c r="R2" s="415"/>
      <c r="S2" s="418"/>
      <c r="T2" s="415"/>
      <c r="U2" s="415"/>
      <c r="V2" s="415"/>
      <c r="W2" s="415"/>
      <c r="X2" s="415"/>
      <c r="Y2" s="415"/>
      <c r="Z2" s="415"/>
      <c r="AA2" s="116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15"/>
      <c r="F3" s="421"/>
      <c r="G3" s="415"/>
      <c r="H3" s="416"/>
      <c r="I3" s="415"/>
      <c r="J3" s="415"/>
      <c r="K3" s="417"/>
      <c r="L3" s="415"/>
      <c r="M3" s="415"/>
      <c r="N3" s="415"/>
      <c r="O3" s="415"/>
      <c r="P3" s="415"/>
      <c r="Q3" s="415"/>
      <c r="R3" s="415"/>
      <c r="S3" s="415"/>
      <c r="T3" s="422"/>
      <c r="U3" s="422"/>
      <c r="V3" s="415"/>
      <c r="W3" s="415"/>
      <c r="X3" s="415"/>
      <c r="Y3" s="415"/>
      <c r="Z3" s="415"/>
      <c r="AA3" s="116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655</v>
      </c>
      <c r="B4" s="21"/>
      <c r="C4" s="15"/>
      <c r="D4" s="67"/>
      <c r="E4" s="415"/>
      <c r="F4" s="421"/>
      <c r="G4" s="415"/>
      <c r="H4" s="416"/>
      <c r="I4" s="415"/>
      <c r="J4" s="415"/>
      <c r="K4" s="417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116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116"/>
      <c r="F5" s="116"/>
      <c r="G5" s="116"/>
      <c r="H5" s="116"/>
      <c r="I5" s="116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116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609</v>
      </c>
      <c r="B6" s="26"/>
      <c r="C6" s="26"/>
      <c r="D6" s="26"/>
      <c r="E6" s="577" t="n">
        <f aca="false">EINC!E6</f>
        <v>0</v>
      </c>
      <c r="F6" s="577" t="n">
        <f aca="false">EINC!F6</f>
        <v>0</v>
      </c>
      <c r="G6" s="577" t="n">
        <f aca="false">EINC!G6</f>
        <v>0</v>
      </c>
      <c r="H6" s="577" t="n">
        <f aca="false">EINC!H6</f>
        <v>1</v>
      </c>
      <c r="I6" s="577" t="n">
        <f aca="false">EINC!I6</f>
        <v>2</v>
      </c>
      <c r="J6" s="577" t="n">
        <f aca="false">EINC!J6</f>
        <v>3</v>
      </c>
      <c r="K6" s="577" t="n">
        <f aca="false">EINC!K6</f>
        <v>4</v>
      </c>
      <c r="L6" s="577" t="n">
        <f aca="false">EINC!L6</f>
        <v>5</v>
      </c>
      <c r="M6" s="577" t="n">
        <f aca="false">EINC!M6</f>
        <v>6</v>
      </c>
      <c r="N6" s="577" t="n">
        <f aca="false">EINC!N6</f>
        <v>7</v>
      </c>
      <c r="O6" s="577" t="n">
        <f aca="false">EINC!O6</f>
        <v>8</v>
      </c>
      <c r="P6" s="577" t="n">
        <f aca="false">EINC!P6</f>
        <v>9</v>
      </c>
      <c r="Q6" s="577" t="n">
        <f aca="false">EINC!Q6</f>
        <v>10</v>
      </c>
      <c r="R6" s="577" t="n">
        <f aca="false">EINC!R6</f>
        <v>11</v>
      </c>
      <c r="S6" s="577" t="n">
        <f aca="false">EINC!S6</f>
        <v>12</v>
      </c>
      <c r="T6" s="577" t="n">
        <f aca="false">EINC!T6</f>
        <v>13</v>
      </c>
      <c r="U6" s="577" t="n">
        <f aca="false">EINC!U6</f>
        <v>14</v>
      </c>
      <c r="V6" s="577" t="n">
        <f aca="false">EINC!V6</f>
        <v>15</v>
      </c>
      <c r="W6" s="577" t="n">
        <f aca="false">EINC!W6</f>
        <v>16</v>
      </c>
      <c r="X6" s="577" t="n">
        <f aca="false">EINC!X6</f>
        <v>17</v>
      </c>
      <c r="Y6" s="577" t="n">
        <f aca="false">EINC!Y6</f>
        <v>18</v>
      </c>
      <c r="Z6" s="577" t="n">
        <f aca="false">EINC!Z6</f>
        <v>19</v>
      </c>
      <c r="AA6" s="578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9" t="s">
        <v>315</v>
      </c>
      <c r="B7" s="22"/>
      <c r="C7" s="22"/>
      <c r="D7" s="22"/>
      <c r="E7" s="579" t="n">
        <f aca="false">EINC!E7</f>
        <v>1998</v>
      </c>
      <c r="F7" s="579" t="n">
        <f aca="false">EINC!F7</f>
        <v>1999</v>
      </c>
      <c r="G7" s="579" t="n">
        <f aca="false">EINC!G7</f>
        <v>2000</v>
      </c>
      <c r="H7" s="579" t="n">
        <f aca="false">EINC!H7</f>
        <v>2001</v>
      </c>
      <c r="I7" s="579" t="n">
        <f aca="false">EINC!I7</f>
        <v>2002</v>
      </c>
      <c r="J7" s="579" t="n">
        <f aca="false">EINC!J7</f>
        <v>2003</v>
      </c>
      <c r="K7" s="579" t="n">
        <f aca="false">EINC!K7</f>
        <v>2004</v>
      </c>
      <c r="L7" s="579" t="n">
        <f aca="false">EINC!L7</f>
        <v>2005</v>
      </c>
      <c r="M7" s="579" t="n">
        <f aca="false">EINC!M7</f>
        <v>2006</v>
      </c>
      <c r="N7" s="579" t="n">
        <f aca="false">EINC!N7</f>
        <v>2007</v>
      </c>
      <c r="O7" s="579" t="n">
        <f aca="false">EINC!O7</f>
        <v>2008</v>
      </c>
      <c r="P7" s="579" t="n">
        <f aca="false">EINC!P7</f>
        <v>2009</v>
      </c>
      <c r="Q7" s="579" t="n">
        <f aca="false">EINC!Q7</f>
        <v>2010</v>
      </c>
      <c r="R7" s="579" t="n">
        <f aca="false">EINC!R7</f>
        <v>2011</v>
      </c>
      <c r="S7" s="579" t="n">
        <f aca="false">EINC!S7</f>
        <v>2012</v>
      </c>
      <c r="T7" s="579" t="n">
        <f aca="false">EINC!T7</f>
        <v>2013</v>
      </c>
      <c r="U7" s="579" t="n">
        <f aca="false">EINC!U7</f>
        <v>2014</v>
      </c>
      <c r="V7" s="579" t="n">
        <f aca="false">EINC!V7</f>
        <v>2015</v>
      </c>
      <c r="W7" s="579" t="n">
        <f aca="false">EINC!W7</f>
        <v>2016</v>
      </c>
      <c r="X7" s="579" t="n">
        <f aca="false">EINC!X7</f>
        <v>2017</v>
      </c>
      <c r="Y7" s="579" t="n">
        <f aca="false">EINC!Y7</f>
        <v>2018</v>
      </c>
      <c r="Z7" s="579" t="n">
        <f aca="false">EINC!Z7</f>
        <v>2019</v>
      </c>
      <c r="AA7" s="294" t="str">
        <f aca="false">Returns!AA7</f>
        <v>Totals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580"/>
      <c r="C8" s="39"/>
      <c r="D8" s="39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  <c r="P8" s="581"/>
      <c r="Q8" s="581"/>
      <c r="R8" s="581"/>
      <c r="S8" s="581"/>
      <c r="T8" s="581"/>
      <c r="U8" s="581"/>
      <c r="V8" s="581"/>
      <c r="W8" s="581"/>
      <c r="X8" s="581"/>
      <c r="Y8" s="581"/>
      <c r="Z8" s="581"/>
      <c r="AA8" s="582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610</v>
      </c>
      <c r="C9" s="39"/>
      <c r="D9" s="39"/>
      <c r="E9" s="47" t="n">
        <f aca="false">EINC!E9</f>
        <v>0</v>
      </c>
      <c r="F9" s="47" t="n">
        <f aca="false">EINC!F9</f>
        <v>0</v>
      </c>
      <c r="G9" s="47" t="n">
        <f aca="false">EINC!G9</f>
        <v>0</v>
      </c>
      <c r="H9" s="47" t="n">
        <f aca="false">EINC!H9</f>
        <v>10</v>
      </c>
      <c r="I9" s="47" t="n">
        <f aca="false">EINC!I9</f>
        <v>12</v>
      </c>
      <c r="J9" s="47" t="n">
        <f aca="false">EINC!J9</f>
        <v>12</v>
      </c>
      <c r="K9" s="47" t="n">
        <f aca="false">EINC!K9</f>
        <v>12</v>
      </c>
      <c r="L9" s="47" t="n">
        <f aca="false">EINC!L9</f>
        <v>12</v>
      </c>
      <c r="M9" s="47" t="n">
        <f aca="false">EINC!M9</f>
        <v>12</v>
      </c>
      <c r="N9" s="47" t="n">
        <f aca="false">EINC!N9</f>
        <v>12</v>
      </c>
      <c r="O9" s="47" t="n">
        <f aca="false">EINC!O9</f>
        <v>12</v>
      </c>
      <c r="P9" s="47" t="n">
        <f aca="false">EINC!P9</f>
        <v>12</v>
      </c>
      <c r="Q9" s="47" t="n">
        <f aca="false">EINC!Q9</f>
        <v>12</v>
      </c>
      <c r="R9" s="47" t="n">
        <f aca="false">EINC!R9</f>
        <v>12</v>
      </c>
      <c r="S9" s="47" t="n">
        <f aca="false">EINC!S9</f>
        <v>12</v>
      </c>
      <c r="T9" s="47" t="n">
        <f aca="false">EINC!T9</f>
        <v>12</v>
      </c>
      <c r="U9" s="47" t="n">
        <f aca="false">EINC!U9</f>
        <v>12</v>
      </c>
      <c r="V9" s="47" t="n">
        <f aca="false">EINC!V9</f>
        <v>12</v>
      </c>
      <c r="W9" s="47" t="n">
        <f aca="false">EINC!W9</f>
        <v>12</v>
      </c>
      <c r="X9" s="47" t="n">
        <f aca="false">EINC!X9</f>
        <v>12</v>
      </c>
      <c r="Y9" s="47" t="n">
        <f aca="false">EINC!Y9</f>
        <v>12</v>
      </c>
      <c r="Z9" s="47" t="n">
        <f aca="false">EINC!Z9</f>
        <v>4</v>
      </c>
      <c r="AA9" s="583" t="n">
        <f aca="false">SUM(E9:Z9)</f>
        <v>218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C10" s="39"/>
      <c r="D10" s="39"/>
      <c r="E10" s="47"/>
      <c r="F10" s="47"/>
      <c r="G10" s="47"/>
      <c r="H10" s="584"/>
      <c r="I10" s="584"/>
      <c r="J10" s="584"/>
      <c r="K10" s="584"/>
      <c r="L10" s="584"/>
      <c r="M10" s="584"/>
      <c r="N10" s="584"/>
      <c r="O10" s="584"/>
      <c r="P10" s="584"/>
      <c r="Q10" s="584"/>
      <c r="R10" s="584"/>
      <c r="S10" s="584"/>
      <c r="T10" s="584"/>
      <c r="U10" s="584"/>
      <c r="V10" s="584"/>
      <c r="W10" s="584"/>
      <c r="X10" s="584"/>
      <c r="Y10" s="584"/>
      <c r="Z10" s="584"/>
      <c r="AA10" s="585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97" t="s">
        <v>421</v>
      </c>
      <c r="C11" s="39"/>
      <c r="D11" s="39"/>
      <c r="E11" s="47"/>
      <c r="F11" s="47"/>
      <c r="G11" s="47"/>
      <c r="H11" s="584"/>
      <c r="I11" s="584"/>
      <c r="J11" s="584"/>
      <c r="K11" s="584"/>
      <c r="L11" s="584"/>
      <c r="M11" s="584"/>
      <c r="N11" s="584"/>
      <c r="O11" s="584"/>
      <c r="P11" s="584"/>
      <c r="Q11" s="584"/>
      <c r="R11" s="584"/>
      <c r="S11" s="584"/>
      <c r="T11" s="584"/>
      <c r="U11" s="584"/>
      <c r="V11" s="584"/>
      <c r="W11" s="584"/>
      <c r="X11" s="584"/>
      <c r="Y11" s="584"/>
      <c r="Z11" s="584"/>
      <c r="AA11" s="585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461"/>
      <c r="B12" s="39" t="s">
        <v>656</v>
      </c>
      <c r="C12" s="39"/>
      <c r="D12" s="478"/>
      <c r="E12" s="99" t="n">
        <v>0</v>
      </c>
      <c r="F12" s="61" t="n">
        <f aca="false">E16</f>
        <v>10372.33637</v>
      </c>
      <c r="G12" s="61" t="n">
        <f aca="false">F16</f>
        <v>40000.00001</v>
      </c>
      <c r="H12" s="61" t="n">
        <f aca="false">G16</f>
        <v>60000.00001</v>
      </c>
      <c r="I12" s="61" t="n">
        <f aca="false">H16</f>
        <v>58162.4910285829</v>
      </c>
      <c r="J12" s="61" t="n">
        <f aca="false">I16</f>
        <v>54576.0104280854</v>
      </c>
      <c r="K12" s="61" t="n">
        <f aca="false">J16</f>
        <v>50530.7559239796</v>
      </c>
      <c r="L12" s="61" t="n">
        <f aca="false">K16</f>
        <v>52417.1713289382</v>
      </c>
      <c r="M12" s="61" t="n">
        <f aca="false">L16</f>
        <v>55377.7879637947</v>
      </c>
      <c r="N12" s="61" t="n">
        <f aca="false">M16</f>
        <v>60613.5304045652</v>
      </c>
      <c r="O12" s="61" t="n">
        <f aca="false">N16</f>
        <v>60989.6437164053</v>
      </c>
      <c r="P12" s="61" t="n">
        <f aca="false">O16</f>
        <v>61414.7317618682</v>
      </c>
      <c r="Q12" s="61" t="n">
        <f aca="false">P16</f>
        <v>61918.6431521908</v>
      </c>
      <c r="R12" s="61" t="n">
        <f aca="false">Q16</f>
        <v>62474.7290365757</v>
      </c>
      <c r="S12" s="61" t="n">
        <f aca="false">R16</f>
        <v>63094.9939639859</v>
      </c>
      <c r="T12" s="61" t="n">
        <f aca="false">S16</f>
        <v>63816.5029431184</v>
      </c>
      <c r="U12" s="61" t="n">
        <f aca="false">T16</f>
        <v>64514.4876522255</v>
      </c>
      <c r="V12" s="61" t="n">
        <f aca="false">U16</f>
        <v>65341.7624721862</v>
      </c>
      <c r="W12" s="61" t="n">
        <f aca="false">V16</f>
        <v>66235.949850241</v>
      </c>
      <c r="X12" s="61" t="n">
        <f aca="false">W16</f>
        <v>67177.0342324249</v>
      </c>
      <c r="Y12" s="61" t="n">
        <f aca="false">X16</f>
        <v>68158.4585170051</v>
      </c>
      <c r="Z12" s="61" t="n">
        <f aca="false">Y16</f>
        <v>69183.603692595</v>
      </c>
      <c r="AA12" s="309" t="n">
        <f aca="false">E12</f>
        <v>0</v>
      </c>
    </row>
    <row r="13" customFormat="false" ht="12.75" hidden="false" customHeight="false" outlineLevel="0" collapsed="false">
      <c r="A13" s="461"/>
      <c r="B13" s="39" t="s">
        <v>657</v>
      </c>
      <c r="C13" s="39"/>
      <c r="D13" s="478"/>
      <c r="E13" s="61" t="n">
        <f aca="false">BS_IS!G66</f>
        <v>10372.33637</v>
      </c>
      <c r="F13" s="61" t="n">
        <f aca="false">BS_IS!H66</f>
        <v>29627.66364</v>
      </c>
      <c r="G13" s="61" t="n">
        <f aca="false">BS_IS!I66</f>
        <v>20000</v>
      </c>
      <c r="H13" s="61" t="n">
        <f aca="false">BS_IS!J66</f>
        <v>0</v>
      </c>
      <c r="I13" s="61" t="n">
        <f aca="false">BS_IS!K66</f>
        <v>0</v>
      </c>
      <c r="J13" s="61" t="n">
        <f aca="false">BS_IS!L66</f>
        <v>0</v>
      </c>
      <c r="K13" s="61" t="n">
        <f aca="false">BS_IS!M66</f>
        <v>0</v>
      </c>
      <c r="L13" s="61" t="n">
        <f aca="false">BS_IS!N66</f>
        <v>0</v>
      </c>
      <c r="M13" s="61" t="n">
        <f aca="false">BS_IS!O66</f>
        <v>0</v>
      </c>
      <c r="N13" s="61" t="n">
        <f aca="false">BS_IS!P66</f>
        <v>0</v>
      </c>
      <c r="O13" s="61" t="n">
        <f aca="false">BS_IS!Q66</f>
        <v>0</v>
      </c>
      <c r="P13" s="61" t="n">
        <f aca="false">BS_IS!R66</f>
        <v>0</v>
      </c>
      <c r="Q13" s="61" t="n">
        <f aca="false">BS_IS!S66</f>
        <v>0</v>
      </c>
      <c r="R13" s="61" t="n">
        <f aca="false">BS_IS!T66</f>
        <v>0</v>
      </c>
      <c r="S13" s="61" t="n">
        <f aca="false">BS_IS!U66</f>
        <v>0</v>
      </c>
      <c r="T13" s="61" t="n">
        <f aca="false">BS_IS!V66</f>
        <v>0</v>
      </c>
      <c r="U13" s="61" t="n">
        <f aca="false">BS_IS!W66</f>
        <v>0</v>
      </c>
      <c r="V13" s="61" t="n">
        <f aca="false">BS_IS!X66</f>
        <v>0</v>
      </c>
      <c r="W13" s="61" t="n">
        <f aca="false">BS_IS!Y66</f>
        <v>0</v>
      </c>
      <c r="X13" s="61" t="n">
        <f aca="false">BS_IS!Z66</f>
        <v>0</v>
      </c>
      <c r="Y13" s="61" t="n">
        <f aca="false">BS_IS!AA66</f>
        <v>0</v>
      </c>
      <c r="Z13" s="61" t="n">
        <f aca="false">BS_IS!AB66</f>
        <v>0</v>
      </c>
      <c r="AA13" s="309" t="n">
        <f aca="false">SUM(E13:Z13)</f>
        <v>60000.00001</v>
      </c>
    </row>
    <row r="14" customFormat="false" ht="12.75" hidden="false" customHeight="false" outlineLevel="0" collapsed="false">
      <c r="A14" s="461"/>
      <c r="B14" s="39" t="s">
        <v>658</v>
      </c>
      <c r="C14" s="39"/>
      <c r="D14" s="478"/>
      <c r="E14" s="61" t="n">
        <f aca="false">BS_IS!G51</f>
        <v>0</v>
      </c>
      <c r="F14" s="61" t="n">
        <f aca="false">BS_IS!H51</f>
        <v>0</v>
      </c>
      <c r="G14" s="61" t="n">
        <f aca="false">BS_IS!I51</f>
        <v>0</v>
      </c>
      <c r="H14" s="61" t="n">
        <f aca="false">BS_IS!J51</f>
        <v>-1837.50898141714</v>
      </c>
      <c r="I14" s="61" t="n">
        <f aca="false">BS_IS!K51</f>
        <v>-3586.48060049747</v>
      </c>
      <c r="J14" s="61" t="n">
        <f aca="false">BS_IS!L51</f>
        <v>-4045.25450410579</v>
      </c>
      <c r="K14" s="61" t="n">
        <f aca="false">BS_IS!M51</f>
        <v>1886.41540495857</v>
      </c>
      <c r="L14" s="61" t="n">
        <f aca="false">BS_IS!N51</f>
        <v>2960.61663485648</v>
      </c>
      <c r="M14" s="61" t="n">
        <f aca="false">BS_IS!O51</f>
        <v>7158.05585272979</v>
      </c>
      <c r="N14" s="61" t="n">
        <f aca="false">BS_IS!P51</f>
        <v>7522.2662368031</v>
      </c>
      <c r="O14" s="61" t="n">
        <f aca="false">BS_IS!Q51</f>
        <v>8501.76090925641</v>
      </c>
      <c r="P14" s="61" t="n">
        <f aca="false">BS_IS!R51</f>
        <v>10078.227806453</v>
      </c>
      <c r="Q14" s="61" t="n">
        <f aca="false">BS_IS!S51</f>
        <v>11121.7176876977</v>
      </c>
      <c r="R14" s="61" t="n">
        <f aca="false">BS_IS!T51</f>
        <v>12405.298548203</v>
      </c>
      <c r="S14" s="61" t="n">
        <f aca="false">BS_IS!U51</f>
        <v>14430.1795826512</v>
      </c>
      <c r="T14" s="61" t="n">
        <f aca="false">BS_IS!V51</f>
        <v>13959.6941821409</v>
      </c>
      <c r="U14" s="61" t="n">
        <f aca="false">BS_IS!W51</f>
        <v>16545.4963992153</v>
      </c>
      <c r="V14" s="61" t="n">
        <f aca="false">BS_IS!X51</f>
        <v>17883.7475610957</v>
      </c>
      <c r="W14" s="61" t="n">
        <f aca="false">BS_IS!Y51</f>
        <v>18821.6876436779</v>
      </c>
      <c r="X14" s="61" t="n">
        <f aca="false">BS_IS!Z51</f>
        <v>19628.485691603</v>
      </c>
      <c r="Y14" s="61" t="n">
        <f aca="false">BS_IS!AA51</f>
        <v>20502.9035117979</v>
      </c>
      <c r="Z14" s="61" t="n">
        <f aca="false">BS_IS!AB51</f>
        <v>6843.9691274639</v>
      </c>
      <c r="AA14" s="309" t="n">
        <f aca="false">SUM(E14:Z14)</f>
        <v>180781.278694584</v>
      </c>
    </row>
    <row r="15" customFormat="false" ht="12.75" hidden="false" customHeight="false" outlineLevel="0" collapsed="false">
      <c r="A15" s="461"/>
      <c r="B15" s="39" t="s">
        <v>659</v>
      </c>
      <c r="C15" s="39"/>
      <c r="D15" s="478"/>
      <c r="E15" s="311" t="n">
        <f aca="false">BS_IS!G83</f>
        <v>0</v>
      </c>
      <c r="F15" s="311" t="n">
        <f aca="false">BS_IS!H83</f>
        <v>0</v>
      </c>
      <c r="G15" s="311" t="n">
        <f aca="false">BS_IS!I83</f>
        <v>0</v>
      </c>
      <c r="H15" s="311" t="n">
        <f aca="false">BS_IS!J83</f>
        <v>-0</v>
      </c>
      <c r="I15" s="311" t="n">
        <f aca="false">BS_IS!K83</f>
        <v>-0</v>
      </c>
      <c r="J15" s="311" t="n">
        <f aca="false">BS_IS!L83</f>
        <v>-0</v>
      </c>
      <c r="K15" s="311" t="n">
        <f aca="false">BS_IS!M83</f>
        <v>-0</v>
      </c>
      <c r="L15" s="311" t="n">
        <f aca="false">BS_IS!N83</f>
        <v>-0</v>
      </c>
      <c r="M15" s="311" t="n">
        <f aca="false">BS_IS!O83</f>
        <v>-1922.31341195928</v>
      </c>
      <c r="N15" s="311" t="n">
        <f aca="false">BS_IS!P83</f>
        <v>-7146.15292496294</v>
      </c>
      <c r="O15" s="311" t="n">
        <f aca="false">BS_IS!Q83</f>
        <v>-8076.67286379359</v>
      </c>
      <c r="P15" s="311" t="n">
        <f aca="false">BS_IS!R83</f>
        <v>-9574.3164161304</v>
      </c>
      <c r="Q15" s="311" t="n">
        <f aca="false">BS_IS!S83</f>
        <v>-10565.6318033128</v>
      </c>
      <c r="R15" s="311" t="n">
        <f aca="false">BS_IS!T83</f>
        <v>-11785.0336207929</v>
      </c>
      <c r="S15" s="311" t="n">
        <f aca="false">BS_IS!U83</f>
        <v>-13708.6706035186</v>
      </c>
      <c r="T15" s="311" t="n">
        <f aca="false">BS_IS!V83</f>
        <v>-13261.7094730338</v>
      </c>
      <c r="U15" s="311" t="n">
        <f aca="false">BS_IS!W83</f>
        <v>-15718.2215792545</v>
      </c>
      <c r="V15" s="311" t="n">
        <f aca="false">BS_IS!X83</f>
        <v>-16989.560183041</v>
      </c>
      <c r="W15" s="311" t="n">
        <f aca="false">BS_IS!Y83</f>
        <v>-17880.603261494</v>
      </c>
      <c r="X15" s="311" t="n">
        <f aca="false">BS_IS!Z83</f>
        <v>-18647.0614070228</v>
      </c>
      <c r="Y15" s="311" t="n">
        <f aca="false">BS_IS!AA83</f>
        <v>-19477.758336208</v>
      </c>
      <c r="Z15" s="311" t="n">
        <f aca="false">BS_IS!AB83</f>
        <v>-65285.3381522481</v>
      </c>
      <c r="AA15" s="313" t="n">
        <f aca="false">SUM(E15:Z15)</f>
        <v>-230039.044036773</v>
      </c>
    </row>
    <row r="16" customFormat="false" ht="12.75" hidden="false" customHeight="false" outlineLevel="0" collapsed="false">
      <c r="A16" s="513"/>
      <c r="B16" s="446" t="s">
        <v>660</v>
      </c>
      <c r="C16" s="446"/>
      <c r="D16" s="516"/>
      <c r="E16" s="625" t="n">
        <f aca="false">SUM(E12:E15)</f>
        <v>10372.33637</v>
      </c>
      <c r="F16" s="625" t="n">
        <f aca="false">SUM(F12:F15)</f>
        <v>40000.00001</v>
      </c>
      <c r="G16" s="625" t="n">
        <f aca="false">SUM(G12:G15)</f>
        <v>60000.00001</v>
      </c>
      <c r="H16" s="625" t="n">
        <f aca="false">SUM(H12:H15)</f>
        <v>58162.4910285829</v>
      </c>
      <c r="I16" s="625" t="n">
        <f aca="false">SUM(I12:I15)</f>
        <v>54576.0104280854</v>
      </c>
      <c r="J16" s="625" t="n">
        <f aca="false">SUM(J12:J15)</f>
        <v>50530.7559239796</v>
      </c>
      <c r="K16" s="625" t="n">
        <f aca="false">SUM(K12:K15)</f>
        <v>52417.1713289382</v>
      </c>
      <c r="L16" s="625" t="n">
        <f aca="false">SUM(L12:L15)</f>
        <v>55377.7879637947</v>
      </c>
      <c r="M16" s="625" t="n">
        <f aca="false">SUM(M12:M15)</f>
        <v>60613.5304045652</v>
      </c>
      <c r="N16" s="625" t="n">
        <f aca="false">SUM(N12:N15)</f>
        <v>60989.6437164053</v>
      </c>
      <c r="O16" s="625" t="n">
        <f aca="false">SUM(O12:O15)</f>
        <v>61414.7317618682</v>
      </c>
      <c r="P16" s="625" t="n">
        <f aca="false">SUM(P12:P15)</f>
        <v>61918.6431521908</v>
      </c>
      <c r="Q16" s="625" t="n">
        <f aca="false">SUM(Q12:Q15)</f>
        <v>62474.7290365757</v>
      </c>
      <c r="R16" s="625" t="n">
        <f aca="false">SUM(R12:R15)</f>
        <v>63094.9939639859</v>
      </c>
      <c r="S16" s="625" t="n">
        <f aca="false">SUM(S12:S15)</f>
        <v>63816.5029431184</v>
      </c>
      <c r="T16" s="625" t="n">
        <f aca="false">SUM(T12:T15)</f>
        <v>64514.4876522255</v>
      </c>
      <c r="U16" s="625" t="n">
        <f aca="false">SUM(U12:U15)</f>
        <v>65341.7624721862</v>
      </c>
      <c r="V16" s="625" t="n">
        <f aca="false">SUM(V12:V15)</f>
        <v>66235.949850241</v>
      </c>
      <c r="W16" s="625" t="n">
        <f aca="false">SUM(W12:W15)</f>
        <v>67177.0342324249</v>
      </c>
      <c r="X16" s="625" t="n">
        <f aca="false">SUM(X12:X15)</f>
        <v>68158.4585170051</v>
      </c>
      <c r="Y16" s="625" t="n">
        <f aca="false">SUM(Y12:Y15)</f>
        <v>69183.603692595</v>
      </c>
      <c r="Z16" s="625" t="n">
        <f aca="false">SUM(Z12:Z15)</f>
        <v>10742.2346678108</v>
      </c>
      <c r="AA16" s="626" t="n">
        <f aca="false">SUM(AA12:AA15)</f>
        <v>10742.2346678108</v>
      </c>
    </row>
    <row r="17" customFormat="false" ht="12.75" hidden="false" customHeight="false" outlineLevel="0" collapsed="false">
      <c r="A17" s="37"/>
      <c r="C17" s="39"/>
      <c r="D17" s="39"/>
      <c r="E17" s="47"/>
      <c r="F17" s="47"/>
      <c r="G17" s="47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584"/>
      <c r="S17" s="584"/>
      <c r="T17" s="584"/>
      <c r="U17" s="584"/>
      <c r="V17" s="584"/>
      <c r="W17" s="584"/>
      <c r="X17" s="584"/>
      <c r="Y17" s="584"/>
      <c r="Z17" s="584"/>
      <c r="AA17" s="585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460" t="s">
        <v>661</v>
      </c>
      <c r="C18" s="39"/>
      <c r="D18" s="478"/>
      <c r="E18" s="478"/>
      <c r="F18" s="478"/>
      <c r="G18" s="478"/>
      <c r="H18" s="478"/>
      <c r="I18" s="478"/>
      <c r="J18" s="478"/>
      <c r="K18" s="478"/>
      <c r="L18" s="478"/>
      <c r="M18" s="478"/>
      <c r="N18" s="478"/>
      <c r="O18" s="478"/>
      <c r="P18" s="478"/>
      <c r="Q18" s="478"/>
      <c r="R18" s="478"/>
      <c r="S18" s="478"/>
      <c r="T18" s="478"/>
      <c r="U18" s="478"/>
      <c r="V18" s="478"/>
      <c r="W18" s="478"/>
      <c r="X18" s="478"/>
      <c r="Y18" s="478"/>
      <c r="Z18" s="478"/>
      <c r="AA18" s="302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461"/>
      <c r="B19" s="39" t="s">
        <v>662</v>
      </c>
      <c r="C19" s="39"/>
      <c r="D19" s="478"/>
      <c r="E19" s="61" t="n">
        <f aca="false">E12</f>
        <v>0</v>
      </c>
      <c r="F19" s="61" t="n">
        <f aca="false">F12</f>
        <v>10372.33637</v>
      </c>
      <c r="G19" s="61" t="n">
        <f aca="false">G12</f>
        <v>40000.00001</v>
      </c>
      <c r="H19" s="61" t="n">
        <f aca="false">H12</f>
        <v>60000.00001</v>
      </c>
      <c r="I19" s="61" t="n">
        <f aca="false">I12</f>
        <v>58162.4910285829</v>
      </c>
      <c r="J19" s="61" t="n">
        <f aca="false">J12</f>
        <v>54576.0104280854</v>
      </c>
      <c r="K19" s="61" t="n">
        <f aca="false">K12</f>
        <v>50530.7559239796</v>
      </c>
      <c r="L19" s="61" t="n">
        <f aca="false">L12</f>
        <v>52417.1713289382</v>
      </c>
      <c r="M19" s="61" t="n">
        <f aca="false">M12</f>
        <v>55377.7879637947</v>
      </c>
      <c r="N19" s="61" t="n">
        <f aca="false">N12</f>
        <v>60613.5304045652</v>
      </c>
      <c r="O19" s="61" t="n">
        <f aca="false">O12</f>
        <v>60989.6437164053</v>
      </c>
      <c r="P19" s="61" t="n">
        <f aca="false">P12</f>
        <v>61414.7317618682</v>
      </c>
      <c r="Q19" s="61" t="n">
        <f aca="false">Q12</f>
        <v>61918.6431521908</v>
      </c>
      <c r="R19" s="61" t="n">
        <f aca="false">R12</f>
        <v>62474.7290365757</v>
      </c>
      <c r="S19" s="61" t="n">
        <f aca="false">S12</f>
        <v>63094.9939639859</v>
      </c>
      <c r="T19" s="61" t="n">
        <f aca="false">T12</f>
        <v>63816.5029431184</v>
      </c>
      <c r="U19" s="61" t="n">
        <f aca="false">U12</f>
        <v>64514.4876522255</v>
      </c>
      <c r="V19" s="61" t="n">
        <f aca="false">V12</f>
        <v>65341.7624721862</v>
      </c>
      <c r="W19" s="61" t="n">
        <f aca="false">W12</f>
        <v>66235.949850241</v>
      </c>
      <c r="X19" s="61" t="n">
        <f aca="false">X12</f>
        <v>67177.0342324249</v>
      </c>
      <c r="Y19" s="61" t="n">
        <f aca="false">Y12</f>
        <v>68158.4585170051</v>
      </c>
      <c r="Z19" s="61" t="n">
        <f aca="false">Z12</f>
        <v>69183.603692595</v>
      </c>
      <c r="AA19" s="302"/>
    </row>
    <row r="20" customFormat="false" ht="12.75" hidden="false" customHeight="false" outlineLevel="0" collapsed="false">
      <c r="A20" s="461"/>
      <c r="B20" s="39" t="s">
        <v>663</v>
      </c>
      <c r="C20" s="39"/>
      <c r="D20" s="478"/>
      <c r="E20" s="627" t="n">
        <f aca="false">Assm!$K$61</f>
        <v>0.3</v>
      </c>
      <c r="F20" s="627" t="n">
        <f aca="false">Assm!$K$61</f>
        <v>0.3</v>
      </c>
      <c r="G20" s="627" t="n">
        <f aca="false">Assm!$K$61</f>
        <v>0.3</v>
      </c>
      <c r="H20" s="627" t="n">
        <f aca="false">Assm!$K$61</f>
        <v>0.3</v>
      </c>
      <c r="I20" s="627" t="n">
        <f aca="false">Assm!$K$61</f>
        <v>0.3</v>
      </c>
      <c r="J20" s="627" t="n">
        <f aca="false">Assm!$K$61</f>
        <v>0.3</v>
      </c>
      <c r="K20" s="627" t="n">
        <f aca="false">Assm!$K$61</f>
        <v>0.3</v>
      </c>
      <c r="L20" s="627" t="n">
        <f aca="false">Assm!$K$61</f>
        <v>0.3</v>
      </c>
      <c r="M20" s="627" t="n">
        <f aca="false">Assm!$K$61</f>
        <v>0.3</v>
      </c>
      <c r="N20" s="627" t="n">
        <f aca="false">Assm!$K$61</f>
        <v>0.3</v>
      </c>
      <c r="O20" s="627" t="n">
        <f aca="false">Assm!$K$61</f>
        <v>0.3</v>
      </c>
      <c r="P20" s="627" t="n">
        <f aca="false">Assm!$K$61</f>
        <v>0.3</v>
      </c>
      <c r="Q20" s="627" t="n">
        <f aca="false">Assm!$K$61</f>
        <v>0.3</v>
      </c>
      <c r="R20" s="627" t="n">
        <f aca="false">Assm!$K$61</f>
        <v>0.3</v>
      </c>
      <c r="S20" s="627" t="n">
        <f aca="false">Assm!$K$61</f>
        <v>0.3</v>
      </c>
      <c r="T20" s="627" t="n">
        <f aca="false">Assm!$K$61</f>
        <v>0.3</v>
      </c>
      <c r="U20" s="627" t="n">
        <f aca="false">Assm!$K$61</f>
        <v>0.3</v>
      </c>
      <c r="V20" s="627" t="n">
        <f aca="false">Assm!$K$61</f>
        <v>0.3</v>
      </c>
      <c r="W20" s="627" t="n">
        <f aca="false">Assm!$K$61</f>
        <v>0.3</v>
      </c>
      <c r="X20" s="627" t="n">
        <f aca="false">Assm!$K$61</f>
        <v>0.3</v>
      </c>
      <c r="Y20" s="627" t="n">
        <f aca="false">Assm!$K$61</f>
        <v>0.3</v>
      </c>
      <c r="Z20" s="627" t="n">
        <f aca="false">Assm!$K$61</f>
        <v>0.3</v>
      </c>
      <c r="AA20" s="302"/>
    </row>
    <row r="21" customFormat="false" ht="12.75" hidden="false" customHeight="false" outlineLevel="0" collapsed="false">
      <c r="A21" s="461"/>
      <c r="B21" s="39" t="s">
        <v>664</v>
      </c>
      <c r="C21" s="39"/>
      <c r="D21" s="106" t="s">
        <v>665</v>
      </c>
      <c r="E21" s="61" t="n">
        <f aca="false">E19*E20</f>
        <v>0</v>
      </c>
      <c r="F21" s="61" t="n">
        <f aca="false">F19*F20</f>
        <v>3111.700911</v>
      </c>
      <c r="G21" s="61" t="n">
        <f aca="false">G19*G20</f>
        <v>12000.000003</v>
      </c>
      <c r="H21" s="61" t="n">
        <f aca="false">H19*H20</f>
        <v>18000.000003</v>
      </c>
      <c r="I21" s="61" t="n">
        <f aca="false">I19*I20</f>
        <v>17448.7473085749</v>
      </c>
      <c r="J21" s="61" t="n">
        <f aca="false">J19*J20</f>
        <v>16372.8031284256</v>
      </c>
      <c r="K21" s="61" t="n">
        <f aca="false">K19*K20</f>
        <v>15159.2267771939</v>
      </c>
      <c r="L21" s="61" t="n">
        <f aca="false">L19*L20</f>
        <v>15725.1513986815</v>
      </c>
      <c r="M21" s="61" t="n">
        <f aca="false">M19*M20</f>
        <v>16613.3363891384</v>
      </c>
      <c r="N21" s="61" t="n">
        <f aca="false">N19*N20</f>
        <v>18184.0591213696</v>
      </c>
      <c r="O21" s="61" t="n">
        <f aca="false">O19*O20</f>
        <v>18296.8931149216</v>
      </c>
      <c r="P21" s="61" t="n">
        <f aca="false">P19*P20</f>
        <v>18424.4195285604</v>
      </c>
      <c r="Q21" s="61" t="n">
        <f aca="false">Q19*Q20</f>
        <v>18575.5929456572</v>
      </c>
      <c r="R21" s="61" t="n">
        <f aca="false">R19*R20</f>
        <v>18742.4187109727</v>
      </c>
      <c r="S21" s="61" t="n">
        <f aca="false">S19*S20</f>
        <v>18928.4981891958</v>
      </c>
      <c r="T21" s="61" t="n">
        <f aca="false">T19*T20</f>
        <v>19144.9508829355</v>
      </c>
      <c r="U21" s="61" t="n">
        <f aca="false">U19*U20</f>
        <v>19354.3462956676</v>
      </c>
      <c r="V21" s="61" t="n">
        <f aca="false">V19*V20</f>
        <v>19602.5287416559</v>
      </c>
      <c r="W21" s="61" t="n">
        <f aca="false">W19*W20</f>
        <v>19870.7849550723</v>
      </c>
      <c r="X21" s="61" t="n">
        <f aca="false">X19*X20</f>
        <v>20153.1102697275</v>
      </c>
      <c r="Y21" s="61" t="n">
        <f aca="false">Y19*Y20</f>
        <v>20447.5375551015</v>
      </c>
      <c r="Z21" s="61" t="n">
        <f aca="false">Z19*Z20</f>
        <v>20755.0811077785</v>
      </c>
      <c r="AA21" s="302"/>
    </row>
    <row r="22" customFormat="false" ht="12.75" hidden="false" customHeight="false" outlineLevel="0" collapsed="false">
      <c r="A22" s="461"/>
      <c r="C22" s="39"/>
      <c r="D22" s="478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302"/>
    </row>
    <row r="23" customFormat="false" ht="12.75" hidden="false" customHeight="false" outlineLevel="0" collapsed="false">
      <c r="A23" s="461"/>
      <c r="B23" s="39" t="s">
        <v>666</v>
      </c>
      <c r="C23" s="39"/>
      <c r="D23" s="478"/>
      <c r="E23" s="61" t="n">
        <f aca="false">E16</f>
        <v>10372.33637</v>
      </c>
      <c r="F23" s="61" t="n">
        <f aca="false">F16</f>
        <v>40000.00001</v>
      </c>
      <c r="G23" s="61" t="n">
        <f aca="false">G16</f>
        <v>60000.00001</v>
      </c>
      <c r="H23" s="61" t="n">
        <f aca="false">H16</f>
        <v>58162.4910285829</v>
      </c>
      <c r="I23" s="61" t="n">
        <f aca="false">I16</f>
        <v>54576.0104280854</v>
      </c>
      <c r="J23" s="61" t="n">
        <f aca="false">J16</f>
        <v>50530.7559239796</v>
      </c>
      <c r="K23" s="61" t="n">
        <f aca="false">K16</f>
        <v>52417.1713289382</v>
      </c>
      <c r="L23" s="61" t="n">
        <f aca="false">L16</f>
        <v>55377.7879637947</v>
      </c>
      <c r="M23" s="61" t="n">
        <f aca="false">M16</f>
        <v>60613.5304045652</v>
      </c>
      <c r="N23" s="61" t="n">
        <f aca="false">N16</f>
        <v>60989.6437164053</v>
      </c>
      <c r="O23" s="61" t="n">
        <f aca="false">O16</f>
        <v>61414.7317618682</v>
      </c>
      <c r="P23" s="61" t="n">
        <f aca="false">P16</f>
        <v>61918.6431521908</v>
      </c>
      <c r="Q23" s="61" t="n">
        <f aca="false">Q16</f>
        <v>62474.7290365757</v>
      </c>
      <c r="R23" s="61" t="n">
        <f aca="false">R16</f>
        <v>63094.9939639859</v>
      </c>
      <c r="S23" s="61" t="n">
        <f aca="false">S16</f>
        <v>63816.5029431184</v>
      </c>
      <c r="T23" s="61" t="n">
        <f aca="false">T16</f>
        <v>64514.4876522255</v>
      </c>
      <c r="U23" s="61" t="n">
        <f aca="false">U16</f>
        <v>65341.7624721862</v>
      </c>
      <c r="V23" s="61" t="n">
        <f aca="false">V16</f>
        <v>66235.949850241</v>
      </c>
      <c r="W23" s="61" t="n">
        <f aca="false">W16</f>
        <v>67177.0342324249</v>
      </c>
      <c r="X23" s="61" t="n">
        <f aca="false">X16</f>
        <v>68158.4585170051</v>
      </c>
      <c r="Y23" s="61" t="n">
        <f aca="false">Y16</f>
        <v>69183.603692595</v>
      </c>
      <c r="Z23" s="61" t="n">
        <f aca="false">Z16</f>
        <v>10742.2346678108</v>
      </c>
      <c r="AA23" s="302"/>
    </row>
    <row r="24" customFormat="false" ht="12.75" hidden="false" customHeight="false" outlineLevel="0" collapsed="false">
      <c r="A24" s="461"/>
      <c r="B24" s="39" t="s">
        <v>663</v>
      </c>
      <c r="C24" s="39"/>
      <c r="D24" s="478"/>
      <c r="E24" s="627" t="n">
        <f aca="false">Assm!$K$61</f>
        <v>0.3</v>
      </c>
      <c r="F24" s="627" t="n">
        <f aca="false">Assm!$K$61</f>
        <v>0.3</v>
      </c>
      <c r="G24" s="627" t="n">
        <f aca="false">Assm!$K$61</f>
        <v>0.3</v>
      </c>
      <c r="H24" s="627" t="n">
        <f aca="false">Assm!$K$61</f>
        <v>0.3</v>
      </c>
      <c r="I24" s="627" t="n">
        <f aca="false">Assm!$K$61</f>
        <v>0.3</v>
      </c>
      <c r="J24" s="627" t="n">
        <f aca="false">Assm!$K$61</f>
        <v>0.3</v>
      </c>
      <c r="K24" s="627" t="n">
        <f aca="false">Assm!$K$61</f>
        <v>0.3</v>
      </c>
      <c r="L24" s="627" t="n">
        <f aca="false">Assm!$K$61</f>
        <v>0.3</v>
      </c>
      <c r="M24" s="627" t="n">
        <f aca="false">Assm!$K$61</f>
        <v>0.3</v>
      </c>
      <c r="N24" s="627" t="n">
        <f aca="false">Assm!$K$61</f>
        <v>0.3</v>
      </c>
      <c r="O24" s="627" t="n">
        <f aca="false">Assm!$K$61</f>
        <v>0.3</v>
      </c>
      <c r="P24" s="627" t="n">
        <f aca="false">Assm!$K$61</f>
        <v>0.3</v>
      </c>
      <c r="Q24" s="627" t="n">
        <f aca="false">Assm!$K$61</f>
        <v>0.3</v>
      </c>
      <c r="R24" s="627" t="n">
        <f aca="false">Assm!$K$61</f>
        <v>0.3</v>
      </c>
      <c r="S24" s="627" t="n">
        <f aca="false">Assm!$K$61</f>
        <v>0.3</v>
      </c>
      <c r="T24" s="627" t="n">
        <f aca="false">Assm!$K$61</f>
        <v>0.3</v>
      </c>
      <c r="U24" s="627" t="n">
        <f aca="false">Assm!$K$61</f>
        <v>0.3</v>
      </c>
      <c r="V24" s="627" t="n">
        <f aca="false">Assm!$K$61</f>
        <v>0.3</v>
      </c>
      <c r="W24" s="627" t="n">
        <f aca="false">Assm!$K$61</f>
        <v>0.3</v>
      </c>
      <c r="X24" s="627" t="n">
        <f aca="false">Assm!$K$61</f>
        <v>0.3</v>
      </c>
      <c r="Y24" s="627" t="n">
        <f aca="false">Assm!$K$61</f>
        <v>0.3</v>
      </c>
      <c r="Z24" s="627" t="n">
        <f aca="false">Assm!$K$61</f>
        <v>0.3</v>
      </c>
      <c r="AA24" s="302"/>
    </row>
    <row r="25" customFormat="false" ht="12.75" hidden="false" customHeight="false" outlineLevel="0" collapsed="false">
      <c r="A25" s="461"/>
      <c r="B25" s="39" t="s">
        <v>667</v>
      </c>
      <c r="C25" s="39"/>
      <c r="D25" s="106" t="s">
        <v>668</v>
      </c>
      <c r="E25" s="61" t="n">
        <f aca="false">E23*E24</f>
        <v>3111.700911</v>
      </c>
      <c r="F25" s="61" t="n">
        <f aca="false">F23*F24</f>
        <v>12000.000003</v>
      </c>
      <c r="G25" s="61" t="n">
        <f aca="false">G23*G24</f>
        <v>18000.000003</v>
      </c>
      <c r="H25" s="61" t="n">
        <f aca="false">H23*H24</f>
        <v>17448.7473085749</v>
      </c>
      <c r="I25" s="61" t="n">
        <f aca="false">I23*I24</f>
        <v>16372.8031284256</v>
      </c>
      <c r="J25" s="61" t="n">
        <f aca="false">J23*J24</f>
        <v>15159.2267771939</v>
      </c>
      <c r="K25" s="61" t="n">
        <f aca="false">K23*K24</f>
        <v>15725.1513986815</v>
      </c>
      <c r="L25" s="61" t="n">
        <f aca="false">L23*L24</f>
        <v>16613.3363891384</v>
      </c>
      <c r="M25" s="61" t="n">
        <f aca="false">M23*M24</f>
        <v>18184.0591213696</v>
      </c>
      <c r="N25" s="61" t="n">
        <f aca="false">N23*N24</f>
        <v>18296.8931149216</v>
      </c>
      <c r="O25" s="61" t="n">
        <f aca="false">O23*O24</f>
        <v>18424.4195285604</v>
      </c>
      <c r="P25" s="61" t="n">
        <f aca="false">P23*P24</f>
        <v>18575.5929456572</v>
      </c>
      <c r="Q25" s="61" t="n">
        <f aca="false">Q23*Q24</f>
        <v>18742.4187109727</v>
      </c>
      <c r="R25" s="61" t="n">
        <f aca="false">R23*R24</f>
        <v>18928.4981891958</v>
      </c>
      <c r="S25" s="61" t="n">
        <f aca="false">S23*S24</f>
        <v>19144.9508829355</v>
      </c>
      <c r="T25" s="61" t="n">
        <f aca="false">T23*T24</f>
        <v>19354.3462956676</v>
      </c>
      <c r="U25" s="61" t="n">
        <f aca="false">U23*U24</f>
        <v>19602.5287416559</v>
      </c>
      <c r="V25" s="61" t="n">
        <f aca="false">V23*V24</f>
        <v>19870.7849550723</v>
      </c>
      <c r="W25" s="61" t="n">
        <f aca="false">W23*W24</f>
        <v>20153.1102697275</v>
      </c>
      <c r="X25" s="61" t="n">
        <f aca="false">X23*X24</f>
        <v>20447.5375551015</v>
      </c>
      <c r="Y25" s="61" t="n">
        <f aca="false">Y23*Y24</f>
        <v>20755.0811077785</v>
      </c>
      <c r="Z25" s="61" t="n">
        <f aca="false">Z23*Z24</f>
        <v>3222.67040034323</v>
      </c>
      <c r="AA25" s="302"/>
    </row>
    <row r="26" customFormat="false" ht="12.75" hidden="false" customHeight="false" outlineLevel="0" collapsed="false">
      <c r="A26" s="461"/>
      <c r="C26" s="39"/>
      <c r="D26" s="478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302"/>
    </row>
    <row r="27" customFormat="false" ht="12.75" hidden="false" customHeight="false" outlineLevel="0" collapsed="false">
      <c r="A27" s="461"/>
      <c r="B27" s="39" t="s">
        <v>669</v>
      </c>
      <c r="C27" s="39"/>
      <c r="D27" s="106" t="s">
        <v>670</v>
      </c>
      <c r="E27" s="61" t="n">
        <f aca="false">IF(MAX(E$21,E$25)&lt;0,0,MAX(E$21,E$25))</f>
        <v>3111.700911</v>
      </c>
      <c r="F27" s="61" t="n">
        <f aca="false">IF(MAX(F$21,F$25)&lt;0,0,MAX(F$21,F$25))</f>
        <v>12000.000003</v>
      </c>
      <c r="G27" s="61" t="n">
        <f aca="false">IF(MAX(G$21,G$25)&lt;0,0,MAX(G$21,G$25))</f>
        <v>18000.000003</v>
      </c>
      <c r="H27" s="61" t="n">
        <f aca="false">IF(MAX(H$21,H$25)&lt;0,0,MAX(H$21,H$25))</f>
        <v>18000.000003</v>
      </c>
      <c r="I27" s="61" t="n">
        <f aca="false">IF(MAX(I$21,I$25)&lt;0,0,MAX(I$21,I$25))</f>
        <v>17448.7473085749</v>
      </c>
      <c r="J27" s="61" t="n">
        <f aca="false">IF(MAX(J$21,J$25)&lt;0,0,MAX(J$21,J$25))</f>
        <v>16372.8031284256</v>
      </c>
      <c r="K27" s="61" t="n">
        <f aca="false">IF(MAX(K$21,K$25)&lt;0,0,MAX(K$21,K$25))</f>
        <v>15725.1513986815</v>
      </c>
      <c r="L27" s="61" t="n">
        <f aca="false">IF(MAX(L$21,L$25)&lt;0,0,MAX(L$21,L$25))</f>
        <v>16613.3363891384</v>
      </c>
      <c r="M27" s="61" t="n">
        <f aca="false">IF(MAX(M$21,M$25)&lt;0,0,MAX(M$21,M$25))</f>
        <v>18184.0591213696</v>
      </c>
      <c r="N27" s="61" t="n">
        <f aca="false">IF(MAX(N$21,N$25)&lt;0,0,MAX(N$21,N$25))</f>
        <v>18296.8931149216</v>
      </c>
      <c r="O27" s="61" t="n">
        <f aca="false">IF(MAX(O$21,O$25)&lt;0,0,MAX(O$21,O$25))</f>
        <v>18424.4195285604</v>
      </c>
      <c r="P27" s="61" t="n">
        <f aca="false">IF(MAX(P$21,P$25)&lt;0,0,MAX(P$21,P$25))</f>
        <v>18575.5929456572</v>
      </c>
      <c r="Q27" s="61" t="n">
        <f aca="false">IF(MAX(Q$21,Q$25)&lt;0,0,MAX(Q$21,Q$25))</f>
        <v>18742.4187109727</v>
      </c>
      <c r="R27" s="61" t="n">
        <f aca="false">IF(MAX(R$21,R$25)&lt;0,0,MAX(R$21,R$25))</f>
        <v>18928.4981891958</v>
      </c>
      <c r="S27" s="61" t="n">
        <f aca="false">IF(MAX(S$21,S$25)&lt;0,0,MAX(S$21,S$25))</f>
        <v>19144.9508829355</v>
      </c>
      <c r="T27" s="61" t="n">
        <f aca="false">IF(MAX(T$21,T$25)&lt;0,0,MAX(T$21,T$25))</f>
        <v>19354.3462956676</v>
      </c>
      <c r="U27" s="61" t="n">
        <f aca="false">IF(MAX(U$21,U$25)&lt;0,0,MAX(U$21,U$25))</f>
        <v>19602.5287416559</v>
      </c>
      <c r="V27" s="61" t="n">
        <f aca="false">IF(MAX(V$21,V$25)&lt;0,0,MAX(V$21,V$25))</f>
        <v>19870.7849550723</v>
      </c>
      <c r="W27" s="61" t="n">
        <f aca="false">IF(MAX(W$21,W$25)&lt;0,0,MAX(W$21,W$25))</f>
        <v>20153.1102697275</v>
      </c>
      <c r="X27" s="61" t="n">
        <f aca="false">IF(MAX(X$21,X$25)&lt;0,0,MAX(X$21,X$25))</f>
        <v>20447.5375551015</v>
      </c>
      <c r="Y27" s="61" t="n">
        <f aca="false">IF(MAX(Y$21,Y$25)&lt;0,0,MAX(Y$21,Y$25))</f>
        <v>20755.0811077785</v>
      </c>
      <c r="Z27" s="61" t="n">
        <f aca="false">IF(MAX(Z$21,Z$25)&lt;0,0,MAX(Z$21,Z$25))</f>
        <v>20755.0811077785</v>
      </c>
      <c r="AA27" s="302"/>
    </row>
    <row r="28" customFormat="false" ht="12.75" hidden="false" customHeight="false" outlineLevel="0" collapsed="false">
      <c r="A28" s="461"/>
      <c r="B28" s="39" t="s">
        <v>671</v>
      </c>
      <c r="C28" s="39"/>
      <c r="D28" s="106" t="s">
        <v>672</v>
      </c>
      <c r="E28" s="61" t="n">
        <f aca="false">IF(MIN(E$21,E$25)&lt;0,0,MIN(E$21,E$25))</f>
        <v>0</v>
      </c>
      <c r="F28" s="61" t="n">
        <f aca="false">IF(MIN(F$21,F$25)&lt;0,0,MIN(F$21,F$25))</f>
        <v>3111.700911</v>
      </c>
      <c r="G28" s="61" t="n">
        <f aca="false">IF(MIN(G$21,G$25)&lt;0,0,MIN(G$21,G$25))</f>
        <v>12000.000003</v>
      </c>
      <c r="H28" s="61" t="n">
        <f aca="false">IF(MIN(H$21,H$25)&lt;0,0,MIN(H$21,H$25))</f>
        <v>17448.7473085749</v>
      </c>
      <c r="I28" s="61" t="n">
        <f aca="false">IF(MIN(I$21,I$25)&lt;0,0,MIN(I$21,I$25))</f>
        <v>16372.8031284256</v>
      </c>
      <c r="J28" s="61" t="n">
        <f aca="false">IF(MIN(J$21,J$25)&lt;0,0,MIN(J$21,J$25))</f>
        <v>15159.2267771939</v>
      </c>
      <c r="K28" s="61" t="n">
        <f aca="false">IF(MIN(K$21,K$25)&lt;0,0,MIN(K$21,K$25))</f>
        <v>15159.2267771939</v>
      </c>
      <c r="L28" s="61" t="n">
        <f aca="false">IF(MIN(L$21,L$25)&lt;0,0,MIN(L$21,L$25))</f>
        <v>15725.1513986815</v>
      </c>
      <c r="M28" s="61" t="n">
        <f aca="false">IF(MIN(M$21,M$25)&lt;0,0,MIN(M$21,M$25))</f>
        <v>16613.3363891384</v>
      </c>
      <c r="N28" s="61" t="n">
        <f aca="false">IF(MIN(N$21,N$25)&lt;0,0,MIN(N$21,N$25))</f>
        <v>18184.0591213696</v>
      </c>
      <c r="O28" s="61" t="n">
        <f aca="false">IF(MIN(O$21,O$25)&lt;0,0,MIN(O$21,O$25))</f>
        <v>18296.8931149216</v>
      </c>
      <c r="P28" s="61" t="n">
        <f aca="false">IF(MIN(P$21,P$25)&lt;0,0,MIN(P$21,P$25))</f>
        <v>18424.4195285604</v>
      </c>
      <c r="Q28" s="61" t="n">
        <f aca="false">IF(MIN(Q$21,Q$25)&lt;0,0,MIN(Q$21,Q$25))</f>
        <v>18575.5929456572</v>
      </c>
      <c r="R28" s="61" t="n">
        <f aca="false">IF(MIN(R$21,R$25)&lt;0,0,MIN(R$21,R$25))</f>
        <v>18742.4187109727</v>
      </c>
      <c r="S28" s="61" t="n">
        <f aca="false">IF(MIN(S$21,S$25)&lt;0,0,MIN(S$21,S$25))</f>
        <v>18928.4981891958</v>
      </c>
      <c r="T28" s="61" t="n">
        <f aca="false">IF(MIN(T$21,T$25)&lt;0,0,MIN(T$21,T$25))</f>
        <v>19144.9508829355</v>
      </c>
      <c r="U28" s="61" t="n">
        <f aca="false">IF(MIN(U$21,U$25)&lt;0,0,MIN(U$21,U$25))</f>
        <v>19354.3462956676</v>
      </c>
      <c r="V28" s="61" t="n">
        <f aca="false">IF(MIN(V$21,V$25)&lt;0,0,MIN(V$21,V$25))</f>
        <v>19602.5287416559</v>
      </c>
      <c r="W28" s="61" t="n">
        <f aca="false">IF(MIN(W$21,W$25)&lt;0,0,MIN(W$21,W$25))</f>
        <v>19870.7849550723</v>
      </c>
      <c r="X28" s="61" t="n">
        <f aca="false">IF(MIN(X$21,X$25)&lt;0,0,MIN(X$21,X$25))</f>
        <v>20153.1102697275</v>
      </c>
      <c r="Y28" s="61" t="n">
        <f aca="false">IF(MIN(Y$21,Y$25)&lt;0,0,MIN(Y$21,Y$25))</f>
        <v>20447.5375551015</v>
      </c>
      <c r="Z28" s="61" t="n">
        <f aca="false">IF(MIN(Z$21,Z$25)&lt;0,0,MIN(Z$21,Z$25))</f>
        <v>3222.67040034323</v>
      </c>
      <c r="AA28" s="302"/>
    </row>
    <row r="29" customFormat="false" ht="12.75" hidden="false" customHeight="false" outlineLevel="0" collapsed="false">
      <c r="A29" s="37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02"/>
    </row>
    <row r="30" customFormat="false" ht="12.75" hidden="false" customHeight="false" outlineLevel="0" collapsed="false">
      <c r="A30" s="461"/>
      <c r="B30" s="39" t="s">
        <v>673</v>
      </c>
      <c r="C30" s="39"/>
      <c r="D30" s="478"/>
      <c r="E30" s="61" t="n">
        <f aca="false">((E27*2)+E28)/3</f>
        <v>2074.467274</v>
      </c>
      <c r="F30" s="61" t="n">
        <f aca="false">((F27*2)+F28)/3</f>
        <v>9037.233639</v>
      </c>
      <c r="G30" s="61" t="n">
        <f aca="false">((G27*2)+G28)/3</f>
        <v>16000.000003</v>
      </c>
      <c r="H30" s="61" t="n">
        <f aca="false">((H27*2)+H28)/3</f>
        <v>17816.2491048583</v>
      </c>
      <c r="I30" s="61" t="n">
        <f aca="false">((I27*2)+I28)/3</f>
        <v>17090.0992485251</v>
      </c>
      <c r="J30" s="61" t="n">
        <f aca="false">((J27*2)+J28)/3</f>
        <v>15968.277678015</v>
      </c>
      <c r="K30" s="61" t="n">
        <f aca="false">((K27*2)+K28)/3</f>
        <v>15536.5098581856</v>
      </c>
      <c r="L30" s="61" t="n">
        <f aca="false">((L27*2)+L28)/3</f>
        <v>16317.2747256528</v>
      </c>
      <c r="M30" s="61" t="n">
        <f aca="false">((M27*2)+M28)/3</f>
        <v>17660.4848772925</v>
      </c>
      <c r="N30" s="61" t="n">
        <f aca="false">((N27*2)+N28)/3</f>
        <v>18259.2817837376</v>
      </c>
      <c r="O30" s="61" t="n">
        <f aca="false">((O27*2)+O28)/3</f>
        <v>18381.9107240142</v>
      </c>
      <c r="P30" s="61" t="n">
        <f aca="false">((P27*2)+P28)/3</f>
        <v>18525.201806625</v>
      </c>
      <c r="Q30" s="61" t="n">
        <f aca="false">((Q27*2)+Q28)/3</f>
        <v>18686.8101225342</v>
      </c>
      <c r="R30" s="61" t="n">
        <f aca="false">((R27*2)+R28)/3</f>
        <v>18866.4716964547</v>
      </c>
      <c r="S30" s="61" t="n">
        <f aca="false">((S27*2)+S28)/3</f>
        <v>19072.7999850223</v>
      </c>
      <c r="T30" s="61" t="n">
        <f aca="false">((T27*2)+T28)/3</f>
        <v>19284.5478247569</v>
      </c>
      <c r="U30" s="61" t="n">
        <f aca="false">((U27*2)+U28)/3</f>
        <v>19519.8012596598</v>
      </c>
      <c r="V30" s="61" t="n">
        <f aca="false">((V27*2)+V28)/3</f>
        <v>19781.3662172668</v>
      </c>
      <c r="W30" s="61" t="n">
        <f aca="false">((W27*2)+W28)/3</f>
        <v>20059.0018315091</v>
      </c>
      <c r="X30" s="61" t="n">
        <f aca="false">((X27*2)+X28)/3</f>
        <v>20349.3951266435</v>
      </c>
      <c r="Y30" s="61" t="n">
        <f aca="false">((Y27*2)+Y28)/3</f>
        <v>20652.5665902195</v>
      </c>
      <c r="Z30" s="61" t="n">
        <f aca="false">((Z27*2)+Z28)/3</f>
        <v>14910.9442053001</v>
      </c>
      <c r="AA30" s="302"/>
    </row>
    <row r="31" customFormat="false" ht="12.75" hidden="false" customHeight="false" outlineLevel="0" collapsed="false">
      <c r="A31" s="461"/>
      <c r="B31" s="39" t="s">
        <v>674</v>
      </c>
      <c r="C31" s="531" t="n">
        <f aca="false">Opic</f>
        <v>0.01</v>
      </c>
      <c r="D31" s="478"/>
      <c r="E31" s="628" t="n">
        <f aca="false">$C31</f>
        <v>0.01</v>
      </c>
      <c r="F31" s="628" t="n">
        <f aca="false">$C31</f>
        <v>0.01</v>
      </c>
      <c r="G31" s="628" t="n">
        <f aca="false">$C31</f>
        <v>0.01</v>
      </c>
      <c r="H31" s="628" t="n">
        <f aca="false">$C31</f>
        <v>0.01</v>
      </c>
      <c r="I31" s="628" t="n">
        <f aca="false">$C31</f>
        <v>0.01</v>
      </c>
      <c r="J31" s="628" t="n">
        <f aca="false">$C31</f>
        <v>0.01</v>
      </c>
      <c r="K31" s="628" t="n">
        <f aca="false">$C31</f>
        <v>0.01</v>
      </c>
      <c r="L31" s="628" t="n">
        <f aca="false">$C31</f>
        <v>0.01</v>
      </c>
      <c r="M31" s="628" t="n">
        <f aca="false">$C31</f>
        <v>0.01</v>
      </c>
      <c r="N31" s="628" t="n">
        <f aca="false">$C31</f>
        <v>0.01</v>
      </c>
      <c r="O31" s="628" t="n">
        <f aca="false">$C31</f>
        <v>0.01</v>
      </c>
      <c r="P31" s="628" t="n">
        <f aca="false">$C31</f>
        <v>0.01</v>
      </c>
      <c r="Q31" s="628" t="n">
        <f aca="false">$C31</f>
        <v>0.01</v>
      </c>
      <c r="R31" s="628" t="n">
        <f aca="false">$C31</f>
        <v>0.01</v>
      </c>
      <c r="S31" s="628" t="n">
        <f aca="false">$C31</f>
        <v>0.01</v>
      </c>
      <c r="T31" s="628" t="n">
        <f aca="false">$C31</f>
        <v>0.01</v>
      </c>
      <c r="U31" s="628" t="n">
        <f aca="false">$C31</f>
        <v>0.01</v>
      </c>
      <c r="V31" s="628" t="n">
        <f aca="false">$C31</f>
        <v>0.01</v>
      </c>
      <c r="W31" s="628" t="n">
        <f aca="false">$C31</f>
        <v>0.01</v>
      </c>
      <c r="X31" s="628" t="n">
        <f aca="false">$C31</f>
        <v>0.01</v>
      </c>
      <c r="Y31" s="628" t="n">
        <f aca="false">$C31</f>
        <v>0.01</v>
      </c>
      <c r="Z31" s="628" t="n">
        <f aca="false">$C31</f>
        <v>0.01</v>
      </c>
      <c r="AA31" s="302"/>
    </row>
    <row r="32" customFormat="false" ht="12.75" hidden="false" customHeight="false" outlineLevel="0" collapsed="false">
      <c r="A32" s="513"/>
      <c r="B32" s="446" t="s">
        <v>675</v>
      </c>
      <c r="C32" s="446"/>
      <c r="D32" s="516"/>
      <c r="E32" s="625" t="n">
        <f aca="false">E30*E31</f>
        <v>20.74467274</v>
      </c>
      <c r="F32" s="625" t="n">
        <f aca="false">F30*F31</f>
        <v>90.37233639</v>
      </c>
      <c r="G32" s="625" t="n">
        <f aca="false">G30*G31</f>
        <v>160.00000003</v>
      </c>
      <c r="H32" s="625" t="n">
        <f aca="false">H30*H31</f>
        <v>178.162491048583</v>
      </c>
      <c r="I32" s="625" t="n">
        <f aca="false">I30*I31</f>
        <v>170.900992485251</v>
      </c>
      <c r="J32" s="625" t="n">
        <f aca="false">J30*J31</f>
        <v>159.68277678015</v>
      </c>
      <c r="K32" s="625" t="n">
        <f aca="false">K30*K31</f>
        <v>155.365098581856</v>
      </c>
      <c r="L32" s="625" t="n">
        <f aca="false">L30*L31</f>
        <v>163.172747256528</v>
      </c>
      <c r="M32" s="625" t="n">
        <f aca="false">M30*M31</f>
        <v>176.604848772925</v>
      </c>
      <c r="N32" s="625" t="n">
        <f aca="false">N30*N31</f>
        <v>182.592817837376</v>
      </c>
      <c r="O32" s="625" t="n">
        <f aca="false">O30*O31</f>
        <v>183.819107240142</v>
      </c>
      <c r="P32" s="625" t="n">
        <f aca="false">P30*P31</f>
        <v>185.25201806625</v>
      </c>
      <c r="Q32" s="625" t="n">
        <f aca="false">Q30*Q31</f>
        <v>186.868101225342</v>
      </c>
      <c r="R32" s="625" t="n">
        <f aca="false">R30*R31</f>
        <v>188.664716964547</v>
      </c>
      <c r="S32" s="625" t="n">
        <f aca="false">S30*S31</f>
        <v>190.727999850223</v>
      </c>
      <c r="T32" s="625" t="n">
        <f aca="false">T30*T31</f>
        <v>192.845478247569</v>
      </c>
      <c r="U32" s="625" t="n">
        <f aca="false">U30*U31</f>
        <v>195.198012596598</v>
      </c>
      <c r="V32" s="625" t="n">
        <f aca="false">V30*V31</f>
        <v>197.813662172668</v>
      </c>
      <c r="W32" s="625" t="n">
        <f aca="false">W30*W31</f>
        <v>200.590018315091</v>
      </c>
      <c r="X32" s="625" t="n">
        <f aca="false">X30*X31</f>
        <v>203.493951266435</v>
      </c>
      <c r="Y32" s="625" t="n">
        <f aca="false">Y30*Y31</f>
        <v>206.525665902195</v>
      </c>
      <c r="Z32" s="625" t="n">
        <f aca="false">Z30*Z31</f>
        <v>149.109442053001</v>
      </c>
      <c r="AA32" s="626" t="n">
        <f aca="false">SUM(D32:Z32)</f>
        <v>3738.50695582273</v>
      </c>
    </row>
    <row r="33" customFormat="false" ht="12.75" hidden="false" customHeight="false" outlineLevel="0" collapsed="false">
      <c r="A33" s="37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02"/>
    </row>
    <row r="34" customFormat="false" ht="12.75" hidden="false" customHeight="false" outlineLevel="0" collapsed="false">
      <c r="A34" s="460" t="s">
        <v>676</v>
      </c>
      <c r="C34" s="39"/>
      <c r="D34" s="478"/>
      <c r="E34" s="478"/>
      <c r="F34" s="478"/>
      <c r="G34" s="478"/>
      <c r="H34" s="478"/>
      <c r="I34" s="478"/>
      <c r="J34" s="478"/>
      <c r="K34" s="478"/>
      <c r="L34" s="478"/>
      <c r="M34" s="478"/>
      <c r="N34" s="478"/>
      <c r="O34" s="478"/>
      <c r="P34" s="478"/>
      <c r="Q34" s="478"/>
      <c r="R34" s="478"/>
      <c r="S34" s="478"/>
      <c r="T34" s="478"/>
      <c r="U34" s="478"/>
      <c r="V34" s="478"/>
      <c r="W34" s="478"/>
      <c r="X34" s="478"/>
      <c r="Y34" s="478"/>
      <c r="Z34" s="478"/>
      <c r="AA34" s="302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2.75" hidden="false" customHeight="false" outlineLevel="0" collapsed="false">
      <c r="A35" s="461"/>
      <c r="B35" s="39" t="s">
        <v>677</v>
      </c>
      <c r="C35" s="39"/>
      <c r="D35" s="106" t="s">
        <v>665</v>
      </c>
      <c r="E35" s="61" t="n">
        <f aca="false">-SUM(Returns!$D$48:D$49)</f>
        <v>-0</v>
      </c>
      <c r="F35" s="61" t="n">
        <f aca="false">-SUM(Returns!$D$48:E$49)</f>
        <v>-0</v>
      </c>
      <c r="G35" s="61" t="n">
        <f aca="false">-SUM(Returns!$D$48:F$49)</f>
        <v>13407.4325998723</v>
      </c>
      <c r="H35" s="61" t="n">
        <f aca="false">-SUM(Returns!$D$48:G$49)</f>
        <v>-0</v>
      </c>
      <c r="I35" s="61" t="n">
        <f aca="false">-SUM(Returns!$D$48:H$49)</f>
        <v>-0</v>
      </c>
      <c r="J35" s="61" t="n">
        <f aca="false">-SUM(Returns!$D$48:I$49)</f>
        <v>-0</v>
      </c>
      <c r="K35" s="61" t="n">
        <f aca="false">-SUM(Returns!$D$48:J$49)</f>
        <v>-0</v>
      </c>
      <c r="L35" s="61" t="n">
        <f aca="false">-SUM(Returns!$D$48:K$49)</f>
        <v>-0</v>
      </c>
      <c r="M35" s="61" t="n">
        <f aca="false">-SUM(Returns!$D$48:L$49)</f>
        <v>-0</v>
      </c>
      <c r="N35" s="61" t="n">
        <f aca="false">-SUM(Returns!$D$48:M$49)</f>
        <v>-0</v>
      </c>
      <c r="O35" s="61" t="n">
        <f aca="false">-SUM(Returns!$D$48:N$49)</f>
        <v>-0</v>
      </c>
      <c r="P35" s="61" t="n">
        <f aca="false">-SUM(Returns!$D$48:O$49)</f>
        <v>-0</v>
      </c>
      <c r="Q35" s="61" t="n">
        <f aca="false">-SUM(Returns!$D$48:P$49)</f>
        <v>-0</v>
      </c>
      <c r="R35" s="61" t="n">
        <f aca="false">-SUM(Returns!$D$48:Q$49)</f>
        <v>-0</v>
      </c>
      <c r="S35" s="61" t="n">
        <f aca="false">-SUM(Returns!$D$48:R$49)</f>
        <v>-0</v>
      </c>
      <c r="T35" s="61" t="n">
        <f aca="false">-SUM(Returns!$D$48:S$49)</f>
        <v>-0</v>
      </c>
      <c r="U35" s="61" t="n">
        <f aca="false">-SUM(Returns!$D$48:T$49)</f>
        <v>-0</v>
      </c>
      <c r="V35" s="61" t="n">
        <f aca="false">-SUM(Returns!$D$48:U$49)</f>
        <v>-0</v>
      </c>
      <c r="W35" s="61" t="n">
        <f aca="false">-SUM(Returns!$D$48:V$49)</f>
        <v>-0</v>
      </c>
      <c r="X35" s="61" t="n">
        <f aca="false">-SUM(Returns!$D$48:W$49)</f>
        <v>-0</v>
      </c>
      <c r="Y35" s="61" t="n">
        <f aca="false">-SUM(Returns!$D$48:X$49)</f>
        <v>-0</v>
      </c>
      <c r="Z35" s="61" t="n">
        <f aca="false">-SUM(Returns!$D$48:Y$49)</f>
        <v>-0</v>
      </c>
      <c r="AA35" s="302"/>
    </row>
    <row r="36" customFormat="false" ht="12.75" hidden="false" customHeight="false" outlineLevel="0" collapsed="false">
      <c r="A36" s="461"/>
      <c r="B36" s="39" t="s">
        <v>678</v>
      </c>
      <c r="C36" s="39"/>
      <c r="D36" s="106" t="s">
        <v>668</v>
      </c>
      <c r="E36" s="61" t="n">
        <f aca="false">-SUM(Returns!$E$48:E$49)</f>
        <v>-0</v>
      </c>
      <c r="F36" s="61" t="n">
        <f aca="false">-SUM(Returns!$E$48:F$49)</f>
        <v>13407.4325998723</v>
      </c>
      <c r="G36" s="61" t="n">
        <f aca="false">-SUM(Returns!$E$48:G$49)</f>
        <v>-0</v>
      </c>
      <c r="H36" s="61" t="n">
        <f aca="false">-SUM(Returns!$E$48:H$49)</f>
        <v>-0</v>
      </c>
      <c r="I36" s="61" t="n">
        <f aca="false">-SUM(Returns!$E$48:I$49)</f>
        <v>-0</v>
      </c>
      <c r="J36" s="61" t="n">
        <f aca="false">-SUM(Returns!$E$48:J$49)</f>
        <v>-0</v>
      </c>
      <c r="K36" s="61" t="n">
        <f aca="false">-SUM(Returns!$E$48:K$49)</f>
        <v>-0</v>
      </c>
      <c r="L36" s="61" t="n">
        <f aca="false">-SUM(Returns!$E$48:L$49)</f>
        <v>-0</v>
      </c>
      <c r="M36" s="61" t="n">
        <f aca="false">-SUM(Returns!$E$48:M$49)</f>
        <v>-0</v>
      </c>
      <c r="N36" s="61" t="n">
        <f aca="false">-SUM(Returns!$E$48:N$49)</f>
        <v>-0</v>
      </c>
      <c r="O36" s="61" t="n">
        <f aca="false">-SUM(Returns!$E$48:O$49)</f>
        <v>-0</v>
      </c>
      <c r="P36" s="61" t="n">
        <f aca="false">-SUM(Returns!$E$48:P$49)</f>
        <v>-0</v>
      </c>
      <c r="Q36" s="61" t="n">
        <f aca="false">-SUM(Returns!$E$48:Q$49)</f>
        <v>-0</v>
      </c>
      <c r="R36" s="61" t="n">
        <f aca="false">-SUM(Returns!$E$48:R$49)</f>
        <v>-0</v>
      </c>
      <c r="S36" s="61" t="n">
        <f aca="false">-SUM(Returns!$E$48:S$49)</f>
        <v>-0</v>
      </c>
      <c r="T36" s="61" t="n">
        <f aca="false">-SUM(Returns!$E$48:T$49)</f>
        <v>-0</v>
      </c>
      <c r="U36" s="61" t="n">
        <f aca="false">-SUM(Returns!$E$48:U$49)</f>
        <v>-0</v>
      </c>
      <c r="V36" s="61" t="n">
        <f aca="false">-SUM(Returns!$E$48:V$49)</f>
        <v>-0</v>
      </c>
      <c r="W36" s="61" t="n">
        <f aca="false">-SUM(Returns!$E$48:W$49)</f>
        <v>-0</v>
      </c>
      <c r="X36" s="61" t="n">
        <f aca="false">-SUM(Returns!$E$48:X$49)</f>
        <v>-0</v>
      </c>
      <c r="Y36" s="61" t="n">
        <f aca="false">-SUM(Returns!$E$48:Y$49)</f>
        <v>-0</v>
      </c>
      <c r="Z36" s="61" t="n">
        <f aca="false">-SUM(Returns!$E$48:Z$49)</f>
        <v>-0</v>
      </c>
      <c r="AA36" s="302"/>
    </row>
    <row r="37" customFormat="false" ht="12.75" hidden="false" customHeight="false" outlineLevel="0" collapsed="false">
      <c r="A37" s="461"/>
      <c r="C37" s="39"/>
      <c r="D37" s="478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302"/>
    </row>
    <row r="38" customFormat="false" ht="12.75" hidden="false" customHeight="false" outlineLevel="0" collapsed="false">
      <c r="A38" s="461"/>
      <c r="B38" s="39" t="s">
        <v>669</v>
      </c>
      <c r="C38" s="39"/>
      <c r="D38" s="106" t="s">
        <v>670</v>
      </c>
      <c r="E38" s="61" t="n">
        <f aca="false">IF(MAX(E$35,E$36)&lt;0,0,MAX(E$35,E$36))</f>
        <v>-0</v>
      </c>
      <c r="F38" s="61" t="n">
        <f aca="false">IF(MAX(F$35,F$36)&lt;0,0,MAX(F$35,F$36))</f>
        <v>13407.4325998723</v>
      </c>
      <c r="G38" s="61" t="n">
        <f aca="false">IF(MAX(G$35,G$36)&lt;0,0,MAX(G$35,G$36))</f>
        <v>13407.4325998723</v>
      </c>
      <c r="H38" s="61" t="n">
        <f aca="false">IF(MAX(H$35,H$36)&lt;0,0,MAX(H$35,H$36))</f>
        <v>-0</v>
      </c>
      <c r="I38" s="61" t="n">
        <f aca="false">IF(MAX(I$35,I$36)&lt;0,0,MAX(I$35,I$36))</f>
        <v>-0</v>
      </c>
      <c r="J38" s="61" t="n">
        <f aca="false">IF(MAX(J$35,J$36)&lt;0,0,MAX(J$35,J$36))</f>
        <v>-0</v>
      </c>
      <c r="K38" s="61" t="n">
        <f aca="false">IF(MAX(K$35,K$36)&lt;0,0,MAX(K$35,K$36))</f>
        <v>-0</v>
      </c>
      <c r="L38" s="61" t="n">
        <f aca="false">IF(MAX(L$35,L$36)&lt;0,0,MAX(L$35,L$36))</f>
        <v>-0</v>
      </c>
      <c r="M38" s="61" t="n">
        <f aca="false">IF(MAX(M$35,M$36)&lt;0,0,MAX(M$35,M$36))</f>
        <v>-0</v>
      </c>
      <c r="N38" s="61" t="n">
        <f aca="false">IF(MAX(N$35,N$36)&lt;0,0,MAX(N$35,N$36))</f>
        <v>-0</v>
      </c>
      <c r="O38" s="61" t="n">
        <f aca="false">IF(MAX(O$35,O$36)&lt;0,0,MAX(O$35,O$36))</f>
        <v>-0</v>
      </c>
      <c r="P38" s="61" t="n">
        <f aca="false">IF(MAX(P$35,P$36)&lt;0,0,MAX(P$35,P$36))</f>
        <v>-0</v>
      </c>
      <c r="Q38" s="61" t="n">
        <f aca="false">IF(MAX(Q$35,Q$36)&lt;0,0,MAX(Q$35,Q$36))</f>
        <v>-0</v>
      </c>
      <c r="R38" s="61" t="n">
        <f aca="false">IF(MAX(R$35,R$36)&lt;0,0,MAX(R$35,R$36))</f>
        <v>-0</v>
      </c>
      <c r="S38" s="61" t="n">
        <f aca="false">IF(MAX(S$35,S$36)&lt;0,0,MAX(S$35,S$36))</f>
        <v>-0</v>
      </c>
      <c r="T38" s="61" t="n">
        <f aca="false">IF(MAX(T$35,T$36)&lt;0,0,MAX(T$35,T$36))</f>
        <v>-0</v>
      </c>
      <c r="U38" s="61" t="n">
        <f aca="false">IF(MAX(U$35,U$36)&lt;0,0,MAX(U$35,U$36))</f>
        <v>-0</v>
      </c>
      <c r="V38" s="61" t="n">
        <f aca="false">IF(MAX(V$35,V$36)&lt;0,0,MAX(V$35,V$36))</f>
        <v>-0</v>
      </c>
      <c r="W38" s="61" t="n">
        <f aca="false">IF(MAX(W$35,W$36)&lt;0,0,MAX(W$35,W$36))</f>
        <v>-0</v>
      </c>
      <c r="X38" s="61" t="n">
        <f aca="false">IF(MAX(X$35,X$36)&lt;0,0,MAX(X$35,X$36))</f>
        <v>-0</v>
      </c>
      <c r="Y38" s="61" t="n">
        <f aca="false">IF(MAX(Y$35,Y$36)&lt;0,0,MAX(Y$35,Y$36))</f>
        <v>-0</v>
      </c>
      <c r="Z38" s="61" t="n">
        <f aca="false">IF(MAX(Z$35,Z$36)&lt;0,0,MAX(Z$35,Z$36))</f>
        <v>-0</v>
      </c>
      <c r="AA38" s="302"/>
    </row>
    <row r="39" customFormat="false" ht="12.75" hidden="false" customHeight="false" outlineLevel="0" collapsed="false">
      <c r="A39" s="461"/>
      <c r="B39" s="39" t="s">
        <v>671</v>
      </c>
      <c r="C39" s="39"/>
      <c r="D39" s="106" t="s">
        <v>672</v>
      </c>
      <c r="E39" s="61" t="n">
        <f aca="false">IF(MIN(E$35,E$36)&lt;0,0,MIN(E$35,E$36))</f>
        <v>-0</v>
      </c>
      <c r="F39" s="61" t="n">
        <f aca="false">IF(MIN(F$35,F$36)&lt;0,0,MIN(F$35,F$36))</f>
        <v>-0</v>
      </c>
      <c r="G39" s="61" t="n">
        <f aca="false">IF(MIN(G$35,G$36)&lt;0,0,MIN(G$35,G$36))</f>
        <v>-0</v>
      </c>
      <c r="H39" s="61" t="n">
        <f aca="false">IF(MIN(H$35,H$36)&lt;0,0,MIN(H$35,H$36))</f>
        <v>-0</v>
      </c>
      <c r="I39" s="61" t="n">
        <f aca="false">IF(MIN(I$35,I$36)&lt;0,0,MIN(I$35,I$36))</f>
        <v>-0</v>
      </c>
      <c r="J39" s="61" t="n">
        <f aca="false">IF(MIN(J$35,J$36)&lt;0,0,MIN(J$35,J$36))</f>
        <v>-0</v>
      </c>
      <c r="K39" s="61" t="n">
        <f aca="false">IF(MIN(K$35,K$36)&lt;0,0,MIN(K$35,K$36))</f>
        <v>-0</v>
      </c>
      <c r="L39" s="61" t="n">
        <f aca="false">IF(MIN(L$35,L$36)&lt;0,0,MIN(L$35,L$36))</f>
        <v>-0</v>
      </c>
      <c r="M39" s="61" t="n">
        <f aca="false">IF(MIN(M$35,M$36)&lt;0,0,MIN(M$35,M$36))</f>
        <v>-0</v>
      </c>
      <c r="N39" s="61" t="n">
        <f aca="false">IF(MIN(N$35,N$36)&lt;0,0,MIN(N$35,N$36))</f>
        <v>-0</v>
      </c>
      <c r="O39" s="61" t="n">
        <f aca="false">IF(MIN(O$35,O$36)&lt;0,0,MIN(O$35,O$36))</f>
        <v>-0</v>
      </c>
      <c r="P39" s="61" t="n">
        <f aca="false">IF(MIN(P$35,P$36)&lt;0,0,MIN(P$35,P$36))</f>
        <v>-0</v>
      </c>
      <c r="Q39" s="61" t="n">
        <f aca="false">IF(MIN(Q$35,Q$36)&lt;0,0,MIN(Q$35,Q$36))</f>
        <v>-0</v>
      </c>
      <c r="R39" s="61" t="n">
        <f aca="false">IF(MIN(R$35,R$36)&lt;0,0,MIN(R$35,R$36))</f>
        <v>-0</v>
      </c>
      <c r="S39" s="61" t="n">
        <f aca="false">IF(MIN(S$35,S$36)&lt;0,0,MIN(S$35,S$36))</f>
        <v>-0</v>
      </c>
      <c r="T39" s="61" t="n">
        <f aca="false">IF(MIN(T$35,T$36)&lt;0,0,MIN(T$35,T$36))</f>
        <v>-0</v>
      </c>
      <c r="U39" s="61" t="n">
        <f aca="false">IF(MIN(U$35,U$36)&lt;0,0,MIN(U$35,U$36))</f>
        <v>-0</v>
      </c>
      <c r="V39" s="61" t="n">
        <f aca="false">IF(MIN(V$35,V$36)&lt;0,0,MIN(V$35,V$36))</f>
        <v>-0</v>
      </c>
      <c r="W39" s="61" t="n">
        <f aca="false">IF(MIN(W$35,W$36)&lt;0,0,MIN(W$35,W$36))</f>
        <v>-0</v>
      </c>
      <c r="X39" s="61" t="n">
        <f aca="false">IF(MIN(X$35,X$36)&lt;0,0,MIN(X$35,X$36))</f>
        <v>-0</v>
      </c>
      <c r="Y39" s="61" t="n">
        <f aca="false">IF(MIN(Y$35,Y$36)&lt;0,0,MIN(Y$35,Y$36))</f>
        <v>-0</v>
      </c>
      <c r="Z39" s="61" t="n">
        <f aca="false">IF(MIN(Z$35,Z$36)&lt;0,0,MIN(Z$35,Z$36))</f>
        <v>-0</v>
      </c>
      <c r="AA39" s="302"/>
    </row>
    <row r="40" customFormat="false" ht="12.75" hidden="false" customHeight="false" outlineLevel="0" collapsed="false">
      <c r="A40" s="37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02"/>
    </row>
    <row r="41" customFormat="false" ht="12.75" hidden="false" customHeight="false" outlineLevel="0" collapsed="false">
      <c r="A41" s="461"/>
      <c r="B41" s="39" t="s">
        <v>673</v>
      </c>
      <c r="C41" s="39"/>
      <c r="D41" s="478"/>
      <c r="E41" s="61" t="n">
        <f aca="false">((E38*2)+E39)/3</f>
        <v>-0</v>
      </c>
      <c r="F41" s="61" t="n">
        <f aca="false">((F38*2)+F39)/3</f>
        <v>8938.28839991485</v>
      </c>
      <c r="G41" s="61" t="n">
        <f aca="false">((G38*2)+G39)/3</f>
        <v>8938.28839991485</v>
      </c>
      <c r="H41" s="61" t="n">
        <f aca="false">((H38*2)+H39)/3</f>
        <v>-0</v>
      </c>
      <c r="I41" s="61" t="n">
        <f aca="false">((I38*2)+I39)/3</f>
        <v>-0</v>
      </c>
      <c r="J41" s="61" t="n">
        <f aca="false">((J38*2)+J39)/3</f>
        <v>-0</v>
      </c>
      <c r="K41" s="61" t="n">
        <f aca="false">((K38*2)+K39)/3</f>
        <v>-0</v>
      </c>
      <c r="L41" s="61" t="n">
        <f aca="false">((L38*2)+L39)/3</f>
        <v>-0</v>
      </c>
      <c r="M41" s="61" t="n">
        <f aca="false">((M38*2)+M39)/3</f>
        <v>-0</v>
      </c>
      <c r="N41" s="61" t="n">
        <f aca="false">((N38*2)+N39)/3</f>
        <v>-0</v>
      </c>
      <c r="O41" s="61" t="n">
        <f aca="false">((O38*2)+O39)/3</f>
        <v>-0</v>
      </c>
      <c r="P41" s="61" t="n">
        <f aca="false">((P38*2)+P39)/3</f>
        <v>-0</v>
      </c>
      <c r="Q41" s="61" t="n">
        <f aca="false">((Q38*2)+Q39)/3</f>
        <v>-0</v>
      </c>
      <c r="R41" s="61" t="n">
        <f aca="false">((R38*2)+R39)/3</f>
        <v>-0</v>
      </c>
      <c r="S41" s="61" t="n">
        <f aca="false">((S38*2)+S39)/3</f>
        <v>-0</v>
      </c>
      <c r="T41" s="61" t="n">
        <f aca="false">((T38*2)+T39)/3</f>
        <v>-0</v>
      </c>
      <c r="U41" s="61" t="n">
        <f aca="false">((U38*2)+U39)/3</f>
        <v>-0</v>
      </c>
      <c r="V41" s="61" t="n">
        <f aca="false">((V38*2)+V39)/3</f>
        <v>-0</v>
      </c>
      <c r="W41" s="61" t="n">
        <f aca="false">((W38*2)+W39)/3</f>
        <v>-0</v>
      </c>
      <c r="X41" s="61" t="n">
        <f aca="false">((X38*2)+X39)/3</f>
        <v>-0</v>
      </c>
      <c r="Y41" s="61" t="n">
        <f aca="false">((Y38*2)+Y39)/3</f>
        <v>-0</v>
      </c>
      <c r="Z41" s="61" t="n">
        <f aca="false">((Z38*2)+Z39)/3</f>
        <v>-0</v>
      </c>
      <c r="AA41" s="302"/>
    </row>
    <row r="42" customFormat="false" ht="12.75" hidden="false" customHeight="false" outlineLevel="0" collapsed="false">
      <c r="A42" s="461"/>
      <c r="B42" s="39" t="s">
        <v>674</v>
      </c>
      <c r="C42" s="629" t="n">
        <f aca="false">Opic</f>
        <v>0.01</v>
      </c>
      <c r="D42" s="478"/>
      <c r="E42" s="628" t="n">
        <f aca="false">$C42</f>
        <v>0.01</v>
      </c>
      <c r="F42" s="628" t="n">
        <f aca="false">$C42</f>
        <v>0.01</v>
      </c>
      <c r="G42" s="628" t="n">
        <f aca="false">$C42</f>
        <v>0.01</v>
      </c>
      <c r="H42" s="628" t="n">
        <f aca="false">$C42</f>
        <v>0.01</v>
      </c>
      <c r="I42" s="628" t="n">
        <f aca="false">$C42</f>
        <v>0.01</v>
      </c>
      <c r="J42" s="628" t="n">
        <f aca="false">$C42</f>
        <v>0.01</v>
      </c>
      <c r="K42" s="628" t="n">
        <f aca="false">$C42</f>
        <v>0.01</v>
      </c>
      <c r="L42" s="628" t="n">
        <f aca="false">$C42</f>
        <v>0.01</v>
      </c>
      <c r="M42" s="628" t="n">
        <f aca="false">$C42</f>
        <v>0.01</v>
      </c>
      <c r="N42" s="628" t="n">
        <f aca="false">$C42</f>
        <v>0.01</v>
      </c>
      <c r="O42" s="628" t="n">
        <f aca="false">$C42</f>
        <v>0.01</v>
      </c>
      <c r="P42" s="628" t="n">
        <f aca="false">$C42</f>
        <v>0.01</v>
      </c>
      <c r="Q42" s="628" t="n">
        <f aca="false">$C42</f>
        <v>0.01</v>
      </c>
      <c r="R42" s="628" t="n">
        <f aca="false">$C42</f>
        <v>0.01</v>
      </c>
      <c r="S42" s="628" t="n">
        <f aca="false">$C42</f>
        <v>0.01</v>
      </c>
      <c r="T42" s="628" t="n">
        <f aca="false">$C42</f>
        <v>0.01</v>
      </c>
      <c r="U42" s="628" t="n">
        <f aca="false">$C42</f>
        <v>0.01</v>
      </c>
      <c r="V42" s="628" t="n">
        <f aca="false">$C42</f>
        <v>0.01</v>
      </c>
      <c r="W42" s="628" t="n">
        <f aca="false">$C42</f>
        <v>0.01</v>
      </c>
      <c r="X42" s="628" t="n">
        <f aca="false">$C42</f>
        <v>0.01</v>
      </c>
      <c r="Y42" s="628" t="n">
        <f aca="false">$C42</f>
        <v>0.01</v>
      </c>
      <c r="Z42" s="628" t="n">
        <f aca="false">$C42</f>
        <v>0.01</v>
      </c>
      <c r="AA42" s="302"/>
    </row>
    <row r="43" customFormat="false" ht="12.75" hidden="false" customHeight="false" outlineLevel="0" collapsed="false">
      <c r="A43" s="513"/>
      <c r="B43" s="446" t="s">
        <v>679</v>
      </c>
      <c r="C43" s="446"/>
      <c r="D43" s="516"/>
      <c r="E43" s="625" t="n">
        <f aca="false">E41*E42</f>
        <v>-0</v>
      </c>
      <c r="F43" s="625" t="n">
        <f aca="false">F41*F42</f>
        <v>89.3828839991485</v>
      </c>
      <c r="G43" s="625" t="n">
        <f aca="false">G41*G42</f>
        <v>89.3828839991485</v>
      </c>
      <c r="H43" s="625" t="n">
        <f aca="false">H41*H42</f>
        <v>-0</v>
      </c>
      <c r="I43" s="625" t="n">
        <f aca="false">I41*I42</f>
        <v>-0</v>
      </c>
      <c r="J43" s="625" t="n">
        <f aca="false">J41*J42</f>
        <v>-0</v>
      </c>
      <c r="K43" s="625" t="n">
        <f aca="false">K41*K42</f>
        <v>-0</v>
      </c>
      <c r="L43" s="625" t="n">
        <f aca="false">L41*L42</f>
        <v>-0</v>
      </c>
      <c r="M43" s="625" t="n">
        <f aca="false">M41*M42</f>
        <v>-0</v>
      </c>
      <c r="N43" s="625" t="n">
        <f aca="false">N41*N42</f>
        <v>-0</v>
      </c>
      <c r="O43" s="625" t="n">
        <f aca="false">O41*O42</f>
        <v>-0</v>
      </c>
      <c r="P43" s="625" t="n">
        <f aca="false">P41*P42</f>
        <v>-0</v>
      </c>
      <c r="Q43" s="625" t="n">
        <f aca="false">Q41*Q42</f>
        <v>-0</v>
      </c>
      <c r="R43" s="625" t="n">
        <f aca="false">R41*R42</f>
        <v>-0</v>
      </c>
      <c r="S43" s="625" t="n">
        <f aca="false">S41*S42</f>
        <v>-0</v>
      </c>
      <c r="T43" s="625" t="n">
        <f aca="false">T41*T42</f>
        <v>-0</v>
      </c>
      <c r="U43" s="625" t="n">
        <f aca="false">U41*U42</f>
        <v>-0</v>
      </c>
      <c r="V43" s="625" t="n">
        <f aca="false">V41*V42</f>
        <v>-0</v>
      </c>
      <c r="W43" s="625" t="n">
        <f aca="false">W41*W42</f>
        <v>-0</v>
      </c>
      <c r="X43" s="625" t="n">
        <f aca="false">X41*X42</f>
        <v>-0</v>
      </c>
      <c r="Y43" s="625" t="n">
        <f aca="false">Y41*Y42</f>
        <v>-0</v>
      </c>
      <c r="Z43" s="625" t="n">
        <f aca="false">Z41*Z42</f>
        <v>-0</v>
      </c>
      <c r="AA43" s="626" t="n">
        <f aca="false">SUM(D43:Z43)</f>
        <v>178.765767998297</v>
      </c>
    </row>
    <row r="44" customFormat="false" ht="12.75" hidden="false" customHeight="false" outlineLevel="0" collapsed="false">
      <c r="A44" s="461"/>
      <c r="C44" s="39"/>
      <c r="D44" s="478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309"/>
    </row>
    <row r="45" customFormat="false" ht="12.75" hidden="false" customHeight="false" outlineLevel="0" collapsed="false">
      <c r="A45" s="460" t="s">
        <v>680</v>
      </c>
      <c r="C45" s="39"/>
      <c r="D45" s="478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309"/>
    </row>
    <row r="46" customFormat="false" ht="12.75" hidden="false" customHeight="false" outlineLevel="0" collapsed="false">
      <c r="A46" s="461"/>
      <c r="B46" s="39" t="s">
        <v>681</v>
      </c>
      <c r="C46" s="39"/>
      <c r="D46" s="106" t="s">
        <v>665</v>
      </c>
      <c r="E46" s="61" t="n">
        <f aca="false">-SUM(Returns!$D$64:D$65)</f>
        <v>-0</v>
      </c>
      <c r="F46" s="61" t="n">
        <f aca="false">-SUM(Returns!$D$64:E$65)</f>
        <v>-0</v>
      </c>
      <c r="G46" s="61" t="n">
        <f aca="false">-SUM(Returns!$D$64:F$65)</f>
        <v>-0</v>
      </c>
      <c r="H46" s="61" t="n">
        <f aca="false">-SUM(Returns!$D$64:G$65)</f>
        <v>728.534139478906</v>
      </c>
      <c r="I46" s="61" t="n">
        <f aca="false">-SUM(Returns!$D$64:H$65)</f>
        <v>742.091098855705</v>
      </c>
      <c r="J46" s="61" t="n">
        <f aca="false">-SUM(Returns!$D$64:I$65)</f>
        <v>708.851104330223</v>
      </c>
      <c r="K46" s="61" t="n">
        <f aca="false">-SUM(Returns!$D$64:J$65)</f>
        <v>671.149471539559</v>
      </c>
      <c r="L46" s="61" t="n">
        <f aca="false">-SUM(Returns!$D$64:K$65)</f>
        <v>628.387337087567</v>
      </c>
      <c r="M46" s="61" t="n">
        <f aca="false">-SUM(Returns!$D$64:L$65)</f>
        <v>579.885455138757</v>
      </c>
      <c r="N46" s="61" t="n">
        <f aca="false">-SUM(Returns!$D$64:M$65)</f>
        <v>524.873408085368</v>
      </c>
      <c r="O46" s="61" t="n">
        <f aca="false">-SUM(Returns!$D$64:N$65)</f>
        <v>462.477369016238</v>
      </c>
      <c r="P46" s="61" t="n">
        <f aca="false">-SUM(Returns!$D$64:O$65)</f>
        <v>391.706221603054</v>
      </c>
      <c r="Q46" s="61" t="n">
        <f aca="false">-SUM(Returns!$D$64:P$65)</f>
        <v>311.435816928335</v>
      </c>
      <c r="R46" s="61" t="n">
        <f aca="false">-SUM(Returns!$D$64:Q$65)</f>
        <v>220.391117186152</v>
      </c>
      <c r="S46" s="61" t="n">
        <f aca="false">-SUM(Returns!$D$64:R$65)</f>
        <v>117.125942621075</v>
      </c>
      <c r="T46" s="61" t="n">
        <f aca="false">-SUM(Returns!$D$64:S$65)</f>
        <v>-0</v>
      </c>
      <c r="U46" s="61" t="n">
        <f aca="false">-SUM(Returns!$D$64:T$65)</f>
        <v>-0</v>
      </c>
      <c r="V46" s="61" t="n">
        <f aca="false">-SUM(Returns!$D$64:U$65)</f>
        <v>-0</v>
      </c>
      <c r="W46" s="61" t="n">
        <f aca="false">-SUM(Returns!$D$64:V$65)</f>
        <v>-0</v>
      </c>
      <c r="X46" s="61" t="n">
        <f aca="false">-SUM(Returns!$D$64:W$65)</f>
        <v>-0</v>
      </c>
      <c r="Y46" s="61" t="n">
        <f aca="false">-SUM(Returns!$D$64:X$65)</f>
        <v>-0</v>
      </c>
      <c r="Z46" s="61" t="n">
        <f aca="false">-SUM(Returns!$D$64:Y$65)</f>
        <v>-0</v>
      </c>
      <c r="AA46" s="302"/>
    </row>
    <row r="47" customFormat="false" ht="12.75" hidden="false" customHeight="false" outlineLevel="0" collapsed="false">
      <c r="A47" s="461"/>
      <c r="B47" s="39" t="s">
        <v>682</v>
      </c>
      <c r="C47" s="39"/>
      <c r="D47" s="106" t="s">
        <v>668</v>
      </c>
      <c r="E47" s="61" t="n">
        <f aca="false">-SUM(Returns!$E$64:E$65)</f>
        <v>-0</v>
      </c>
      <c r="F47" s="61" t="n">
        <f aca="false">-SUM(Returns!$E$64:F$65)</f>
        <v>-0</v>
      </c>
      <c r="G47" s="61" t="n">
        <f aca="false">-SUM(Returns!$E$64:G$65)</f>
        <v>728.534139478906</v>
      </c>
      <c r="H47" s="61" t="n">
        <f aca="false">-SUM(Returns!$E$64:H$65)</f>
        <v>742.091098855705</v>
      </c>
      <c r="I47" s="61" t="n">
        <f aca="false">-SUM(Returns!$E$64:I$65)</f>
        <v>708.851104330223</v>
      </c>
      <c r="J47" s="61" t="n">
        <f aca="false">-SUM(Returns!$E$64:J$65)</f>
        <v>671.149471539559</v>
      </c>
      <c r="K47" s="61" t="n">
        <f aca="false">-SUM(Returns!$E$64:K$65)</f>
        <v>628.387337087567</v>
      </c>
      <c r="L47" s="61" t="n">
        <f aca="false">-SUM(Returns!$E$64:L$65)</f>
        <v>579.885455138757</v>
      </c>
      <c r="M47" s="61" t="n">
        <f aca="false">-SUM(Returns!$E$64:M$65)</f>
        <v>524.873408085368</v>
      </c>
      <c r="N47" s="61" t="n">
        <f aca="false">-SUM(Returns!$E$64:N$65)</f>
        <v>462.477369016238</v>
      </c>
      <c r="O47" s="61" t="n">
        <f aca="false">-SUM(Returns!$E$64:O$65)</f>
        <v>391.706221603054</v>
      </c>
      <c r="P47" s="61" t="n">
        <f aca="false">-SUM(Returns!$E$64:P$65)</f>
        <v>311.435816928335</v>
      </c>
      <c r="Q47" s="61" t="n">
        <f aca="false">-SUM(Returns!$E$64:Q$65)</f>
        <v>220.391117186152</v>
      </c>
      <c r="R47" s="61" t="n">
        <f aca="false">-SUM(Returns!$E$64:R$65)</f>
        <v>117.125942621075</v>
      </c>
      <c r="S47" s="61" t="n">
        <f aca="false">-SUM(Returns!$E$64:S$65)</f>
        <v>-0</v>
      </c>
      <c r="T47" s="61" t="n">
        <f aca="false">-SUM(Returns!$E$64:T$65)</f>
        <v>-0</v>
      </c>
      <c r="U47" s="61" t="n">
        <f aca="false">-SUM(Returns!$E$64:U$65)</f>
        <v>-0</v>
      </c>
      <c r="V47" s="61" t="n">
        <f aca="false">-SUM(Returns!$E$64:V$65)</f>
        <v>-0</v>
      </c>
      <c r="W47" s="61" t="n">
        <f aca="false">-SUM(Returns!$E$64:W$65)</f>
        <v>-0</v>
      </c>
      <c r="X47" s="61" t="n">
        <f aca="false">-SUM(Returns!$E$64:X$65)</f>
        <v>-0</v>
      </c>
      <c r="Y47" s="61" t="n">
        <f aca="false">-SUM(Returns!$E$64:Y$65)</f>
        <v>-0</v>
      </c>
      <c r="Z47" s="61" t="n">
        <f aca="false">-SUM(Returns!$E$64:Z$65)</f>
        <v>-0</v>
      </c>
      <c r="AA47" s="302"/>
    </row>
    <row r="48" customFormat="false" ht="12.75" hidden="false" customHeight="false" outlineLevel="0" collapsed="false">
      <c r="A48" s="461"/>
      <c r="C48" s="39"/>
      <c r="D48" s="478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302"/>
    </row>
    <row r="49" customFormat="false" ht="12.75" hidden="false" customHeight="false" outlineLevel="0" collapsed="false">
      <c r="A49" s="461"/>
      <c r="B49" s="39" t="s">
        <v>669</v>
      </c>
      <c r="C49" s="39"/>
      <c r="D49" s="106" t="s">
        <v>670</v>
      </c>
      <c r="E49" s="61" t="n">
        <f aca="false">IF(MAX(E$46,E$47)&lt;0,0,MAX(E$46,E$47))</f>
        <v>-0</v>
      </c>
      <c r="F49" s="61" t="n">
        <f aca="false">IF(MAX(F$46,F$47)&lt;0,0,MAX(F$46,F$47))</f>
        <v>-0</v>
      </c>
      <c r="G49" s="61" t="n">
        <f aca="false">IF(MAX(G$46,G$47)&lt;0,0,MAX(G$46,G$47))</f>
        <v>728.534139478906</v>
      </c>
      <c r="H49" s="61" t="n">
        <f aca="false">IF(MAX(H$46,H$47)&lt;0,0,MAX(H$46,H$47))</f>
        <v>742.091098855705</v>
      </c>
      <c r="I49" s="61" t="n">
        <f aca="false">IF(MAX(I$46,I$47)&lt;0,0,MAX(I$46,I$47))</f>
        <v>742.091098855705</v>
      </c>
      <c r="J49" s="61" t="n">
        <f aca="false">IF(MAX(J$46,J$47)&lt;0,0,MAX(J$46,J$47))</f>
        <v>708.851104330223</v>
      </c>
      <c r="K49" s="61" t="n">
        <f aca="false">IF(MAX(K$46,K$47)&lt;0,0,MAX(K$46,K$47))</f>
        <v>671.149471539559</v>
      </c>
      <c r="L49" s="61" t="n">
        <f aca="false">IF(MAX(L$46,L$47)&lt;0,0,MAX(L$46,L$47))</f>
        <v>628.387337087567</v>
      </c>
      <c r="M49" s="61" t="n">
        <f aca="false">IF(MAX(M$46,M$47)&lt;0,0,MAX(M$46,M$47))</f>
        <v>579.885455138757</v>
      </c>
      <c r="N49" s="61" t="n">
        <f aca="false">IF(MAX(N$46,N$47)&lt;0,0,MAX(N$46,N$47))</f>
        <v>524.873408085368</v>
      </c>
      <c r="O49" s="61" t="n">
        <f aca="false">IF(MAX(O$46,O$47)&lt;0,0,MAX(O$46,O$47))</f>
        <v>462.477369016238</v>
      </c>
      <c r="P49" s="61" t="n">
        <f aca="false">IF(MAX(P$46,P$47)&lt;0,0,MAX(P$46,P$47))</f>
        <v>391.706221603054</v>
      </c>
      <c r="Q49" s="61" t="n">
        <f aca="false">IF(MAX(Q$46,Q$47)&lt;0,0,MAX(Q$46,Q$47))</f>
        <v>311.435816928335</v>
      </c>
      <c r="R49" s="61" t="n">
        <f aca="false">IF(MAX(R$46,R$47)&lt;0,0,MAX(R$46,R$47))</f>
        <v>220.391117186152</v>
      </c>
      <c r="S49" s="61" t="n">
        <f aca="false">IF(MAX(S$46,S$47)&lt;0,0,MAX(S$46,S$47))</f>
        <v>117.125942621075</v>
      </c>
      <c r="T49" s="61" t="n">
        <f aca="false">IF(MAX(T$46,T$47)&lt;0,0,MAX(T$46,T$47))</f>
        <v>-0</v>
      </c>
      <c r="U49" s="61" t="n">
        <f aca="false">IF(MAX(U$46,U$47)&lt;0,0,MAX(U$46,U$47))</f>
        <v>-0</v>
      </c>
      <c r="V49" s="61" t="n">
        <f aca="false">IF(MAX(V$46,V$47)&lt;0,0,MAX(V$46,V$47))</f>
        <v>-0</v>
      </c>
      <c r="W49" s="61" t="n">
        <f aca="false">IF(MAX(W$46,W$47)&lt;0,0,MAX(W$46,W$47))</f>
        <v>-0</v>
      </c>
      <c r="X49" s="61" t="n">
        <f aca="false">IF(MAX(X$46,X$47)&lt;0,0,MAX(X$46,X$47))</f>
        <v>-0</v>
      </c>
      <c r="Y49" s="61" t="n">
        <f aca="false">IF(MAX(Y$46,Y$47)&lt;0,0,MAX(Y$46,Y$47))</f>
        <v>-0</v>
      </c>
      <c r="Z49" s="61" t="n">
        <f aca="false">IF(MAX(Z$46,Z$47)&lt;0,0,MAX(Z$46,Z$47))</f>
        <v>-0</v>
      </c>
      <c r="AA49" s="302"/>
    </row>
    <row r="50" customFormat="false" ht="12.75" hidden="false" customHeight="false" outlineLevel="0" collapsed="false">
      <c r="A50" s="461"/>
      <c r="B50" s="39" t="s">
        <v>671</v>
      </c>
      <c r="C50" s="39"/>
      <c r="D50" s="106" t="s">
        <v>672</v>
      </c>
      <c r="E50" s="61" t="n">
        <f aca="false">IF(MIN(E$46,E$47)&lt;0,0,MIN(E$46,E$47))</f>
        <v>-0</v>
      </c>
      <c r="F50" s="61" t="n">
        <f aca="false">IF(MIN(F$46,F$47)&lt;0,0,MIN(F$46,F$47))</f>
        <v>-0</v>
      </c>
      <c r="G50" s="61" t="n">
        <f aca="false">IF(MIN(G$46,G$47)&lt;0,0,MIN(G$46,G$47))</f>
        <v>-0</v>
      </c>
      <c r="H50" s="61" t="n">
        <f aca="false">IF(MIN(H$46,H$47)&lt;0,0,MIN(H$46,H$47))</f>
        <v>728.534139478906</v>
      </c>
      <c r="I50" s="61" t="n">
        <f aca="false">IF(MIN(I$46,I$47)&lt;0,0,MIN(I$46,I$47))</f>
        <v>708.851104330223</v>
      </c>
      <c r="J50" s="61" t="n">
        <f aca="false">IF(MIN(J$46,J$47)&lt;0,0,MIN(J$46,J$47))</f>
        <v>671.149471539559</v>
      </c>
      <c r="K50" s="61" t="n">
        <f aca="false">IF(MIN(K$46,K$47)&lt;0,0,MIN(K$46,K$47))</f>
        <v>628.387337087567</v>
      </c>
      <c r="L50" s="61" t="n">
        <f aca="false">IF(MIN(L$46,L$47)&lt;0,0,MIN(L$46,L$47))</f>
        <v>579.885455138757</v>
      </c>
      <c r="M50" s="61" t="n">
        <f aca="false">IF(MIN(M$46,M$47)&lt;0,0,MIN(M$46,M$47))</f>
        <v>524.873408085368</v>
      </c>
      <c r="N50" s="61" t="n">
        <f aca="false">IF(MIN(N$46,N$47)&lt;0,0,MIN(N$46,N$47))</f>
        <v>462.477369016238</v>
      </c>
      <c r="O50" s="61" t="n">
        <f aca="false">IF(MIN(O$46,O$47)&lt;0,0,MIN(O$46,O$47))</f>
        <v>391.706221603054</v>
      </c>
      <c r="P50" s="61" t="n">
        <f aca="false">IF(MIN(P$46,P$47)&lt;0,0,MIN(P$46,P$47))</f>
        <v>311.435816928335</v>
      </c>
      <c r="Q50" s="61" t="n">
        <f aca="false">IF(MIN(Q$46,Q$47)&lt;0,0,MIN(Q$46,Q$47))</f>
        <v>220.391117186152</v>
      </c>
      <c r="R50" s="61" t="n">
        <f aca="false">IF(MIN(R$46,R$47)&lt;0,0,MIN(R$46,R$47))</f>
        <v>117.125942621075</v>
      </c>
      <c r="S50" s="61" t="n">
        <f aca="false">IF(MIN(S$46,S$47)&lt;0,0,MIN(S$46,S$47))</f>
        <v>-0</v>
      </c>
      <c r="T50" s="61" t="n">
        <f aca="false">IF(MIN(T$46,T$47)&lt;0,0,MIN(T$46,T$47))</f>
        <v>-0</v>
      </c>
      <c r="U50" s="61" t="n">
        <f aca="false">IF(MIN(U$46,U$47)&lt;0,0,MIN(U$46,U$47))</f>
        <v>-0</v>
      </c>
      <c r="V50" s="61" t="n">
        <f aca="false">IF(MIN(V$46,V$47)&lt;0,0,MIN(V$46,V$47))</f>
        <v>-0</v>
      </c>
      <c r="W50" s="61" t="n">
        <f aca="false">IF(MIN(W$46,W$47)&lt;0,0,MIN(W$46,W$47))</f>
        <v>-0</v>
      </c>
      <c r="X50" s="61" t="n">
        <f aca="false">IF(MIN(X$46,X$47)&lt;0,0,MIN(X$46,X$47))</f>
        <v>-0</v>
      </c>
      <c r="Y50" s="61" t="n">
        <f aca="false">IF(MIN(Y$46,Y$47)&lt;0,0,MIN(Y$46,Y$47))</f>
        <v>-0</v>
      </c>
      <c r="Z50" s="61" t="n">
        <f aca="false">IF(MIN(Z$46,Z$47)&lt;0,0,MIN(Z$46,Z$47))</f>
        <v>-0</v>
      </c>
      <c r="AA50" s="302"/>
    </row>
    <row r="51" customFormat="false" ht="12.75" hidden="false" customHeight="false" outlineLevel="0" collapsed="false">
      <c r="A51" s="37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02"/>
    </row>
    <row r="52" customFormat="false" ht="12.75" hidden="false" customHeight="false" outlineLevel="0" collapsed="false">
      <c r="A52" s="461"/>
      <c r="B52" s="39" t="s">
        <v>673</v>
      </c>
      <c r="C52" s="39"/>
      <c r="D52" s="478"/>
      <c r="E52" s="61" t="n">
        <f aca="false">((E49*2)+E50)/3</f>
        <v>-0</v>
      </c>
      <c r="F52" s="61" t="n">
        <f aca="false">((F49*2)+F50)/3</f>
        <v>-0</v>
      </c>
      <c r="G52" s="61" t="n">
        <f aca="false">((G49*2)+G50)/3</f>
        <v>485.689426319271</v>
      </c>
      <c r="H52" s="61" t="n">
        <f aca="false">((H49*2)+H50)/3</f>
        <v>737.572112396772</v>
      </c>
      <c r="I52" s="61" t="n">
        <f aca="false">((I49*2)+I50)/3</f>
        <v>731.011100680544</v>
      </c>
      <c r="J52" s="61" t="n">
        <f aca="false">((J49*2)+J50)/3</f>
        <v>696.283893400002</v>
      </c>
      <c r="K52" s="61" t="n">
        <f aca="false">((K49*2)+K50)/3</f>
        <v>656.895426722228</v>
      </c>
      <c r="L52" s="61" t="n">
        <f aca="false">((L49*2)+L50)/3</f>
        <v>612.220043104631</v>
      </c>
      <c r="M52" s="61" t="n">
        <f aca="false">((M49*2)+M50)/3</f>
        <v>561.548106120961</v>
      </c>
      <c r="N52" s="61" t="n">
        <f aca="false">((N49*2)+N50)/3</f>
        <v>504.074728395658</v>
      </c>
      <c r="O52" s="61" t="n">
        <f aca="false">((O49*2)+O50)/3</f>
        <v>438.886986545177</v>
      </c>
      <c r="P52" s="61" t="n">
        <f aca="false">((P49*2)+P50)/3</f>
        <v>364.949420044814</v>
      </c>
      <c r="Q52" s="61" t="n">
        <f aca="false">((Q49*2)+Q50)/3</f>
        <v>281.087583680941</v>
      </c>
      <c r="R52" s="61" t="n">
        <f aca="false">((R49*2)+R50)/3</f>
        <v>185.969392331127</v>
      </c>
      <c r="S52" s="61" t="n">
        <f aca="false">((S49*2)+S50)/3</f>
        <v>78.0839617473833</v>
      </c>
      <c r="T52" s="61" t="n">
        <f aca="false">((T49*2)+T50)/3</f>
        <v>-0</v>
      </c>
      <c r="U52" s="61" t="n">
        <f aca="false">((U49*2)+U50)/3</f>
        <v>-0</v>
      </c>
      <c r="V52" s="61" t="n">
        <f aca="false">((V49*2)+V50)/3</f>
        <v>-0</v>
      </c>
      <c r="W52" s="61" t="n">
        <f aca="false">((W49*2)+W50)/3</f>
        <v>-0</v>
      </c>
      <c r="X52" s="61" t="n">
        <f aca="false">((X49*2)+X50)/3</f>
        <v>-0</v>
      </c>
      <c r="Y52" s="61" t="n">
        <f aca="false">((Y49*2)+Y50)/3</f>
        <v>-0</v>
      </c>
      <c r="Z52" s="61" t="n">
        <f aca="false">((Z49*2)+Z50)/3</f>
        <v>-0</v>
      </c>
      <c r="AA52" s="302"/>
    </row>
    <row r="53" customFormat="false" ht="12.75" hidden="false" customHeight="false" outlineLevel="0" collapsed="false">
      <c r="A53" s="461"/>
      <c r="B53" s="39" t="s">
        <v>674</v>
      </c>
      <c r="C53" s="629" t="n">
        <f aca="false">Opic</f>
        <v>0.01</v>
      </c>
      <c r="D53" s="478"/>
      <c r="E53" s="628" t="n">
        <f aca="false">$C53</f>
        <v>0.01</v>
      </c>
      <c r="F53" s="628" t="n">
        <f aca="false">$C53</f>
        <v>0.01</v>
      </c>
      <c r="G53" s="628" t="n">
        <f aca="false">$C53</f>
        <v>0.01</v>
      </c>
      <c r="H53" s="628" t="n">
        <f aca="false">$C53</f>
        <v>0.01</v>
      </c>
      <c r="I53" s="628" t="n">
        <f aca="false">$C53</f>
        <v>0.01</v>
      </c>
      <c r="J53" s="628" t="n">
        <f aca="false">$C53</f>
        <v>0.01</v>
      </c>
      <c r="K53" s="628" t="n">
        <f aca="false">$C53</f>
        <v>0.01</v>
      </c>
      <c r="L53" s="628" t="n">
        <f aca="false">$C53</f>
        <v>0.01</v>
      </c>
      <c r="M53" s="628" t="n">
        <f aca="false">$C53</f>
        <v>0.01</v>
      </c>
      <c r="N53" s="628" t="n">
        <f aca="false">$C53</f>
        <v>0.01</v>
      </c>
      <c r="O53" s="628" t="n">
        <f aca="false">$C53</f>
        <v>0.01</v>
      </c>
      <c r="P53" s="628" t="n">
        <f aca="false">$C53</f>
        <v>0.01</v>
      </c>
      <c r="Q53" s="628" t="n">
        <f aca="false">$C53</f>
        <v>0.01</v>
      </c>
      <c r="R53" s="628" t="n">
        <f aca="false">$C53</f>
        <v>0.01</v>
      </c>
      <c r="S53" s="628" t="n">
        <f aca="false">$C53</f>
        <v>0.01</v>
      </c>
      <c r="T53" s="628" t="n">
        <f aca="false">$C53</f>
        <v>0.01</v>
      </c>
      <c r="U53" s="628" t="n">
        <f aca="false">$C53</f>
        <v>0.01</v>
      </c>
      <c r="V53" s="628" t="n">
        <f aca="false">$C53</f>
        <v>0.01</v>
      </c>
      <c r="W53" s="628" t="n">
        <f aca="false">$C53</f>
        <v>0.01</v>
      </c>
      <c r="X53" s="628" t="n">
        <f aca="false">$C53</f>
        <v>0.01</v>
      </c>
      <c r="Y53" s="628" t="n">
        <f aca="false">$C53</f>
        <v>0.01</v>
      </c>
      <c r="Z53" s="628" t="n">
        <f aca="false">$C53</f>
        <v>0.01</v>
      </c>
      <c r="AA53" s="302"/>
    </row>
    <row r="54" customFormat="false" ht="12.75" hidden="false" customHeight="false" outlineLevel="0" collapsed="false">
      <c r="A54" s="513"/>
      <c r="B54" s="446" t="s">
        <v>683</v>
      </c>
      <c r="C54" s="446"/>
      <c r="D54" s="516"/>
      <c r="E54" s="625" t="n">
        <f aca="false">E52*E53</f>
        <v>-0</v>
      </c>
      <c r="F54" s="625" t="n">
        <f aca="false">F52*F53</f>
        <v>-0</v>
      </c>
      <c r="G54" s="625" t="n">
        <f aca="false">G52*G53</f>
        <v>4.85689426319271</v>
      </c>
      <c r="H54" s="625" t="n">
        <f aca="false">H52*H53</f>
        <v>7.37572112396772</v>
      </c>
      <c r="I54" s="625" t="n">
        <f aca="false">I52*I53</f>
        <v>7.31011100680544</v>
      </c>
      <c r="J54" s="625" t="n">
        <f aca="false">J52*J53</f>
        <v>6.96283893400002</v>
      </c>
      <c r="K54" s="625" t="n">
        <f aca="false">K52*K53</f>
        <v>6.56895426722228</v>
      </c>
      <c r="L54" s="625" t="n">
        <f aca="false">L52*L53</f>
        <v>6.12220043104631</v>
      </c>
      <c r="M54" s="625" t="n">
        <f aca="false">M52*M53</f>
        <v>5.61548106120961</v>
      </c>
      <c r="N54" s="625" t="n">
        <f aca="false">N52*N53</f>
        <v>5.04074728395658</v>
      </c>
      <c r="O54" s="625" t="n">
        <f aca="false">O52*O53</f>
        <v>4.38886986545177</v>
      </c>
      <c r="P54" s="625" t="n">
        <f aca="false">P52*P53</f>
        <v>3.64949420044814</v>
      </c>
      <c r="Q54" s="625" t="n">
        <f aca="false">Q52*Q53</f>
        <v>2.81087583680941</v>
      </c>
      <c r="R54" s="625" t="n">
        <f aca="false">R52*R53</f>
        <v>1.85969392331127</v>
      </c>
      <c r="S54" s="625" t="n">
        <f aca="false">S52*S53</f>
        <v>0.780839617473833</v>
      </c>
      <c r="T54" s="625" t="n">
        <f aca="false">T52*T53</f>
        <v>-0</v>
      </c>
      <c r="U54" s="625" t="n">
        <f aca="false">U52*U53</f>
        <v>-0</v>
      </c>
      <c r="V54" s="625" t="n">
        <f aca="false">V52*V53</f>
        <v>-0</v>
      </c>
      <c r="W54" s="625" t="n">
        <f aca="false">W52*W53</f>
        <v>-0</v>
      </c>
      <c r="X54" s="625" t="n">
        <f aca="false">X52*X53</f>
        <v>-0</v>
      </c>
      <c r="Y54" s="625" t="n">
        <f aca="false">Y52*Y53</f>
        <v>-0</v>
      </c>
      <c r="Z54" s="625" t="n">
        <f aca="false">Z52*Z53</f>
        <v>-0</v>
      </c>
      <c r="AA54" s="626" t="n">
        <f aca="false">SUM(D54:Z54)</f>
        <v>63.3427218148951</v>
      </c>
    </row>
    <row r="55" customFormat="false" ht="12.75" hidden="false" customHeight="false" outlineLevel="0" collapsed="false">
      <c r="A55" s="37"/>
      <c r="C55" s="39"/>
      <c r="D55" s="39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583"/>
    </row>
    <row r="56" customFormat="false" ht="12.75" hidden="false" customHeight="false" outlineLevel="0" collapsed="false">
      <c r="A56" s="308" t="s">
        <v>684</v>
      </c>
      <c r="C56" s="39"/>
      <c r="D56" s="39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583"/>
    </row>
    <row r="57" customFormat="false" ht="12.75" hidden="false" customHeight="false" outlineLevel="0" collapsed="false">
      <c r="A57" s="327" t="s">
        <v>342</v>
      </c>
      <c r="B57" s="328"/>
      <c r="C57" s="328"/>
      <c r="D57" s="328"/>
      <c r="E57" s="328"/>
      <c r="F57" s="328"/>
      <c r="G57" s="326" t="n">
        <f aca="false">CF!E$46</f>
        <v>0</v>
      </c>
      <c r="H57" s="326" t="n">
        <f aca="false">CF!F$46</f>
        <v>-13.2759999379246</v>
      </c>
      <c r="I57" s="326" t="n">
        <f aca="false">CF!G$46</f>
        <v>8604.19629805644</v>
      </c>
      <c r="J57" s="326" t="n">
        <f aca="false">CF!H$46</f>
        <v>14220.938045162</v>
      </c>
      <c r="K57" s="326" t="n">
        <f aca="false">CF!I$46</f>
        <v>13565.6409996427</v>
      </c>
      <c r="L57" s="326" t="n">
        <f aca="false">CF!J$46</f>
        <v>19099.4312530243</v>
      </c>
      <c r="M57" s="326" t="n">
        <f aca="false">CF!K$46</f>
        <v>19379.6148479407</v>
      </c>
      <c r="N57" s="326" t="n">
        <f aca="false">CF!L$46</f>
        <v>23437.1491854552</v>
      </c>
      <c r="O57" s="326" t="n">
        <f aca="false">CF!M$46</f>
        <v>24344.7076671009</v>
      </c>
      <c r="P57" s="326" t="n">
        <f aca="false">CF!N$46</f>
        <v>24485.4880924593</v>
      </c>
      <c r="Q57" s="326" t="n">
        <f aca="false">CF!O$46</f>
        <v>25830.1534150317</v>
      </c>
      <c r="R57" s="326" t="n">
        <f aca="false">CF!P$46</f>
        <v>26597.1556216309</v>
      </c>
      <c r="S57" s="326" t="n">
        <f aca="false">CF!Q$46</f>
        <v>27679.4585347262</v>
      </c>
      <c r="T57" s="326" t="n">
        <f aca="false">CF!R$46</f>
        <v>29538.859488661</v>
      </c>
      <c r="U57" s="326" t="n">
        <f aca="false">CF!S$46</f>
        <v>28010.2309087519</v>
      </c>
      <c r="V57" s="326" t="n">
        <f aca="false">CF!T$46</f>
        <v>30595.1178173838</v>
      </c>
      <c r="W57" s="326" t="n">
        <f aca="false">CF!U$46</f>
        <v>31458.5672626128</v>
      </c>
      <c r="X57" s="326" t="n">
        <f aca="false">CF!V$46</f>
        <v>32306.0828797343</v>
      </c>
      <c r="Y57" s="326" t="n">
        <f aca="false">CF!W$46</f>
        <v>33381.8136103011</v>
      </c>
      <c r="Z57" s="326" t="n">
        <f aca="false">CF!X$46</f>
        <v>34547.7040372276</v>
      </c>
      <c r="AA57" s="630"/>
      <c r="AB57" s="338"/>
      <c r="AC57" s="338"/>
      <c r="AD57" s="338"/>
      <c r="AE57" s="338"/>
      <c r="AF57" s="338"/>
      <c r="AG57" s="338"/>
      <c r="AH57" s="338"/>
      <c r="AI57" s="338"/>
      <c r="AJ57" s="338"/>
      <c r="AK57" s="338"/>
      <c r="AL57" s="338"/>
      <c r="AM57" s="338"/>
      <c r="AN57" s="338"/>
      <c r="AO57" s="338"/>
      <c r="AP57" s="338"/>
      <c r="AQ57" s="338"/>
      <c r="AR57" s="338"/>
      <c r="AS57" s="338"/>
      <c r="AT57" s="338"/>
      <c r="AU57" s="338"/>
      <c r="AV57" s="338"/>
      <c r="AW57" s="338"/>
      <c r="AX57" s="338"/>
      <c r="AY57" s="338"/>
      <c r="AZ57" s="338"/>
      <c r="BA57" s="338"/>
      <c r="BB57" s="338"/>
      <c r="BC57" s="338"/>
      <c r="BD57" s="338"/>
      <c r="BE57" s="338"/>
      <c r="BF57" s="338"/>
      <c r="BG57" s="338"/>
      <c r="BH57" s="338"/>
      <c r="BI57" s="338"/>
      <c r="BJ57" s="338"/>
      <c r="BK57" s="338"/>
      <c r="BL57" s="338"/>
      <c r="BM57" s="338"/>
      <c r="BN57" s="338"/>
      <c r="BO57" s="338"/>
      <c r="BP57" s="338"/>
      <c r="BQ57" s="338"/>
      <c r="BR57" s="338"/>
      <c r="BS57" s="338"/>
      <c r="BT57" s="338"/>
      <c r="BU57" s="338"/>
      <c r="BV57" s="338"/>
      <c r="BW57" s="338"/>
      <c r="BX57" s="338"/>
      <c r="BY57" s="338"/>
      <c r="BZ57" s="338"/>
      <c r="CA57" s="338"/>
      <c r="CB57" s="338"/>
      <c r="CC57" s="338"/>
      <c r="CD57" s="338"/>
      <c r="CE57" s="338"/>
      <c r="CF57" s="338"/>
      <c r="CG57" s="338"/>
      <c r="CH57" s="338"/>
      <c r="CI57" s="338"/>
      <c r="CJ57" s="338"/>
      <c r="CK57" s="338"/>
      <c r="CL57" s="338"/>
      <c r="CM57" s="338"/>
      <c r="CN57" s="338"/>
      <c r="CO57" s="338"/>
      <c r="CP57" s="338"/>
      <c r="CQ57" s="338"/>
      <c r="CR57" s="338"/>
      <c r="CS57" s="338"/>
      <c r="CT57" s="338"/>
      <c r="CU57" s="338"/>
      <c r="CV57" s="338"/>
      <c r="CW57" s="338"/>
      <c r="CX57" s="338"/>
      <c r="CY57" s="338"/>
      <c r="CZ57" s="338"/>
      <c r="DA57" s="338"/>
      <c r="DB57" s="338"/>
      <c r="DC57" s="338"/>
      <c r="DD57" s="338"/>
      <c r="DE57" s="338"/>
      <c r="DF57" s="338"/>
      <c r="DG57" s="338"/>
      <c r="DH57" s="338"/>
      <c r="DI57" s="338"/>
      <c r="DJ57" s="338"/>
      <c r="DK57" s="338"/>
      <c r="DL57" s="338"/>
      <c r="DM57" s="338"/>
      <c r="DN57" s="338"/>
      <c r="DO57" s="338"/>
      <c r="DP57" s="338"/>
      <c r="DQ57" s="338"/>
      <c r="DR57" s="338"/>
      <c r="DS57" s="338"/>
      <c r="DT57" s="338"/>
      <c r="DU57" s="338"/>
      <c r="DV57" s="338"/>
      <c r="DW57" s="338"/>
      <c r="DX57" s="338"/>
      <c r="DY57" s="338"/>
      <c r="DZ57" s="338"/>
      <c r="EA57" s="338"/>
      <c r="EB57" s="338"/>
      <c r="EC57" s="338"/>
      <c r="ED57" s="338"/>
      <c r="EE57" s="338"/>
      <c r="EF57" s="338"/>
      <c r="EG57" s="338"/>
      <c r="EH57" s="338"/>
      <c r="EI57" s="338"/>
      <c r="EJ57" s="338"/>
      <c r="EK57" s="338"/>
      <c r="EL57" s="338"/>
      <c r="EM57" s="338"/>
      <c r="EN57" s="338"/>
      <c r="EO57" s="338"/>
      <c r="EP57" s="338"/>
      <c r="EQ57" s="338"/>
      <c r="ER57" s="338"/>
      <c r="ES57" s="338"/>
      <c r="ET57" s="338"/>
      <c r="EU57" s="338"/>
      <c r="EV57" s="338"/>
      <c r="EW57" s="338"/>
      <c r="EX57" s="338"/>
      <c r="EY57" s="338"/>
      <c r="EZ57" s="338"/>
      <c r="FA57" s="338"/>
      <c r="FB57" s="338"/>
      <c r="FC57" s="338"/>
      <c r="FD57" s="338"/>
      <c r="FE57" s="338"/>
      <c r="FF57" s="338"/>
      <c r="FG57" s="338"/>
      <c r="FH57" s="338"/>
      <c r="FI57" s="338"/>
      <c r="FJ57" s="338"/>
      <c r="FK57" s="338"/>
      <c r="FL57" s="338"/>
      <c r="FM57" s="338"/>
      <c r="FN57" s="338"/>
      <c r="FO57" s="338"/>
      <c r="FP57" s="338"/>
      <c r="FQ57" s="338"/>
      <c r="FR57" s="338"/>
      <c r="FS57" s="338"/>
      <c r="FT57" s="338"/>
      <c r="FU57" s="338"/>
      <c r="FV57" s="338"/>
      <c r="FW57" s="338"/>
      <c r="FX57" s="338"/>
      <c r="FY57" s="338"/>
      <c r="FZ57" s="338"/>
      <c r="GA57" s="338"/>
      <c r="GB57" s="338"/>
      <c r="GC57" s="338"/>
      <c r="GD57" s="338"/>
      <c r="GE57" s="338"/>
      <c r="GF57" s="338"/>
      <c r="GG57" s="338"/>
      <c r="GH57" s="338"/>
      <c r="GI57" s="338"/>
      <c r="GJ57" s="338"/>
      <c r="GK57" s="338"/>
      <c r="GL57" s="338"/>
      <c r="GM57" s="338"/>
      <c r="GN57" s="338"/>
      <c r="GO57" s="338"/>
      <c r="GP57" s="338"/>
      <c r="GQ57" s="338"/>
      <c r="GR57" s="338"/>
      <c r="GS57" s="338"/>
      <c r="GT57" s="338"/>
      <c r="GU57" s="338"/>
      <c r="GV57" s="338"/>
      <c r="GW57" s="338"/>
      <c r="GX57" s="338"/>
      <c r="GY57" s="338"/>
      <c r="GZ57" s="338"/>
      <c r="HA57" s="338"/>
      <c r="HB57" s="338"/>
      <c r="HC57" s="338"/>
      <c r="HD57" s="338"/>
      <c r="HE57" s="338"/>
      <c r="HF57" s="338"/>
      <c r="HG57" s="338"/>
      <c r="HH57" s="338"/>
      <c r="HI57" s="338"/>
      <c r="HJ57" s="338"/>
      <c r="HK57" s="338"/>
      <c r="HL57" s="338"/>
      <c r="HM57" s="338"/>
      <c r="HN57" s="338"/>
      <c r="HO57" s="338"/>
      <c r="HP57" s="338"/>
      <c r="HQ57" s="338"/>
      <c r="HR57" s="338"/>
      <c r="HS57" s="338"/>
      <c r="HT57" s="338"/>
      <c r="HU57" s="338"/>
      <c r="HV57" s="338"/>
      <c r="HW57" s="338"/>
      <c r="HX57" s="338"/>
      <c r="HY57" s="338"/>
      <c r="HZ57" s="338"/>
      <c r="IA57" s="338"/>
      <c r="IB57" s="338"/>
      <c r="IC57" s="338"/>
      <c r="ID57" s="338"/>
      <c r="IE57" s="338"/>
      <c r="IF57" s="338"/>
      <c r="IG57" s="338"/>
      <c r="IH57" s="338"/>
      <c r="II57" s="338"/>
      <c r="IJ57" s="338"/>
      <c r="IK57" s="338"/>
      <c r="IL57" s="338"/>
      <c r="IM57" s="338"/>
      <c r="IN57" s="338"/>
      <c r="IO57" s="338"/>
      <c r="IP57" s="338"/>
      <c r="IQ57" s="338"/>
      <c r="IR57" s="338"/>
      <c r="IS57" s="338"/>
      <c r="IT57" s="338"/>
      <c r="IU57" s="338"/>
      <c r="IV57" s="338"/>
      <c r="IW57" s="338"/>
    </row>
    <row r="58" customFormat="false" ht="12.75" hidden="false" customHeight="false" outlineLevel="0" collapsed="false">
      <c r="A58" s="327" t="s">
        <v>685</v>
      </c>
      <c r="B58" s="328"/>
      <c r="C58" s="328"/>
      <c r="D58" s="328"/>
      <c r="E58" s="328"/>
      <c r="F58" s="328"/>
      <c r="G58" s="339" t="n">
        <f aca="false">'Debt Amort'!E$14</f>
        <v>0</v>
      </c>
      <c r="H58" s="339" t="n">
        <f aca="false">'Debt Amort'!F$14</f>
        <v>0</v>
      </c>
      <c r="I58" s="339" t="n">
        <f aca="false">'Debt Amort'!G$14</f>
        <v>4298.96714648815</v>
      </c>
      <c r="J58" s="339" t="n">
        <f aca="false">'Debt Amort'!H$14</f>
        <v>11684.357092642</v>
      </c>
      <c r="K58" s="339" t="n">
        <f aca="false">'Debt Amort'!I$14</f>
        <v>12480.1061292434</v>
      </c>
      <c r="L58" s="339" t="n">
        <f aca="false">'Debt Amort'!J$14</f>
        <v>16409.7757658586</v>
      </c>
      <c r="M58" s="339" t="n">
        <f aca="false">'Debt Amort'!K$14</f>
        <v>17438.9061391396</v>
      </c>
      <c r="N58" s="339" t="n">
        <f aca="false">'Debt Amort'!L$14</f>
        <v>17609.0568624874</v>
      </c>
      <c r="O58" s="339" t="n">
        <f aca="false">'Debt Amort'!M$14</f>
        <v>17213.280539693</v>
      </c>
      <c r="P58" s="339" t="n">
        <f aca="false">'Debt Amort'!N$14</f>
        <v>13583.2869797137</v>
      </c>
      <c r="Q58" s="339" t="n">
        <f aca="false">'Debt Amort'!O$14</f>
        <v>10364.9625136822</v>
      </c>
      <c r="R58" s="339" t="n">
        <f aca="false">'Debt Amort'!P$14</f>
        <v>9776.55919551338</v>
      </c>
      <c r="S58" s="339" t="n">
        <f aca="false">'Debt Amort'!Q$14</f>
        <v>10434.504935618</v>
      </c>
      <c r="T58" s="339" t="n">
        <f aca="false">'Debt Amort'!R$14</f>
        <v>10886.6161287487</v>
      </c>
      <c r="U58" s="339" t="n">
        <f aca="false">'Debt Amort'!S$14</f>
        <v>10023.7667479481</v>
      </c>
      <c r="V58" s="339" t="n">
        <f aca="false">'Debt Amort'!T$14</f>
        <v>9442.0487336753</v>
      </c>
      <c r="W58" s="339" t="n">
        <f aca="false">'Debt Amort'!U$14</f>
        <v>6269.25642648273</v>
      </c>
      <c r="X58" s="339" t="n">
        <f aca="false">'Debt Amort'!V$14</f>
        <v>0</v>
      </c>
      <c r="Y58" s="339" t="n">
        <f aca="false">'Debt Amort'!W$14</f>
        <v>0</v>
      </c>
      <c r="Z58" s="339" t="n">
        <f aca="false">'Debt Amort'!X$14</f>
        <v>0</v>
      </c>
      <c r="AA58" s="630"/>
      <c r="AB58" s="338"/>
      <c r="AC58" s="338"/>
      <c r="AD58" s="338"/>
      <c r="AE58" s="338"/>
      <c r="AF58" s="338"/>
      <c r="AG58" s="338"/>
      <c r="AH58" s="338"/>
      <c r="AI58" s="338"/>
      <c r="AJ58" s="338"/>
      <c r="AK58" s="338"/>
      <c r="AL58" s="338"/>
      <c r="AM58" s="338"/>
      <c r="AN58" s="338"/>
      <c r="AO58" s="338"/>
      <c r="AP58" s="338"/>
      <c r="AQ58" s="338"/>
      <c r="AR58" s="338"/>
      <c r="AS58" s="338"/>
      <c r="AT58" s="338"/>
      <c r="AU58" s="338"/>
      <c r="AV58" s="338"/>
      <c r="AW58" s="338"/>
      <c r="AX58" s="338"/>
      <c r="AY58" s="338"/>
      <c r="AZ58" s="338"/>
      <c r="BA58" s="338"/>
      <c r="BB58" s="338"/>
      <c r="BC58" s="338"/>
      <c r="BD58" s="338"/>
      <c r="BE58" s="338"/>
      <c r="BF58" s="338"/>
      <c r="BG58" s="338"/>
      <c r="BH58" s="338"/>
      <c r="BI58" s="338"/>
      <c r="BJ58" s="338"/>
      <c r="BK58" s="338"/>
      <c r="BL58" s="338"/>
      <c r="BM58" s="338"/>
      <c r="BN58" s="338"/>
      <c r="BO58" s="338"/>
      <c r="BP58" s="338"/>
      <c r="BQ58" s="338"/>
      <c r="BR58" s="338"/>
      <c r="BS58" s="338"/>
      <c r="BT58" s="338"/>
      <c r="BU58" s="338"/>
      <c r="BV58" s="338"/>
      <c r="BW58" s="338"/>
      <c r="BX58" s="338"/>
      <c r="BY58" s="338"/>
      <c r="BZ58" s="338"/>
      <c r="CA58" s="338"/>
      <c r="CB58" s="338"/>
      <c r="CC58" s="338"/>
      <c r="CD58" s="338"/>
      <c r="CE58" s="338"/>
      <c r="CF58" s="338"/>
      <c r="CG58" s="338"/>
      <c r="CH58" s="338"/>
      <c r="CI58" s="338"/>
      <c r="CJ58" s="338"/>
      <c r="CK58" s="338"/>
      <c r="CL58" s="338"/>
      <c r="CM58" s="338"/>
      <c r="CN58" s="338"/>
      <c r="CO58" s="338"/>
      <c r="CP58" s="338"/>
      <c r="CQ58" s="338"/>
      <c r="CR58" s="338"/>
      <c r="CS58" s="338"/>
      <c r="CT58" s="338"/>
      <c r="CU58" s="338"/>
      <c r="CV58" s="338"/>
      <c r="CW58" s="338"/>
      <c r="CX58" s="338"/>
      <c r="CY58" s="338"/>
      <c r="CZ58" s="338"/>
      <c r="DA58" s="338"/>
      <c r="DB58" s="338"/>
      <c r="DC58" s="338"/>
      <c r="DD58" s="338"/>
      <c r="DE58" s="338"/>
      <c r="DF58" s="338"/>
      <c r="DG58" s="338"/>
      <c r="DH58" s="338"/>
      <c r="DI58" s="338"/>
      <c r="DJ58" s="338"/>
      <c r="DK58" s="338"/>
      <c r="DL58" s="338"/>
      <c r="DM58" s="338"/>
      <c r="DN58" s="338"/>
      <c r="DO58" s="338"/>
      <c r="DP58" s="338"/>
      <c r="DQ58" s="338"/>
      <c r="DR58" s="338"/>
      <c r="DS58" s="338"/>
      <c r="DT58" s="338"/>
      <c r="DU58" s="338"/>
      <c r="DV58" s="338"/>
      <c r="DW58" s="338"/>
      <c r="DX58" s="338"/>
      <c r="DY58" s="338"/>
      <c r="DZ58" s="338"/>
      <c r="EA58" s="338"/>
      <c r="EB58" s="338"/>
      <c r="EC58" s="338"/>
      <c r="ED58" s="338"/>
      <c r="EE58" s="338"/>
      <c r="EF58" s="338"/>
      <c r="EG58" s="338"/>
      <c r="EH58" s="338"/>
      <c r="EI58" s="338"/>
      <c r="EJ58" s="338"/>
      <c r="EK58" s="338"/>
      <c r="EL58" s="338"/>
      <c r="EM58" s="338"/>
      <c r="EN58" s="338"/>
      <c r="EO58" s="338"/>
      <c r="EP58" s="338"/>
      <c r="EQ58" s="338"/>
      <c r="ER58" s="338"/>
      <c r="ES58" s="338"/>
      <c r="ET58" s="338"/>
      <c r="EU58" s="338"/>
      <c r="EV58" s="338"/>
      <c r="EW58" s="338"/>
      <c r="EX58" s="338"/>
      <c r="EY58" s="338"/>
      <c r="EZ58" s="338"/>
      <c r="FA58" s="338"/>
      <c r="FB58" s="338"/>
      <c r="FC58" s="338"/>
      <c r="FD58" s="338"/>
      <c r="FE58" s="338"/>
      <c r="FF58" s="338"/>
      <c r="FG58" s="338"/>
      <c r="FH58" s="338"/>
      <c r="FI58" s="338"/>
      <c r="FJ58" s="338"/>
      <c r="FK58" s="338"/>
      <c r="FL58" s="338"/>
      <c r="FM58" s="338"/>
      <c r="FN58" s="338"/>
      <c r="FO58" s="338"/>
      <c r="FP58" s="338"/>
      <c r="FQ58" s="338"/>
      <c r="FR58" s="338"/>
      <c r="FS58" s="338"/>
      <c r="FT58" s="338"/>
      <c r="FU58" s="338"/>
      <c r="FV58" s="338"/>
      <c r="FW58" s="338"/>
      <c r="FX58" s="338"/>
      <c r="FY58" s="338"/>
      <c r="FZ58" s="338"/>
      <c r="GA58" s="338"/>
      <c r="GB58" s="338"/>
      <c r="GC58" s="338"/>
      <c r="GD58" s="338"/>
      <c r="GE58" s="338"/>
      <c r="GF58" s="338"/>
      <c r="GG58" s="338"/>
      <c r="GH58" s="338"/>
      <c r="GI58" s="338"/>
      <c r="GJ58" s="338"/>
      <c r="GK58" s="338"/>
      <c r="GL58" s="338"/>
      <c r="GM58" s="338"/>
      <c r="GN58" s="338"/>
      <c r="GO58" s="338"/>
      <c r="GP58" s="338"/>
      <c r="GQ58" s="338"/>
      <c r="GR58" s="338"/>
      <c r="GS58" s="338"/>
      <c r="GT58" s="338"/>
      <c r="GU58" s="338"/>
      <c r="GV58" s="338"/>
      <c r="GW58" s="338"/>
      <c r="GX58" s="338"/>
      <c r="GY58" s="338"/>
      <c r="GZ58" s="338"/>
      <c r="HA58" s="338"/>
      <c r="HB58" s="338"/>
      <c r="HC58" s="338"/>
      <c r="HD58" s="338"/>
      <c r="HE58" s="338"/>
      <c r="HF58" s="338"/>
      <c r="HG58" s="338"/>
      <c r="HH58" s="338"/>
      <c r="HI58" s="338"/>
      <c r="HJ58" s="338"/>
      <c r="HK58" s="338"/>
      <c r="HL58" s="338"/>
      <c r="HM58" s="338"/>
      <c r="HN58" s="338"/>
      <c r="HO58" s="338"/>
      <c r="HP58" s="338"/>
      <c r="HQ58" s="338"/>
      <c r="HR58" s="338"/>
      <c r="HS58" s="338"/>
      <c r="HT58" s="338"/>
      <c r="HU58" s="338"/>
      <c r="HV58" s="338"/>
      <c r="HW58" s="338"/>
      <c r="HX58" s="338"/>
      <c r="HY58" s="338"/>
      <c r="HZ58" s="338"/>
      <c r="IA58" s="338"/>
      <c r="IB58" s="338"/>
      <c r="IC58" s="338"/>
      <c r="ID58" s="338"/>
      <c r="IE58" s="338"/>
      <c r="IF58" s="338"/>
      <c r="IG58" s="338"/>
      <c r="IH58" s="338"/>
      <c r="II58" s="338"/>
      <c r="IJ58" s="338"/>
      <c r="IK58" s="338"/>
      <c r="IL58" s="338"/>
      <c r="IM58" s="338"/>
      <c r="IN58" s="338"/>
      <c r="IO58" s="338"/>
      <c r="IP58" s="338"/>
      <c r="IQ58" s="338"/>
      <c r="IR58" s="338"/>
      <c r="IS58" s="338"/>
      <c r="IT58" s="338"/>
      <c r="IU58" s="338"/>
      <c r="IV58" s="338"/>
      <c r="IW58" s="338"/>
    </row>
    <row r="59" customFormat="false" ht="12.75" hidden="false" customHeight="false" outlineLevel="0" collapsed="false">
      <c r="A59" s="37" t="s">
        <v>686</v>
      </c>
      <c r="C59" s="106" t="s">
        <v>687</v>
      </c>
      <c r="D59" s="39"/>
      <c r="E59" s="39"/>
      <c r="F59" s="39"/>
      <c r="G59" s="631" t="str">
        <f aca="false">IF(G58=0,"N/A",G57/G58)</f>
        <v>N/A</v>
      </c>
      <c r="H59" s="631" t="str">
        <f aca="false">IF(H58=0,"N/A",H57/H58)</f>
        <v>N/A</v>
      </c>
      <c r="I59" s="631" t="n">
        <f aca="false">IF(I58=0,"N/A",I57/I58)</f>
        <v>2.00145663013156</v>
      </c>
      <c r="J59" s="631" t="n">
        <f aca="false">IF(J58=0,"N/A",J57/J58)</f>
        <v>1.2170920430117</v>
      </c>
      <c r="K59" s="631" t="n">
        <f aca="false">IF(K58=0,"N/A",K57/K58)</f>
        <v>1.08698122108558</v>
      </c>
      <c r="L59" s="631" t="n">
        <f aca="false">IF(L58=0,"N/A",L57/L58)</f>
        <v>1.1639056819266</v>
      </c>
      <c r="M59" s="631" t="n">
        <f aca="false">IF(M58=0,"N/A",M57/M58)</f>
        <v>1.11128614910343</v>
      </c>
      <c r="N59" s="631" t="n">
        <f aca="false">IF(N58=0,"N/A",N57/N58)</f>
        <v>1.33097129326576</v>
      </c>
      <c r="O59" s="631" t="n">
        <f aca="false">IF(O58=0,"N/A",O57/O58)</f>
        <v>1.41429796667539</v>
      </c>
      <c r="P59" s="631" t="n">
        <f aca="false">IF(P58=0,"N/A",P57/P58)</f>
        <v>1.80261877180595</v>
      </c>
      <c r="Q59" s="631" t="n">
        <f aca="false">IF(Q58=0,"N/A",Q57/Q58)</f>
        <v>2.49206433510346</v>
      </c>
      <c r="R59" s="631" t="n">
        <f aca="false">IF(R58=0,"N/A",R57/R58)</f>
        <v>2.72050269320077</v>
      </c>
      <c r="S59" s="631" t="n">
        <f aca="false">IF(S58=0,"N/A",S57/S58)</f>
        <v>2.65268536509508</v>
      </c>
      <c r="T59" s="631" t="n">
        <f aca="false">IF(T58=0,"N/A",T57/T58)</f>
        <v>2.71331873369326</v>
      </c>
      <c r="U59" s="631" t="n">
        <f aca="false">IF(U58=0,"N/A",U57/U58)</f>
        <v>2.79438175419292</v>
      </c>
      <c r="V59" s="631" t="n">
        <f aca="false">IF(V58=0,"N/A",V57/V58)</f>
        <v>3.24030501010501</v>
      </c>
      <c r="W59" s="631" t="n">
        <f aca="false">IF(W58=0,"N/A",W57/W58)</f>
        <v>5.01791043826583</v>
      </c>
      <c r="X59" s="631" t="str">
        <f aca="false">IF(X58=0,"N/A",X57/X58)</f>
        <v>N/A</v>
      </c>
      <c r="Y59" s="631" t="str">
        <f aca="false">IF(Y58=0,"N/A",Y57/Y58)</f>
        <v>N/A</v>
      </c>
      <c r="Z59" s="631" t="str">
        <f aca="false">IF(Z58=0,"N/A",Z57/Z58)</f>
        <v>N/A</v>
      </c>
      <c r="AA59" s="630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  <c r="FO59" s="39"/>
      <c r="FP59" s="39"/>
      <c r="FQ59" s="39"/>
      <c r="FR59" s="39"/>
      <c r="FS59" s="39"/>
      <c r="FT59" s="39"/>
      <c r="FU59" s="39"/>
      <c r="FV59" s="39"/>
      <c r="FW59" s="39"/>
      <c r="FX59" s="39"/>
      <c r="FY59" s="39"/>
      <c r="FZ59" s="39"/>
      <c r="GA59" s="39"/>
      <c r="GB59" s="39"/>
      <c r="GC59" s="39"/>
      <c r="GD59" s="39"/>
      <c r="GE59" s="39"/>
      <c r="GF59" s="39"/>
      <c r="GG59" s="39"/>
      <c r="GH59" s="39"/>
      <c r="GI59" s="39"/>
      <c r="GJ59" s="39"/>
      <c r="GK59" s="39"/>
      <c r="GL59" s="39"/>
      <c r="GM59" s="39"/>
      <c r="GN59" s="39"/>
      <c r="GO59" s="39"/>
      <c r="GP59" s="39"/>
      <c r="GQ59" s="39"/>
      <c r="GR59" s="39"/>
      <c r="GS59" s="39"/>
      <c r="GT59" s="39"/>
      <c r="GU59" s="39"/>
      <c r="GV59" s="39"/>
      <c r="GW59" s="39"/>
      <c r="GX59" s="39"/>
      <c r="GY59" s="39"/>
      <c r="GZ59" s="39"/>
      <c r="HA59" s="39"/>
      <c r="HB59" s="39"/>
      <c r="HC59" s="39"/>
      <c r="HD59" s="39"/>
      <c r="HE59" s="39"/>
      <c r="HF59" s="39"/>
      <c r="HG59" s="39"/>
      <c r="HH59" s="39"/>
      <c r="HI59" s="39"/>
      <c r="HJ59" s="39"/>
      <c r="HK59" s="39"/>
      <c r="HL59" s="39"/>
      <c r="HM59" s="39"/>
      <c r="HN59" s="39"/>
      <c r="HO59" s="39"/>
      <c r="HP59" s="39"/>
      <c r="HQ59" s="39"/>
      <c r="HR59" s="39"/>
      <c r="HS59" s="39"/>
      <c r="HT59" s="39"/>
      <c r="HU59" s="39"/>
      <c r="HV59" s="39"/>
      <c r="HW59" s="39"/>
      <c r="HX59" s="39"/>
      <c r="HY59" s="39"/>
      <c r="HZ59" s="39"/>
      <c r="IA59" s="39"/>
      <c r="IB59" s="39"/>
      <c r="IC59" s="39"/>
      <c r="ID59" s="39"/>
      <c r="IE59" s="39"/>
      <c r="IF59" s="39"/>
      <c r="IG59" s="39"/>
      <c r="IH59" s="39"/>
      <c r="II59" s="39"/>
      <c r="IJ59" s="39"/>
      <c r="IK59" s="39"/>
      <c r="IL59" s="39"/>
      <c r="IM59" s="39"/>
      <c r="IN59" s="39"/>
      <c r="IO59" s="39"/>
      <c r="IP59" s="39"/>
      <c r="IQ59" s="39"/>
      <c r="IR59" s="39"/>
      <c r="IS59" s="39"/>
      <c r="IT59" s="39"/>
      <c r="IU59" s="39"/>
      <c r="IV59" s="39"/>
      <c r="IW59" s="39"/>
    </row>
    <row r="60" customFormat="false" ht="12.75" hidden="false" customHeight="false" outlineLevel="0" collapsed="false">
      <c r="A60" s="37"/>
      <c r="B60" s="328"/>
      <c r="C60" s="39"/>
      <c r="D60" s="39"/>
      <c r="E60" s="328"/>
      <c r="F60" s="328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630"/>
      <c r="AB60" s="328"/>
      <c r="AC60" s="328"/>
      <c r="AD60" s="328"/>
      <c r="AE60" s="328"/>
      <c r="AF60" s="328"/>
      <c r="AG60" s="328"/>
      <c r="AH60" s="328"/>
      <c r="AI60" s="328"/>
      <c r="AJ60" s="328"/>
      <c r="AK60" s="328"/>
      <c r="AL60" s="328"/>
      <c r="AM60" s="328"/>
      <c r="AN60" s="328"/>
      <c r="AO60" s="328"/>
      <c r="AP60" s="328"/>
      <c r="AQ60" s="328"/>
      <c r="AR60" s="328"/>
      <c r="AS60" s="328"/>
      <c r="AT60" s="328"/>
      <c r="AU60" s="328"/>
      <c r="AV60" s="328"/>
      <c r="AW60" s="328"/>
      <c r="AX60" s="328"/>
      <c r="AY60" s="328"/>
      <c r="AZ60" s="328"/>
      <c r="BA60" s="328"/>
      <c r="BB60" s="328"/>
      <c r="BC60" s="328"/>
      <c r="BD60" s="328"/>
      <c r="BE60" s="328"/>
      <c r="BF60" s="328"/>
      <c r="BG60" s="328"/>
      <c r="BH60" s="328"/>
      <c r="BI60" s="328"/>
      <c r="BJ60" s="328"/>
      <c r="BK60" s="328"/>
      <c r="BL60" s="328"/>
      <c r="BM60" s="328"/>
      <c r="BN60" s="328"/>
      <c r="BO60" s="328"/>
      <c r="BP60" s="328"/>
      <c r="BQ60" s="328"/>
      <c r="BR60" s="328"/>
      <c r="BS60" s="328"/>
      <c r="BT60" s="328"/>
      <c r="BU60" s="328"/>
      <c r="BV60" s="328"/>
      <c r="BW60" s="328"/>
      <c r="BX60" s="328"/>
      <c r="BY60" s="328"/>
      <c r="BZ60" s="328"/>
      <c r="CA60" s="328"/>
      <c r="CB60" s="328"/>
      <c r="CC60" s="328"/>
      <c r="CD60" s="328"/>
      <c r="CE60" s="328"/>
      <c r="CF60" s="328"/>
      <c r="CG60" s="328"/>
      <c r="CH60" s="328"/>
      <c r="CI60" s="328"/>
      <c r="CJ60" s="328"/>
      <c r="CK60" s="328"/>
      <c r="CL60" s="328"/>
      <c r="CM60" s="328"/>
      <c r="CN60" s="328"/>
      <c r="CO60" s="328"/>
      <c r="CP60" s="328"/>
      <c r="CQ60" s="328"/>
      <c r="CR60" s="328"/>
      <c r="CS60" s="328"/>
      <c r="CT60" s="328"/>
      <c r="CU60" s="328"/>
      <c r="CV60" s="328"/>
      <c r="CW60" s="328"/>
      <c r="CX60" s="328"/>
      <c r="CY60" s="328"/>
      <c r="CZ60" s="328"/>
      <c r="DA60" s="328"/>
      <c r="DB60" s="328"/>
      <c r="DC60" s="328"/>
      <c r="DD60" s="328"/>
      <c r="DE60" s="328"/>
      <c r="DF60" s="328"/>
      <c r="DG60" s="328"/>
      <c r="DH60" s="328"/>
      <c r="DI60" s="328"/>
      <c r="DJ60" s="328"/>
      <c r="DK60" s="328"/>
      <c r="DL60" s="328"/>
      <c r="DM60" s="328"/>
      <c r="DN60" s="328"/>
      <c r="DO60" s="328"/>
      <c r="DP60" s="328"/>
      <c r="DQ60" s="328"/>
      <c r="DR60" s="328"/>
      <c r="DS60" s="328"/>
      <c r="DT60" s="328"/>
      <c r="DU60" s="328"/>
      <c r="DV60" s="328"/>
      <c r="DW60" s="328"/>
      <c r="DX60" s="328"/>
      <c r="DY60" s="328"/>
      <c r="DZ60" s="328"/>
      <c r="EA60" s="328"/>
      <c r="EB60" s="328"/>
      <c r="EC60" s="328"/>
      <c r="ED60" s="328"/>
      <c r="EE60" s="328"/>
      <c r="EF60" s="328"/>
      <c r="EG60" s="328"/>
      <c r="EH60" s="328"/>
      <c r="EI60" s="328"/>
      <c r="EJ60" s="328"/>
      <c r="EK60" s="328"/>
      <c r="EL60" s="328"/>
      <c r="EM60" s="328"/>
      <c r="EN60" s="328"/>
      <c r="EO60" s="328"/>
      <c r="EP60" s="328"/>
      <c r="EQ60" s="328"/>
      <c r="ER60" s="328"/>
      <c r="ES60" s="328"/>
      <c r="ET60" s="328"/>
      <c r="EU60" s="328"/>
      <c r="EV60" s="328"/>
      <c r="EW60" s="328"/>
      <c r="EX60" s="328"/>
      <c r="EY60" s="328"/>
      <c r="EZ60" s="328"/>
      <c r="FA60" s="328"/>
      <c r="FB60" s="328"/>
      <c r="FC60" s="328"/>
      <c r="FD60" s="328"/>
      <c r="FE60" s="328"/>
      <c r="FF60" s="328"/>
      <c r="FG60" s="328"/>
      <c r="FH60" s="328"/>
      <c r="FI60" s="328"/>
      <c r="FJ60" s="328"/>
      <c r="FK60" s="328"/>
      <c r="FL60" s="328"/>
      <c r="FM60" s="328"/>
      <c r="FN60" s="328"/>
      <c r="FO60" s="328"/>
      <c r="FP60" s="328"/>
      <c r="FQ60" s="328"/>
      <c r="FR60" s="328"/>
      <c r="FS60" s="328"/>
      <c r="FT60" s="328"/>
      <c r="FU60" s="328"/>
      <c r="FV60" s="328"/>
      <c r="FW60" s="328"/>
      <c r="FX60" s="328"/>
      <c r="FY60" s="328"/>
      <c r="FZ60" s="328"/>
      <c r="GA60" s="328"/>
      <c r="GB60" s="328"/>
      <c r="GC60" s="328"/>
      <c r="GD60" s="328"/>
      <c r="GE60" s="328"/>
      <c r="GF60" s="328"/>
      <c r="GG60" s="328"/>
      <c r="GH60" s="328"/>
      <c r="GI60" s="328"/>
      <c r="GJ60" s="328"/>
      <c r="GK60" s="328"/>
      <c r="GL60" s="328"/>
      <c r="GM60" s="328"/>
      <c r="GN60" s="328"/>
      <c r="GO60" s="328"/>
      <c r="GP60" s="328"/>
      <c r="GQ60" s="328"/>
      <c r="GR60" s="328"/>
      <c r="GS60" s="328"/>
      <c r="GT60" s="328"/>
      <c r="GU60" s="328"/>
      <c r="GV60" s="328"/>
      <c r="GW60" s="328"/>
      <c r="GX60" s="328"/>
      <c r="GY60" s="328"/>
      <c r="GZ60" s="328"/>
      <c r="HA60" s="328"/>
      <c r="HB60" s="328"/>
      <c r="HC60" s="328"/>
      <c r="HD60" s="328"/>
      <c r="HE60" s="328"/>
      <c r="HF60" s="328"/>
      <c r="HG60" s="328"/>
      <c r="HH60" s="328"/>
      <c r="HI60" s="328"/>
      <c r="HJ60" s="328"/>
      <c r="HK60" s="328"/>
      <c r="HL60" s="328"/>
      <c r="HM60" s="328"/>
      <c r="HN60" s="328"/>
      <c r="HO60" s="328"/>
      <c r="HP60" s="328"/>
      <c r="HQ60" s="328"/>
      <c r="HR60" s="328"/>
      <c r="HS60" s="328"/>
      <c r="HT60" s="328"/>
      <c r="HU60" s="328"/>
      <c r="HV60" s="328"/>
      <c r="HW60" s="328"/>
      <c r="HX60" s="328"/>
      <c r="HY60" s="328"/>
      <c r="HZ60" s="328"/>
      <c r="IA60" s="328"/>
      <c r="IB60" s="328"/>
      <c r="IC60" s="328"/>
      <c r="ID60" s="328"/>
      <c r="IE60" s="328"/>
      <c r="IF60" s="328"/>
      <c r="IG60" s="328"/>
      <c r="IH60" s="328"/>
      <c r="II60" s="328"/>
      <c r="IJ60" s="328"/>
      <c r="IK60" s="328"/>
      <c r="IL60" s="328"/>
      <c r="IM60" s="328"/>
      <c r="IN60" s="328"/>
      <c r="IO60" s="328"/>
      <c r="IP60" s="328"/>
      <c r="IQ60" s="328"/>
      <c r="IR60" s="328"/>
      <c r="IS60" s="328"/>
      <c r="IT60" s="328"/>
      <c r="IU60" s="328"/>
      <c r="IV60" s="328"/>
      <c r="IW60" s="328"/>
    </row>
    <row r="61" customFormat="false" ht="12.75" hidden="false" customHeight="false" outlineLevel="0" collapsed="false">
      <c r="A61" s="327" t="s">
        <v>342</v>
      </c>
      <c r="B61" s="328"/>
      <c r="C61" s="328"/>
      <c r="D61" s="328"/>
      <c r="E61" s="328"/>
      <c r="F61" s="328"/>
      <c r="G61" s="326" t="n">
        <f aca="false">CF!E$46</f>
        <v>0</v>
      </c>
      <c r="H61" s="326" t="n">
        <f aca="false">CF!F$46</f>
        <v>-13.2759999379246</v>
      </c>
      <c r="I61" s="326" t="n">
        <f aca="false">CF!G$46</f>
        <v>8604.19629805644</v>
      </c>
      <c r="J61" s="326" t="n">
        <f aca="false">CF!H$46</f>
        <v>14220.938045162</v>
      </c>
      <c r="K61" s="326" t="n">
        <f aca="false">CF!I$46</f>
        <v>13565.6409996427</v>
      </c>
      <c r="L61" s="326" t="n">
        <f aca="false">CF!J$46</f>
        <v>19099.4312530243</v>
      </c>
      <c r="M61" s="326" t="n">
        <f aca="false">CF!K$46</f>
        <v>19379.6148479407</v>
      </c>
      <c r="N61" s="326" t="n">
        <f aca="false">CF!L$46</f>
        <v>23437.1491854552</v>
      </c>
      <c r="O61" s="326" t="n">
        <f aca="false">CF!M$46</f>
        <v>24344.7076671009</v>
      </c>
      <c r="P61" s="326" t="n">
        <f aca="false">CF!N$46</f>
        <v>24485.4880924593</v>
      </c>
      <c r="Q61" s="326" t="n">
        <f aca="false">CF!O$46</f>
        <v>25830.1534150317</v>
      </c>
      <c r="R61" s="326" t="n">
        <f aca="false">CF!P$46</f>
        <v>26597.1556216309</v>
      </c>
      <c r="S61" s="326" t="n">
        <f aca="false">CF!Q$46</f>
        <v>27679.4585347262</v>
      </c>
      <c r="T61" s="326" t="n">
        <f aca="false">CF!R$46</f>
        <v>29538.859488661</v>
      </c>
      <c r="U61" s="326" t="n">
        <f aca="false">CF!S$46</f>
        <v>28010.2309087519</v>
      </c>
      <c r="V61" s="326" t="n">
        <f aca="false">CF!T$46</f>
        <v>30595.1178173838</v>
      </c>
      <c r="W61" s="326" t="n">
        <f aca="false">CF!U$46</f>
        <v>31458.5672626128</v>
      </c>
      <c r="X61" s="326" t="n">
        <f aca="false">CF!V$46</f>
        <v>32306.0828797343</v>
      </c>
      <c r="Y61" s="326" t="n">
        <f aca="false">CF!W$46</f>
        <v>33381.8136103011</v>
      </c>
      <c r="Z61" s="326" t="n">
        <f aca="false">CF!X$46</f>
        <v>34547.7040372276</v>
      </c>
      <c r="AA61" s="630"/>
      <c r="AB61" s="338"/>
      <c r="AC61" s="338"/>
      <c r="AD61" s="338"/>
      <c r="AE61" s="338"/>
      <c r="AF61" s="338"/>
      <c r="AG61" s="338"/>
      <c r="AH61" s="338"/>
      <c r="AI61" s="338"/>
      <c r="AJ61" s="338"/>
      <c r="AK61" s="338"/>
      <c r="AL61" s="338"/>
      <c r="AM61" s="338"/>
      <c r="AN61" s="338"/>
      <c r="AO61" s="338"/>
      <c r="AP61" s="338"/>
      <c r="AQ61" s="338"/>
      <c r="AR61" s="338"/>
      <c r="AS61" s="338"/>
      <c r="AT61" s="338"/>
      <c r="AU61" s="338"/>
      <c r="AV61" s="338"/>
      <c r="AW61" s="338"/>
      <c r="AX61" s="338"/>
      <c r="AY61" s="338"/>
      <c r="AZ61" s="338"/>
      <c r="BA61" s="338"/>
      <c r="BB61" s="338"/>
      <c r="BC61" s="338"/>
      <c r="BD61" s="338"/>
      <c r="BE61" s="338"/>
      <c r="BF61" s="338"/>
      <c r="BG61" s="338"/>
      <c r="BH61" s="338"/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  <c r="BU61" s="338"/>
      <c r="BV61" s="338"/>
      <c r="BW61" s="338"/>
      <c r="BX61" s="338"/>
      <c r="BY61" s="338"/>
      <c r="BZ61" s="338"/>
      <c r="CA61" s="338"/>
      <c r="CB61" s="338"/>
      <c r="CC61" s="338"/>
      <c r="CD61" s="338"/>
      <c r="CE61" s="338"/>
      <c r="CF61" s="338"/>
      <c r="CG61" s="338"/>
      <c r="CH61" s="338"/>
      <c r="CI61" s="338"/>
      <c r="CJ61" s="338"/>
      <c r="CK61" s="338"/>
      <c r="CL61" s="338"/>
      <c r="CM61" s="338"/>
      <c r="CN61" s="338"/>
      <c r="CO61" s="338"/>
      <c r="CP61" s="338"/>
      <c r="CQ61" s="338"/>
      <c r="CR61" s="338"/>
      <c r="CS61" s="338"/>
      <c r="CT61" s="338"/>
      <c r="CU61" s="338"/>
      <c r="CV61" s="338"/>
      <c r="CW61" s="338"/>
      <c r="CX61" s="338"/>
      <c r="CY61" s="338"/>
      <c r="CZ61" s="338"/>
      <c r="DA61" s="338"/>
      <c r="DB61" s="338"/>
      <c r="DC61" s="338"/>
      <c r="DD61" s="338"/>
      <c r="DE61" s="338"/>
      <c r="DF61" s="338"/>
      <c r="DG61" s="338"/>
      <c r="DH61" s="338"/>
      <c r="DI61" s="338"/>
      <c r="DJ61" s="338"/>
      <c r="DK61" s="338"/>
      <c r="DL61" s="338"/>
      <c r="DM61" s="338"/>
      <c r="DN61" s="338"/>
      <c r="DO61" s="338"/>
      <c r="DP61" s="338"/>
      <c r="DQ61" s="338"/>
      <c r="DR61" s="338"/>
      <c r="DS61" s="338"/>
      <c r="DT61" s="338"/>
      <c r="DU61" s="338"/>
      <c r="DV61" s="338"/>
      <c r="DW61" s="338"/>
      <c r="DX61" s="338"/>
      <c r="DY61" s="338"/>
      <c r="DZ61" s="338"/>
      <c r="EA61" s="338"/>
      <c r="EB61" s="338"/>
      <c r="EC61" s="338"/>
      <c r="ED61" s="338"/>
      <c r="EE61" s="338"/>
      <c r="EF61" s="338"/>
      <c r="EG61" s="338"/>
      <c r="EH61" s="338"/>
      <c r="EI61" s="338"/>
      <c r="EJ61" s="338"/>
      <c r="EK61" s="338"/>
      <c r="EL61" s="338"/>
      <c r="EM61" s="338"/>
      <c r="EN61" s="338"/>
      <c r="EO61" s="338"/>
      <c r="EP61" s="338"/>
      <c r="EQ61" s="338"/>
      <c r="ER61" s="338"/>
      <c r="ES61" s="338"/>
      <c r="ET61" s="338"/>
      <c r="EU61" s="338"/>
      <c r="EV61" s="338"/>
      <c r="EW61" s="338"/>
      <c r="EX61" s="338"/>
      <c r="EY61" s="338"/>
      <c r="EZ61" s="338"/>
      <c r="FA61" s="338"/>
      <c r="FB61" s="338"/>
      <c r="FC61" s="338"/>
      <c r="FD61" s="338"/>
      <c r="FE61" s="338"/>
      <c r="FF61" s="338"/>
      <c r="FG61" s="338"/>
      <c r="FH61" s="338"/>
      <c r="FI61" s="338"/>
      <c r="FJ61" s="338"/>
      <c r="FK61" s="338"/>
      <c r="FL61" s="338"/>
      <c r="FM61" s="338"/>
      <c r="FN61" s="338"/>
      <c r="FO61" s="338"/>
      <c r="FP61" s="338"/>
      <c r="FQ61" s="338"/>
      <c r="FR61" s="338"/>
      <c r="FS61" s="338"/>
      <c r="FT61" s="338"/>
      <c r="FU61" s="338"/>
      <c r="FV61" s="338"/>
      <c r="FW61" s="338"/>
      <c r="FX61" s="338"/>
      <c r="FY61" s="338"/>
      <c r="FZ61" s="338"/>
      <c r="GA61" s="338"/>
      <c r="GB61" s="338"/>
      <c r="GC61" s="338"/>
      <c r="GD61" s="338"/>
      <c r="GE61" s="338"/>
      <c r="GF61" s="338"/>
      <c r="GG61" s="338"/>
      <c r="GH61" s="338"/>
      <c r="GI61" s="338"/>
      <c r="GJ61" s="338"/>
      <c r="GK61" s="338"/>
      <c r="GL61" s="338"/>
      <c r="GM61" s="338"/>
      <c r="GN61" s="338"/>
      <c r="GO61" s="338"/>
      <c r="GP61" s="338"/>
      <c r="GQ61" s="338"/>
      <c r="GR61" s="338"/>
      <c r="GS61" s="338"/>
      <c r="GT61" s="338"/>
      <c r="GU61" s="338"/>
      <c r="GV61" s="338"/>
      <c r="GW61" s="338"/>
      <c r="GX61" s="338"/>
      <c r="GY61" s="338"/>
      <c r="GZ61" s="338"/>
      <c r="HA61" s="338"/>
      <c r="HB61" s="338"/>
      <c r="HC61" s="338"/>
      <c r="HD61" s="338"/>
      <c r="HE61" s="338"/>
      <c r="HF61" s="338"/>
      <c r="HG61" s="338"/>
      <c r="HH61" s="338"/>
      <c r="HI61" s="338"/>
      <c r="HJ61" s="338"/>
      <c r="HK61" s="338"/>
      <c r="HL61" s="338"/>
      <c r="HM61" s="338"/>
      <c r="HN61" s="338"/>
      <c r="HO61" s="338"/>
      <c r="HP61" s="338"/>
      <c r="HQ61" s="338"/>
      <c r="HR61" s="338"/>
      <c r="HS61" s="338"/>
      <c r="HT61" s="338"/>
      <c r="HU61" s="338"/>
      <c r="HV61" s="338"/>
      <c r="HW61" s="338"/>
      <c r="HX61" s="338"/>
      <c r="HY61" s="338"/>
      <c r="HZ61" s="338"/>
      <c r="IA61" s="338"/>
      <c r="IB61" s="338"/>
      <c r="IC61" s="338"/>
      <c r="ID61" s="338"/>
      <c r="IE61" s="338"/>
      <c r="IF61" s="338"/>
      <c r="IG61" s="338"/>
      <c r="IH61" s="338"/>
      <c r="II61" s="338"/>
      <c r="IJ61" s="338"/>
      <c r="IK61" s="338"/>
      <c r="IL61" s="338"/>
      <c r="IM61" s="338"/>
      <c r="IN61" s="338"/>
      <c r="IO61" s="338"/>
      <c r="IP61" s="338"/>
      <c r="IQ61" s="338"/>
      <c r="IR61" s="338"/>
      <c r="IS61" s="338"/>
      <c r="IT61" s="338"/>
      <c r="IU61" s="338"/>
      <c r="IV61" s="338"/>
      <c r="IW61" s="338"/>
    </row>
    <row r="62" customFormat="false" ht="12.75" hidden="false" customHeight="false" outlineLevel="0" collapsed="false">
      <c r="A62" s="327" t="s">
        <v>356</v>
      </c>
      <c r="B62" s="328"/>
      <c r="C62" s="328"/>
      <c r="D62" s="328"/>
      <c r="E62" s="328"/>
      <c r="F62" s="328"/>
      <c r="G62" s="339" t="n">
        <f aca="false">CF!E64</f>
        <v>-0</v>
      </c>
      <c r="H62" s="339" t="n">
        <f aca="false">CF!F64</f>
        <v>-0</v>
      </c>
      <c r="I62" s="339" t="n">
        <f aca="false">CF!G64</f>
        <v>-0</v>
      </c>
      <c r="J62" s="339" t="n">
        <f aca="false">CF!H64</f>
        <v>-0</v>
      </c>
      <c r="K62" s="339" t="n">
        <f aca="false">CF!I64</f>
        <v>-0</v>
      </c>
      <c r="L62" s="339" t="n">
        <f aca="false">CF!J64</f>
        <v>-0</v>
      </c>
      <c r="M62" s="339" t="n">
        <f aca="false">CF!K64</f>
        <v>-0</v>
      </c>
      <c r="N62" s="339" t="n">
        <f aca="false">CF!L64</f>
        <v>-0</v>
      </c>
      <c r="O62" s="339" t="n">
        <f aca="false">CF!M64</f>
        <v>-0</v>
      </c>
      <c r="P62" s="339" t="n">
        <f aca="false">CF!N64</f>
        <v>-0</v>
      </c>
      <c r="Q62" s="339" t="n">
        <f aca="false">CF!O64</f>
        <v>-0</v>
      </c>
      <c r="R62" s="339" t="n">
        <f aca="false">CF!P64</f>
        <v>-0</v>
      </c>
      <c r="S62" s="339" t="n">
        <f aca="false">CF!Q64</f>
        <v>-1444.79103222073</v>
      </c>
      <c r="T62" s="339" t="n">
        <f aca="false">CF!R64</f>
        <v>-6622.30103253172</v>
      </c>
      <c r="U62" s="339" t="n">
        <f aca="false">CF!S64</f>
        <v>-6455.85623275457</v>
      </c>
      <c r="V62" s="339" t="n">
        <f aca="false">CF!T64</f>
        <v>-7317.7903051127</v>
      </c>
      <c r="W62" s="339" t="n">
        <f aca="false">CF!U64</f>
        <v>-7763.87402573953</v>
      </c>
      <c r="X62" s="339" t="n">
        <f aca="false">CF!V64</f>
        <v>-8076.52071993359</v>
      </c>
      <c r="Y62" s="339" t="n">
        <f aca="false">CF!W64</f>
        <v>-8345.45340257528</v>
      </c>
      <c r="Z62" s="339" t="n">
        <f aca="false">CF!X64</f>
        <v>-8636.92600930691</v>
      </c>
      <c r="AA62" s="630"/>
      <c r="AB62" s="338"/>
      <c r="AC62" s="338"/>
      <c r="AD62" s="338"/>
      <c r="AE62" s="338"/>
      <c r="AF62" s="338"/>
      <c r="AG62" s="338"/>
      <c r="AH62" s="338"/>
      <c r="AI62" s="338"/>
      <c r="AJ62" s="338"/>
      <c r="AK62" s="338"/>
      <c r="AL62" s="338"/>
      <c r="AM62" s="338"/>
      <c r="AN62" s="338"/>
      <c r="AO62" s="338"/>
      <c r="AP62" s="338"/>
      <c r="AQ62" s="338"/>
      <c r="AR62" s="338"/>
      <c r="AS62" s="338"/>
      <c r="AT62" s="338"/>
      <c r="AU62" s="338"/>
      <c r="AV62" s="338"/>
      <c r="AW62" s="338"/>
      <c r="AX62" s="338"/>
      <c r="AY62" s="338"/>
      <c r="AZ62" s="338"/>
      <c r="BA62" s="338"/>
      <c r="BB62" s="338"/>
      <c r="BC62" s="338"/>
      <c r="BD62" s="338"/>
      <c r="BE62" s="338"/>
      <c r="BF62" s="338"/>
      <c r="BG62" s="338"/>
      <c r="BH62" s="338"/>
      <c r="BI62" s="338"/>
      <c r="BJ62" s="338"/>
      <c r="BK62" s="338"/>
      <c r="BL62" s="338"/>
      <c r="BM62" s="338"/>
      <c r="BN62" s="338"/>
      <c r="BO62" s="338"/>
      <c r="BP62" s="338"/>
      <c r="BQ62" s="338"/>
      <c r="BR62" s="338"/>
      <c r="BS62" s="338"/>
      <c r="BT62" s="338"/>
      <c r="BU62" s="338"/>
      <c r="BV62" s="338"/>
      <c r="BW62" s="338"/>
      <c r="BX62" s="338"/>
      <c r="BY62" s="338"/>
      <c r="BZ62" s="338"/>
      <c r="CA62" s="338"/>
      <c r="CB62" s="338"/>
      <c r="CC62" s="338"/>
      <c r="CD62" s="338"/>
      <c r="CE62" s="338"/>
      <c r="CF62" s="338"/>
      <c r="CG62" s="338"/>
      <c r="CH62" s="338"/>
      <c r="CI62" s="338"/>
      <c r="CJ62" s="338"/>
      <c r="CK62" s="338"/>
      <c r="CL62" s="338"/>
      <c r="CM62" s="338"/>
      <c r="CN62" s="338"/>
      <c r="CO62" s="338"/>
      <c r="CP62" s="338"/>
      <c r="CQ62" s="338"/>
      <c r="CR62" s="338"/>
      <c r="CS62" s="338"/>
      <c r="CT62" s="338"/>
      <c r="CU62" s="338"/>
      <c r="CV62" s="338"/>
      <c r="CW62" s="338"/>
      <c r="CX62" s="338"/>
      <c r="CY62" s="338"/>
      <c r="CZ62" s="338"/>
      <c r="DA62" s="338"/>
      <c r="DB62" s="338"/>
      <c r="DC62" s="338"/>
      <c r="DD62" s="338"/>
      <c r="DE62" s="338"/>
      <c r="DF62" s="338"/>
      <c r="DG62" s="338"/>
      <c r="DH62" s="338"/>
      <c r="DI62" s="338"/>
      <c r="DJ62" s="338"/>
      <c r="DK62" s="338"/>
      <c r="DL62" s="338"/>
      <c r="DM62" s="338"/>
      <c r="DN62" s="338"/>
      <c r="DO62" s="338"/>
      <c r="DP62" s="338"/>
      <c r="DQ62" s="338"/>
      <c r="DR62" s="338"/>
      <c r="DS62" s="338"/>
      <c r="DT62" s="338"/>
      <c r="DU62" s="338"/>
      <c r="DV62" s="338"/>
      <c r="DW62" s="338"/>
      <c r="DX62" s="338"/>
      <c r="DY62" s="338"/>
      <c r="DZ62" s="338"/>
      <c r="EA62" s="338"/>
      <c r="EB62" s="338"/>
      <c r="EC62" s="338"/>
      <c r="ED62" s="338"/>
      <c r="EE62" s="338"/>
      <c r="EF62" s="338"/>
      <c r="EG62" s="338"/>
      <c r="EH62" s="338"/>
      <c r="EI62" s="338"/>
      <c r="EJ62" s="338"/>
      <c r="EK62" s="338"/>
      <c r="EL62" s="338"/>
      <c r="EM62" s="338"/>
      <c r="EN62" s="338"/>
      <c r="EO62" s="338"/>
      <c r="EP62" s="338"/>
      <c r="EQ62" s="338"/>
      <c r="ER62" s="338"/>
      <c r="ES62" s="338"/>
      <c r="ET62" s="338"/>
      <c r="EU62" s="338"/>
      <c r="EV62" s="338"/>
      <c r="EW62" s="338"/>
      <c r="EX62" s="338"/>
      <c r="EY62" s="338"/>
      <c r="EZ62" s="338"/>
      <c r="FA62" s="338"/>
      <c r="FB62" s="338"/>
      <c r="FC62" s="338"/>
      <c r="FD62" s="338"/>
      <c r="FE62" s="338"/>
      <c r="FF62" s="338"/>
      <c r="FG62" s="338"/>
      <c r="FH62" s="338"/>
      <c r="FI62" s="338"/>
      <c r="FJ62" s="338"/>
      <c r="FK62" s="338"/>
      <c r="FL62" s="338"/>
      <c r="FM62" s="338"/>
      <c r="FN62" s="338"/>
      <c r="FO62" s="338"/>
      <c r="FP62" s="338"/>
      <c r="FQ62" s="338"/>
      <c r="FR62" s="338"/>
      <c r="FS62" s="338"/>
      <c r="FT62" s="338"/>
      <c r="FU62" s="338"/>
      <c r="FV62" s="338"/>
      <c r="FW62" s="338"/>
      <c r="FX62" s="338"/>
      <c r="FY62" s="338"/>
      <c r="FZ62" s="338"/>
      <c r="GA62" s="338"/>
      <c r="GB62" s="338"/>
      <c r="GC62" s="338"/>
      <c r="GD62" s="338"/>
      <c r="GE62" s="338"/>
      <c r="GF62" s="338"/>
      <c r="GG62" s="338"/>
      <c r="GH62" s="338"/>
      <c r="GI62" s="338"/>
      <c r="GJ62" s="338"/>
      <c r="GK62" s="338"/>
      <c r="GL62" s="338"/>
      <c r="GM62" s="338"/>
      <c r="GN62" s="338"/>
      <c r="GO62" s="338"/>
      <c r="GP62" s="338"/>
      <c r="GQ62" s="338"/>
      <c r="GR62" s="338"/>
      <c r="GS62" s="338"/>
      <c r="GT62" s="338"/>
      <c r="GU62" s="338"/>
      <c r="GV62" s="338"/>
      <c r="GW62" s="338"/>
      <c r="GX62" s="338"/>
      <c r="GY62" s="338"/>
      <c r="GZ62" s="338"/>
      <c r="HA62" s="338"/>
      <c r="HB62" s="338"/>
      <c r="HC62" s="338"/>
      <c r="HD62" s="338"/>
      <c r="HE62" s="338"/>
      <c r="HF62" s="338"/>
      <c r="HG62" s="338"/>
      <c r="HH62" s="338"/>
      <c r="HI62" s="338"/>
      <c r="HJ62" s="338"/>
      <c r="HK62" s="338"/>
      <c r="HL62" s="338"/>
      <c r="HM62" s="338"/>
      <c r="HN62" s="338"/>
      <c r="HO62" s="338"/>
      <c r="HP62" s="338"/>
      <c r="HQ62" s="338"/>
      <c r="HR62" s="338"/>
      <c r="HS62" s="338"/>
      <c r="HT62" s="338"/>
      <c r="HU62" s="338"/>
      <c r="HV62" s="338"/>
      <c r="HW62" s="338"/>
      <c r="HX62" s="338"/>
      <c r="HY62" s="338"/>
      <c r="HZ62" s="338"/>
      <c r="IA62" s="338"/>
      <c r="IB62" s="338"/>
      <c r="IC62" s="338"/>
      <c r="ID62" s="338"/>
      <c r="IE62" s="338"/>
      <c r="IF62" s="338"/>
      <c r="IG62" s="338"/>
      <c r="IH62" s="338"/>
      <c r="II62" s="338"/>
      <c r="IJ62" s="338"/>
      <c r="IK62" s="338"/>
      <c r="IL62" s="338"/>
      <c r="IM62" s="338"/>
      <c r="IN62" s="338"/>
      <c r="IO62" s="338"/>
      <c r="IP62" s="338"/>
      <c r="IQ62" s="338"/>
      <c r="IR62" s="338"/>
      <c r="IS62" s="338"/>
      <c r="IT62" s="338"/>
      <c r="IU62" s="338"/>
      <c r="IV62" s="338"/>
      <c r="IW62" s="338"/>
    </row>
    <row r="63" customFormat="false" ht="12.75" hidden="false" customHeight="false" outlineLevel="0" collapsed="false">
      <c r="A63" s="327" t="s">
        <v>688</v>
      </c>
      <c r="B63" s="328"/>
      <c r="C63" s="328"/>
      <c r="D63" s="328"/>
      <c r="E63" s="328"/>
      <c r="F63" s="328"/>
      <c r="G63" s="326" t="n">
        <f aca="false">SUM(G61:G62)</f>
        <v>0</v>
      </c>
      <c r="H63" s="326" t="n">
        <f aca="false">SUM(H61:H62)</f>
        <v>-13.2759999379246</v>
      </c>
      <c r="I63" s="326" t="n">
        <f aca="false">SUM(I61:I62)</f>
        <v>8604.19629805644</v>
      </c>
      <c r="J63" s="326" t="n">
        <f aca="false">SUM(J61:J62)</f>
        <v>14220.938045162</v>
      </c>
      <c r="K63" s="326" t="n">
        <f aca="false">SUM(K61:K62)</f>
        <v>13565.6409996427</v>
      </c>
      <c r="L63" s="326" t="n">
        <f aca="false">SUM(L61:L62)</f>
        <v>19099.4312530243</v>
      </c>
      <c r="M63" s="326" t="n">
        <f aca="false">SUM(M61:M62)</f>
        <v>19379.6148479407</v>
      </c>
      <c r="N63" s="326" t="n">
        <f aca="false">SUM(N61:N62)</f>
        <v>23437.1491854552</v>
      </c>
      <c r="O63" s="326" t="n">
        <f aca="false">SUM(O61:O62)</f>
        <v>24344.7076671009</v>
      </c>
      <c r="P63" s="326" t="n">
        <f aca="false">SUM(P61:P62)</f>
        <v>24485.4880924593</v>
      </c>
      <c r="Q63" s="326" t="n">
        <f aca="false">SUM(Q61:Q62)</f>
        <v>25830.1534150317</v>
      </c>
      <c r="R63" s="326" t="n">
        <f aca="false">SUM(R61:R62)</f>
        <v>26597.1556216309</v>
      </c>
      <c r="S63" s="326" t="n">
        <f aca="false">SUM(S61:S62)</f>
        <v>26234.6675025055</v>
      </c>
      <c r="T63" s="326" t="n">
        <f aca="false">SUM(T61:T62)</f>
        <v>22916.5584561293</v>
      </c>
      <c r="U63" s="326" t="n">
        <f aca="false">SUM(U61:U62)</f>
        <v>21554.3746759973</v>
      </c>
      <c r="V63" s="326" t="n">
        <f aca="false">SUM(V61:V62)</f>
        <v>23277.3275122711</v>
      </c>
      <c r="W63" s="326" t="n">
        <f aca="false">SUM(W61:W62)</f>
        <v>23694.6932368733</v>
      </c>
      <c r="X63" s="326" t="n">
        <f aca="false">SUM(X61:X62)</f>
        <v>24229.5621598008</v>
      </c>
      <c r="Y63" s="326" t="n">
        <f aca="false">SUM(Y61:Y62)</f>
        <v>25036.3602077258</v>
      </c>
      <c r="Z63" s="326" t="n">
        <f aca="false">SUM(Z61:Z62)</f>
        <v>25910.7780279207</v>
      </c>
      <c r="AA63" s="630"/>
      <c r="AB63" s="338"/>
      <c r="AC63" s="338"/>
      <c r="AD63" s="338"/>
      <c r="AE63" s="338"/>
      <c r="AF63" s="338"/>
      <c r="AG63" s="338"/>
      <c r="AH63" s="338"/>
      <c r="AI63" s="338"/>
      <c r="AJ63" s="338"/>
      <c r="AK63" s="338"/>
      <c r="AL63" s="338"/>
      <c r="AM63" s="338"/>
      <c r="AN63" s="338"/>
      <c r="AO63" s="338"/>
      <c r="AP63" s="338"/>
      <c r="AQ63" s="338"/>
      <c r="AR63" s="338"/>
      <c r="AS63" s="338"/>
      <c r="AT63" s="338"/>
      <c r="AU63" s="338"/>
      <c r="AV63" s="338"/>
      <c r="AW63" s="338"/>
      <c r="AX63" s="338"/>
      <c r="AY63" s="338"/>
      <c r="AZ63" s="338"/>
      <c r="BA63" s="338"/>
      <c r="BB63" s="338"/>
      <c r="BC63" s="338"/>
      <c r="BD63" s="338"/>
      <c r="BE63" s="338"/>
      <c r="BF63" s="338"/>
      <c r="BG63" s="338"/>
      <c r="BH63" s="338"/>
      <c r="BI63" s="338"/>
      <c r="BJ63" s="338"/>
      <c r="BK63" s="338"/>
      <c r="BL63" s="338"/>
      <c r="BM63" s="338"/>
      <c r="BN63" s="338"/>
      <c r="BO63" s="338"/>
      <c r="BP63" s="338"/>
      <c r="BQ63" s="338"/>
      <c r="BR63" s="338"/>
      <c r="BS63" s="338"/>
      <c r="BT63" s="338"/>
      <c r="BU63" s="338"/>
      <c r="BV63" s="338"/>
      <c r="BW63" s="338"/>
      <c r="BX63" s="338"/>
      <c r="BY63" s="338"/>
      <c r="BZ63" s="338"/>
      <c r="CA63" s="338"/>
      <c r="CB63" s="338"/>
      <c r="CC63" s="338"/>
      <c r="CD63" s="338"/>
      <c r="CE63" s="338"/>
      <c r="CF63" s="338"/>
      <c r="CG63" s="338"/>
      <c r="CH63" s="338"/>
      <c r="CI63" s="338"/>
      <c r="CJ63" s="338"/>
      <c r="CK63" s="338"/>
      <c r="CL63" s="338"/>
      <c r="CM63" s="338"/>
      <c r="CN63" s="338"/>
      <c r="CO63" s="338"/>
      <c r="CP63" s="338"/>
      <c r="CQ63" s="338"/>
      <c r="CR63" s="338"/>
      <c r="CS63" s="338"/>
      <c r="CT63" s="338"/>
      <c r="CU63" s="338"/>
      <c r="CV63" s="338"/>
      <c r="CW63" s="338"/>
      <c r="CX63" s="338"/>
      <c r="CY63" s="338"/>
      <c r="CZ63" s="338"/>
      <c r="DA63" s="338"/>
      <c r="DB63" s="338"/>
      <c r="DC63" s="338"/>
      <c r="DD63" s="338"/>
      <c r="DE63" s="338"/>
      <c r="DF63" s="338"/>
      <c r="DG63" s="338"/>
      <c r="DH63" s="338"/>
      <c r="DI63" s="338"/>
      <c r="DJ63" s="338"/>
      <c r="DK63" s="338"/>
      <c r="DL63" s="338"/>
      <c r="DM63" s="338"/>
      <c r="DN63" s="338"/>
      <c r="DO63" s="338"/>
      <c r="DP63" s="338"/>
      <c r="DQ63" s="338"/>
      <c r="DR63" s="338"/>
      <c r="DS63" s="338"/>
      <c r="DT63" s="338"/>
      <c r="DU63" s="338"/>
      <c r="DV63" s="338"/>
      <c r="DW63" s="338"/>
      <c r="DX63" s="338"/>
      <c r="DY63" s="338"/>
      <c r="DZ63" s="338"/>
      <c r="EA63" s="338"/>
      <c r="EB63" s="338"/>
      <c r="EC63" s="338"/>
      <c r="ED63" s="338"/>
      <c r="EE63" s="338"/>
      <c r="EF63" s="338"/>
      <c r="EG63" s="338"/>
      <c r="EH63" s="338"/>
      <c r="EI63" s="338"/>
      <c r="EJ63" s="338"/>
      <c r="EK63" s="338"/>
      <c r="EL63" s="338"/>
      <c r="EM63" s="338"/>
      <c r="EN63" s="338"/>
      <c r="EO63" s="338"/>
      <c r="EP63" s="338"/>
      <c r="EQ63" s="338"/>
      <c r="ER63" s="338"/>
      <c r="ES63" s="338"/>
      <c r="ET63" s="338"/>
      <c r="EU63" s="338"/>
      <c r="EV63" s="338"/>
      <c r="EW63" s="338"/>
      <c r="EX63" s="338"/>
      <c r="EY63" s="338"/>
      <c r="EZ63" s="338"/>
      <c r="FA63" s="338"/>
      <c r="FB63" s="338"/>
      <c r="FC63" s="338"/>
      <c r="FD63" s="338"/>
      <c r="FE63" s="338"/>
      <c r="FF63" s="338"/>
      <c r="FG63" s="338"/>
      <c r="FH63" s="338"/>
      <c r="FI63" s="338"/>
      <c r="FJ63" s="338"/>
      <c r="FK63" s="338"/>
      <c r="FL63" s="338"/>
      <c r="FM63" s="338"/>
      <c r="FN63" s="338"/>
      <c r="FO63" s="338"/>
      <c r="FP63" s="338"/>
      <c r="FQ63" s="338"/>
      <c r="FR63" s="338"/>
      <c r="FS63" s="338"/>
      <c r="FT63" s="338"/>
      <c r="FU63" s="338"/>
      <c r="FV63" s="338"/>
      <c r="FW63" s="338"/>
      <c r="FX63" s="338"/>
      <c r="FY63" s="338"/>
      <c r="FZ63" s="338"/>
      <c r="GA63" s="338"/>
      <c r="GB63" s="338"/>
      <c r="GC63" s="338"/>
      <c r="GD63" s="338"/>
      <c r="GE63" s="338"/>
      <c r="GF63" s="338"/>
      <c r="GG63" s="338"/>
      <c r="GH63" s="338"/>
      <c r="GI63" s="338"/>
      <c r="GJ63" s="338"/>
      <c r="GK63" s="338"/>
      <c r="GL63" s="338"/>
      <c r="GM63" s="338"/>
      <c r="GN63" s="338"/>
      <c r="GO63" s="338"/>
      <c r="GP63" s="338"/>
      <c r="GQ63" s="338"/>
      <c r="GR63" s="338"/>
      <c r="GS63" s="338"/>
      <c r="GT63" s="338"/>
      <c r="GU63" s="338"/>
      <c r="GV63" s="338"/>
      <c r="GW63" s="338"/>
      <c r="GX63" s="338"/>
      <c r="GY63" s="338"/>
      <c r="GZ63" s="338"/>
      <c r="HA63" s="338"/>
      <c r="HB63" s="338"/>
      <c r="HC63" s="338"/>
      <c r="HD63" s="338"/>
      <c r="HE63" s="338"/>
      <c r="HF63" s="338"/>
      <c r="HG63" s="338"/>
      <c r="HH63" s="338"/>
      <c r="HI63" s="338"/>
      <c r="HJ63" s="338"/>
      <c r="HK63" s="338"/>
      <c r="HL63" s="338"/>
      <c r="HM63" s="338"/>
      <c r="HN63" s="338"/>
      <c r="HO63" s="338"/>
      <c r="HP63" s="338"/>
      <c r="HQ63" s="338"/>
      <c r="HR63" s="338"/>
      <c r="HS63" s="338"/>
      <c r="HT63" s="338"/>
      <c r="HU63" s="338"/>
      <c r="HV63" s="338"/>
      <c r="HW63" s="338"/>
      <c r="HX63" s="338"/>
      <c r="HY63" s="338"/>
      <c r="HZ63" s="338"/>
      <c r="IA63" s="338"/>
      <c r="IB63" s="338"/>
      <c r="IC63" s="338"/>
      <c r="ID63" s="338"/>
      <c r="IE63" s="338"/>
      <c r="IF63" s="338"/>
      <c r="IG63" s="338"/>
      <c r="IH63" s="338"/>
      <c r="II63" s="338"/>
      <c r="IJ63" s="338"/>
      <c r="IK63" s="338"/>
      <c r="IL63" s="338"/>
      <c r="IM63" s="338"/>
      <c r="IN63" s="338"/>
      <c r="IO63" s="338"/>
      <c r="IP63" s="338"/>
      <c r="IQ63" s="338"/>
      <c r="IR63" s="338"/>
      <c r="IS63" s="338"/>
      <c r="IT63" s="338"/>
      <c r="IU63" s="338"/>
      <c r="IV63" s="338"/>
      <c r="IW63" s="338"/>
    </row>
    <row r="64" customFormat="false" ht="12.75" hidden="false" customHeight="false" outlineLevel="0" collapsed="false">
      <c r="A64" s="327" t="s">
        <v>685</v>
      </c>
      <c r="B64" s="328"/>
      <c r="C64" s="328"/>
      <c r="D64" s="328"/>
      <c r="E64" s="328"/>
      <c r="F64" s="328"/>
      <c r="G64" s="339" t="n">
        <f aca="false">'Debt Amort'!E$14</f>
        <v>0</v>
      </c>
      <c r="H64" s="339" t="n">
        <f aca="false">'Debt Amort'!F$14</f>
        <v>0</v>
      </c>
      <c r="I64" s="339" t="n">
        <f aca="false">'Debt Amort'!G$14</f>
        <v>4298.96714648815</v>
      </c>
      <c r="J64" s="339" t="n">
        <f aca="false">'Debt Amort'!H$14</f>
        <v>11684.357092642</v>
      </c>
      <c r="K64" s="339" t="n">
        <f aca="false">'Debt Amort'!I$14</f>
        <v>12480.1061292434</v>
      </c>
      <c r="L64" s="339" t="n">
        <f aca="false">'Debt Amort'!J$14</f>
        <v>16409.7757658586</v>
      </c>
      <c r="M64" s="339" t="n">
        <f aca="false">'Debt Amort'!K$14</f>
        <v>17438.9061391396</v>
      </c>
      <c r="N64" s="339" t="n">
        <f aca="false">'Debt Amort'!L$14</f>
        <v>17609.0568624874</v>
      </c>
      <c r="O64" s="339" t="n">
        <f aca="false">'Debt Amort'!M$14</f>
        <v>17213.280539693</v>
      </c>
      <c r="P64" s="339" t="n">
        <f aca="false">'Debt Amort'!N$14</f>
        <v>13583.2869797137</v>
      </c>
      <c r="Q64" s="339" t="n">
        <f aca="false">'Debt Amort'!O$14</f>
        <v>10364.9625136822</v>
      </c>
      <c r="R64" s="339" t="n">
        <f aca="false">'Debt Amort'!P$14</f>
        <v>9776.55919551338</v>
      </c>
      <c r="S64" s="339" t="n">
        <f aca="false">'Debt Amort'!Q$14</f>
        <v>10434.504935618</v>
      </c>
      <c r="T64" s="339" t="n">
        <f aca="false">'Debt Amort'!R$14</f>
        <v>10886.6161287487</v>
      </c>
      <c r="U64" s="339" t="n">
        <f aca="false">'Debt Amort'!S$14</f>
        <v>10023.7667479481</v>
      </c>
      <c r="V64" s="339" t="n">
        <f aca="false">'Debt Amort'!T$14</f>
        <v>9442.0487336753</v>
      </c>
      <c r="W64" s="339" t="n">
        <f aca="false">'Debt Amort'!U$14</f>
        <v>6269.25642648273</v>
      </c>
      <c r="X64" s="339" t="n">
        <f aca="false">'Debt Amort'!V$14</f>
        <v>0</v>
      </c>
      <c r="Y64" s="339" t="n">
        <f aca="false">'Debt Amort'!W$14</f>
        <v>0</v>
      </c>
      <c r="Z64" s="339" t="n">
        <f aca="false">'Debt Amort'!X$14</f>
        <v>0</v>
      </c>
      <c r="AA64" s="630"/>
      <c r="AB64" s="338"/>
      <c r="AC64" s="338"/>
      <c r="AD64" s="338"/>
      <c r="AE64" s="338"/>
      <c r="AF64" s="338"/>
      <c r="AG64" s="338"/>
      <c r="AH64" s="338"/>
      <c r="AI64" s="338"/>
      <c r="AJ64" s="338"/>
      <c r="AK64" s="338"/>
      <c r="AL64" s="338"/>
      <c r="AM64" s="338"/>
      <c r="AN64" s="338"/>
      <c r="AO64" s="338"/>
      <c r="AP64" s="338"/>
      <c r="AQ64" s="338"/>
      <c r="AR64" s="338"/>
      <c r="AS64" s="338"/>
      <c r="AT64" s="338"/>
      <c r="AU64" s="338"/>
      <c r="AV64" s="338"/>
      <c r="AW64" s="338"/>
      <c r="AX64" s="338"/>
      <c r="AY64" s="338"/>
      <c r="AZ64" s="338"/>
      <c r="BA64" s="338"/>
      <c r="BB64" s="338"/>
      <c r="BC64" s="338"/>
      <c r="BD64" s="338"/>
      <c r="BE64" s="338"/>
      <c r="BF64" s="338"/>
      <c r="BG64" s="338"/>
      <c r="BH64" s="338"/>
      <c r="BI64" s="338"/>
      <c r="BJ64" s="338"/>
      <c r="BK64" s="338"/>
      <c r="BL64" s="338"/>
      <c r="BM64" s="338"/>
      <c r="BN64" s="338"/>
      <c r="BO64" s="338"/>
      <c r="BP64" s="338"/>
      <c r="BQ64" s="338"/>
      <c r="BR64" s="338"/>
      <c r="BS64" s="338"/>
      <c r="BT64" s="338"/>
      <c r="BU64" s="338"/>
      <c r="BV64" s="338"/>
      <c r="BW64" s="338"/>
      <c r="BX64" s="338"/>
      <c r="BY64" s="338"/>
      <c r="BZ64" s="338"/>
      <c r="CA64" s="338"/>
      <c r="CB64" s="338"/>
      <c r="CC64" s="338"/>
      <c r="CD64" s="338"/>
      <c r="CE64" s="338"/>
      <c r="CF64" s="338"/>
      <c r="CG64" s="338"/>
      <c r="CH64" s="338"/>
      <c r="CI64" s="338"/>
      <c r="CJ64" s="338"/>
      <c r="CK64" s="338"/>
      <c r="CL64" s="338"/>
      <c r="CM64" s="338"/>
      <c r="CN64" s="338"/>
      <c r="CO64" s="338"/>
      <c r="CP64" s="338"/>
      <c r="CQ64" s="338"/>
      <c r="CR64" s="338"/>
      <c r="CS64" s="338"/>
      <c r="CT64" s="338"/>
      <c r="CU64" s="338"/>
      <c r="CV64" s="338"/>
      <c r="CW64" s="338"/>
      <c r="CX64" s="338"/>
      <c r="CY64" s="338"/>
      <c r="CZ64" s="338"/>
      <c r="DA64" s="338"/>
      <c r="DB64" s="338"/>
      <c r="DC64" s="338"/>
      <c r="DD64" s="338"/>
      <c r="DE64" s="338"/>
      <c r="DF64" s="338"/>
      <c r="DG64" s="338"/>
      <c r="DH64" s="338"/>
      <c r="DI64" s="338"/>
      <c r="DJ64" s="338"/>
      <c r="DK64" s="338"/>
      <c r="DL64" s="338"/>
      <c r="DM64" s="338"/>
      <c r="DN64" s="338"/>
      <c r="DO64" s="338"/>
      <c r="DP64" s="338"/>
      <c r="DQ64" s="338"/>
      <c r="DR64" s="338"/>
      <c r="DS64" s="338"/>
      <c r="DT64" s="338"/>
      <c r="DU64" s="338"/>
      <c r="DV64" s="338"/>
      <c r="DW64" s="338"/>
      <c r="DX64" s="338"/>
      <c r="DY64" s="338"/>
      <c r="DZ64" s="338"/>
      <c r="EA64" s="338"/>
      <c r="EB64" s="338"/>
      <c r="EC64" s="338"/>
      <c r="ED64" s="338"/>
      <c r="EE64" s="338"/>
      <c r="EF64" s="338"/>
      <c r="EG64" s="338"/>
      <c r="EH64" s="338"/>
      <c r="EI64" s="338"/>
      <c r="EJ64" s="338"/>
      <c r="EK64" s="338"/>
      <c r="EL64" s="338"/>
      <c r="EM64" s="338"/>
      <c r="EN64" s="338"/>
      <c r="EO64" s="338"/>
      <c r="EP64" s="338"/>
      <c r="EQ64" s="338"/>
      <c r="ER64" s="338"/>
      <c r="ES64" s="338"/>
      <c r="ET64" s="338"/>
      <c r="EU64" s="338"/>
      <c r="EV64" s="338"/>
      <c r="EW64" s="338"/>
      <c r="EX64" s="338"/>
      <c r="EY64" s="338"/>
      <c r="EZ64" s="338"/>
      <c r="FA64" s="338"/>
      <c r="FB64" s="338"/>
      <c r="FC64" s="338"/>
      <c r="FD64" s="338"/>
      <c r="FE64" s="338"/>
      <c r="FF64" s="338"/>
      <c r="FG64" s="338"/>
      <c r="FH64" s="338"/>
      <c r="FI64" s="338"/>
      <c r="FJ64" s="338"/>
      <c r="FK64" s="338"/>
      <c r="FL64" s="338"/>
      <c r="FM64" s="338"/>
      <c r="FN64" s="338"/>
      <c r="FO64" s="338"/>
      <c r="FP64" s="338"/>
      <c r="FQ64" s="338"/>
      <c r="FR64" s="338"/>
      <c r="FS64" s="338"/>
      <c r="FT64" s="338"/>
      <c r="FU64" s="338"/>
      <c r="FV64" s="338"/>
      <c r="FW64" s="338"/>
      <c r="FX64" s="338"/>
      <c r="FY64" s="338"/>
      <c r="FZ64" s="338"/>
      <c r="GA64" s="338"/>
      <c r="GB64" s="338"/>
      <c r="GC64" s="338"/>
      <c r="GD64" s="338"/>
      <c r="GE64" s="338"/>
      <c r="GF64" s="338"/>
      <c r="GG64" s="338"/>
      <c r="GH64" s="338"/>
      <c r="GI64" s="338"/>
      <c r="GJ64" s="338"/>
      <c r="GK64" s="338"/>
      <c r="GL64" s="338"/>
      <c r="GM64" s="338"/>
      <c r="GN64" s="338"/>
      <c r="GO64" s="338"/>
      <c r="GP64" s="338"/>
      <c r="GQ64" s="338"/>
      <c r="GR64" s="338"/>
      <c r="GS64" s="338"/>
      <c r="GT64" s="338"/>
      <c r="GU64" s="338"/>
      <c r="GV64" s="338"/>
      <c r="GW64" s="338"/>
      <c r="GX64" s="338"/>
      <c r="GY64" s="338"/>
      <c r="GZ64" s="338"/>
      <c r="HA64" s="338"/>
      <c r="HB64" s="338"/>
      <c r="HC64" s="338"/>
      <c r="HD64" s="338"/>
      <c r="HE64" s="338"/>
      <c r="HF64" s="338"/>
      <c r="HG64" s="338"/>
      <c r="HH64" s="338"/>
      <c r="HI64" s="338"/>
      <c r="HJ64" s="338"/>
      <c r="HK64" s="338"/>
      <c r="HL64" s="338"/>
      <c r="HM64" s="338"/>
      <c r="HN64" s="338"/>
      <c r="HO64" s="338"/>
      <c r="HP64" s="338"/>
      <c r="HQ64" s="338"/>
      <c r="HR64" s="338"/>
      <c r="HS64" s="338"/>
      <c r="HT64" s="338"/>
      <c r="HU64" s="338"/>
      <c r="HV64" s="338"/>
      <c r="HW64" s="338"/>
      <c r="HX64" s="338"/>
      <c r="HY64" s="338"/>
      <c r="HZ64" s="338"/>
      <c r="IA64" s="338"/>
      <c r="IB64" s="338"/>
      <c r="IC64" s="338"/>
      <c r="ID64" s="338"/>
      <c r="IE64" s="338"/>
      <c r="IF64" s="338"/>
      <c r="IG64" s="338"/>
      <c r="IH64" s="338"/>
      <c r="II64" s="338"/>
      <c r="IJ64" s="338"/>
      <c r="IK64" s="338"/>
      <c r="IL64" s="338"/>
      <c r="IM64" s="338"/>
      <c r="IN64" s="338"/>
      <c r="IO64" s="338"/>
      <c r="IP64" s="338"/>
      <c r="IQ64" s="338"/>
      <c r="IR64" s="338"/>
      <c r="IS64" s="338"/>
      <c r="IT64" s="338"/>
      <c r="IU64" s="338"/>
      <c r="IV64" s="338"/>
      <c r="IW64" s="338"/>
    </row>
    <row r="65" customFormat="false" ht="13.5" hidden="false" customHeight="false" outlineLevel="0" collapsed="false">
      <c r="A65" s="49" t="s">
        <v>689</v>
      </c>
      <c r="B65" s="22"/>
      <c r="C65" s="262" t="s">
        <v>690</v>
      </c>
      <c r="D65" s="22"/>
      <c r="E65" s="22"/>
      <c r="F65" s="22"/>
      <c r="G65" s="632" t="str">
        <f aca="false">IF(G64=0,"N/A",G63/G64)</f>
        <v>N/A</v>
      </c>
      <c r="H65" s="632" t="str">
        <f aca="false">IF(H64=0,"N/A",H63/H64)</f>
        <v>N/A</v>
      </c>
      <c r="I65" s="632" t="n">
        <f aca="false">IF(I64=0,"N/A",I63/I64)</f>
        <v>2.00145663013156</v>
      </c>
      <c r="J65" s="632" t="n">
        <f aca="false">IF(J64=0,"N/A",J63/J64)</f>
        <v>1.2170920430117</v>
      </c>
      <c r="K65" s="632" t="n">
        <f aca="false">IF(K64=0,"N/A",K63/K64)</f>
        <v>1.08698122108558</v>
      </c>
      <c r="L65" s="632" t="n">
        <f aca="false">IF(L64=0,"N/A",L63/L64)</f>
        <v>1.1639056819266</v>
      </c>
      <c r="M65" s="632" t="n">
        <f aca="false">IF(M64=0,"N/A",M63/M64)</f>
        <v>1.11128614910343</v>
      </c>
      <c r="N65" s="632" t="n">
        <f aca="false">IF(N64=0,"N/A",N63/N64)</f>
        <v>1.33097129326576</v>
      </c>
      <c r="O65" s="632" t="n">
        <f aca="false">IF(O64=0,"N/A",O63/O64)</f>
        <v>1.41429796667539</v>
      </c>
      <c r="P65" s="632" t="n">
        <f aca="false">IF(P64=0,"N/A",P63/P64)</f>
        <v>1.80261877180595</v>
      </c>
      <c r="Q65" s="632" t="n">
        <f aca="false">IF(Q64=0,"N/A",Q63/Q64)</f>
        <v>2.49206433510346</v>
      </c>
      <c r="R65" s="632" t="n">
        <f aca="false">IF(R64=0,"N/A",R63/R64)</f>
        <v>2.72050269320077</v>
      </c>
      <c r="S65" s="632" t="n">
        <f aca="false">IF(S64=0,"N/A",S63/S64)</f>
        <v>2.51422253996488</v>
      </c>
      <c r="T65" s="632" t="n">
        <f aca="false">IF(T64=0,"N/A",T63/T64)</f>
        <v>2.10502126511219</v>
      </c>
      <c r="U65" s="632" t="n">
        <f aca="false">IF(U64=0,"N/A",U63/U64)</f>
        <v>2.1503268399985</v>
      </c>
      <c r="V65" s="632" t="n">
        <f aca="false">IF(V64=0,"N/A",V63/V64)</f>
        <v>2.46528355962111</v>
      </c>
      <c r="W65" s="632" t="n">
        <f aca="false">IF(W64=0,"N/A",W63/W64)</f>
        <v>3.77950615272038</v>
      </c>
      <c r="X65" s="632" t="str">
        <f aca="false">IF(X64=0,"N/A",X63/X64)</f>
        <v>N/A</v>
      </c>
      <c r="Y65" s="632" t="str">
        <f aca="false">IF(Y64=0,"N/A",Y63/Y64)</f>
        <v>N/A</v>
      </c>
      <c r="Z65" s="632" t="str">
        <f aca="false">IF(Z64=0,"N/A",Z63/Z64)</f>
        <v>N/A</v>
      </c>
      <c r="AA65" s="362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I44" activeCellId="0" sqref="I4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7" width="22.7"/>
    <col collapsed="false" customWidth="true" hidden="false" outlineLevel="0" max="3" min="2" style="419" width="11.7"/>
    <col collapsed="false" customWidth="true" hidden="false" outlineLevel="0" max="26" min="4" style="419" width="10.71"/>
    <col collapsed="false" customWidth="true" hidden="false" outlineLevel="0" max="27" min="27" style="67" width="11.7"/>
    <col collapsed="false" customWidth="false" hidden="false" outlineLevel="0" max="257" min="28" style="419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H1" s="451"/>
      <c r="K1" s="452"/>
      <c r="S1" s="418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H2" s="451"/>
      <c r="K2" s="452"/>
      <c r="S2" s="418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F3" s="453"/>
      <c r="H3" s="451"/>
      <c r="K3" s="452"/>
      <c r="T3" s="454"/>
      <c r="U3" s="454"/>
    </row>
    <row r="4" customFormat="false" ht="15.75" hidden="false" customHeight="false" outlineLevel="0" collapsed="false">
      <c r="A4" s="21" t="s">
        <v>691</v>
      </c>
      <c r="B4" s="21"/>
      <c r="C4" s="633"/>
      <c r="D4" s="525"/>
      <c r="E4" s="126"/>
      <c r="F4" s="453"/>
      <c r="H4" s="451"/>
      <c r="K4" s="452"/>
    </row>
    <row r="5" customFormat="false" ht="13.5" hidden="false" customHeight="false" outlineLevel="0" collapsed="false">
      <c r="B5" s="67"/>
      <c r="C5" s="67"/>
      <c r="D5" s="67"/>
      <c r="E5" s="67"/>
      <c r="F5" s="67"/>
      <c r="G5" s="67"/>
      <c r="H5" s="67"/>
      <c r="I5" s="67"/>
    </row>
    <row r="6" customFormat="false" ht="12.75" hidden="false" customHeight="false" outlineLevel="0" collapsed="false">
      <c r="A6" s="634" t="s">
        <v>313</v>
      </c>
      <c r="B6" s="197"/>
      <c r="C6" s="197"/>
      <c r="D6" s="197"/>
      <c r="E6" s="197"/>
      <c r="F6" s="635" t="n">
        <f aca="false">CF!E6</f>
        <v>1</v>
      </c>
      <c r="G6" s="635" t="n">
        <f aca="false">CF!F6</f>
        <v>2</v>
      </c>
      <c r="H6" s="635" t="n">
        <f aca="false">CF!G6</f>
        <v>3</v>
      </c>
      <c r="I6" s="635" t="n">
        <f aca="false">CF!H6</f>
        <v>4</v>
      </c>
      <c r="J6" s="635" t="n">
        <f aca="false">CF!I6</f>
        <v>5</v>
      </c>
      <c r="K6" s="635" t="n">
        <f aca="false">CF!J6</f>
        <v>6</v>
      </c>
      <c r="L6" s="635" t="n">
        <f aca="false">CF!K6</f>
        <v>7</v>
      </c>
      <c r="M6" s="635" t="n">
        <f aca="false">CF!L6</f>
        <v>8</v>
      </c>
      <c r="N6" s="635" t="n">
        <f aca="false">CF!M6</f>
        <v>9</v>
      </c>
      <c r="O6" s="635" t="n">
        <f aca="false">CF!N6</f>
        <v>10</v>
      </c>
      <c r="P6" s="635" t="n">
        <f aca="false">CF!O6</f>
        <v>11</v>
      </c>
      <c r="Q6" s="635" t="n">
        <f aca="false">CF!P6</f>
        <v>12</v>
      </c>
      <c r="R6" s="635" t="n">
        <f aca="false">CF!Q6</f>
        <v>13</v>
      </c>
      <c r="S6" s="635" t="n">
        <f aca="false">CF!R6</f>
        <v>14</v>
      </c>
      <c r="T6" s="635" t="n">
        <f aca="false">CF!S6</f>
        <v>15</v>
      </c>
      <c r="U6" s="635" t="n">
        <f aca="false">CF!T6</f>
        <v>16</v>
      </c>
      <c r="V6" s="635" t="n">
        <f aca="false">CF!U6</f>
        <v>17</v>
      </c>
      <c r="W6" s="635" t="n">
        <f aca="false">CF!V6</f>
        <v>18</v>
      </c>
      <c r="X6" s="635" t="n">
        <f aca="false">CF!W6</f>
        <v>19</v>
      </c>
      <c r="Y6" s="635" t="n">
        <f aca="false">CF!X6</f>
        <v>20</v>
      </c>
      <c r="Z6" s="635" t="n">
        <f aca="false">CF!Y6</f>
        <v>21</v>
      </c>
      <c r="AA6" s="636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</row>
    <row r="7" customFormat="false" ht="13.5" hidden="false" customHeight="false" outlineLevel="0" collapsed="false">
      <c r="A7" s="637" t="s">
        <v>315</v>
      </c>
      <c r="B7" s="638"/>
      <c r="C7" s="203"/>
      <c r="D7" s="203"/>
      <c r="E7" s="639"/>
      <c r="F7" s="640" t="n">
        <f aca="false">CF!E7</f>
        <v>1999</v>
      </c>
      <c r="G7" s="640" t="n">
        <f aca="false">CF!F7</f>
        <v>2000</v>
      </c>
      <c r="H7" s="640" t="n">
        <f aca="false">CF!G7</f>
        <v>2001</v>
      </c>
      <c r="I7" s="640" t="n">
        <f aca="false">CF!H7</f>
        <v>2002</v>
      </c>
      <c r="J7" s="640" t="n">
        <f aca="false">CF!I7</f>
        <v>2003</v>
      </c>
      <c r="K7" s="640" t="n">
        <f aca="false">CF!J7</f>
        <v>2004</v>
      </c>
      <c r="L7" s="640" t="n">
        <f aca="false">CF!K7</f>
        <v>2005</v>
      </c>
      <c r="M7" s="640" t="n">
        <f aca="false">CF!L7</f>
        <v>2006</v>
      </c>
      <c r="N7" s="640" t="n">
        <f aca="false">CF!M7</f>
        <v>2007</v>
      </c>
      <c r="O7" s="640" t="n">
        <f aca="false">CF!N7</f>
        <v>2008</v>
      </c>
      <c r="P7" s="640" t="n">
        <f aca="false">CF!O7</f>
        <v>2009</v>
      </c>
      <c r="Q7" s="640" t="n">
        <f aca="false">CF!P7</f>
        <v>2010</v>
      </c>
      <c r="R7" s="640" t="n">
        <f aca="false">CF!Q7</f>
        <v>2011</v>
      </c>
      <c r="S7" s="640" t="n">
        <f aca="false">CF!R7</f>
        <v>2012</v>
      </c>
      <c r="T7" s="640" t="n">
        <f aca="false">CF!S7</f>
        <v>2013</v>
      </c>
      <c r="U7" s="640" t="n">
        <f aca="false">CF!T7</f>
        <v>2014</v>
      </c>
      <c r="V7" s="640" t="n">
        <f aca="false">CF!U7</f>
        <v>2015</v>
      </c>
      <c r="W7" s="640" t="n">
        <f aca="false">CF!V7</f>
        <v>2016</v>
      </c>
      <c r="X7" s="640" t="n">
        <f aca="false">CF!W7</f>
        <v>2017</v>
      </c>
      <c r="Y7" s="640" t="n">
        <f aca="false">CF!X7</f>
        <v>2018</v>
      </c>
      <c r="Z7" s="640" t="n">
        <f aca="false">CF!Y7</f>
        <v>2019</v>
      </c>
      <c r="AA7" s="641" t="s">
        <v>316</v>
      </c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  <c r="IU7" s="67"/>
      <c r="IV7" s="67"/>
      <c r="IW7" s="67"/>
    </row>
    <row r="8" customFormat="false" ht="12.75" hidden="false" customHeight="false" outlineLevel="0" collapsed="false">
      <c r="A8" s="642"/>
      <c r="B8" s="643"/>
      <c r="C8" s="67"/>
      <c r="D8" s="67"/>
      <c r="E8" s="644"/>
      <c r="F8" s="644"/>
      <c r="G8" s="644"/>
      <c r="H8" s="644"/>
      <c r="I8" s="644"/>
      <c r="J8" s="644"/>
      <c r="K8" s="644"/>
      <c r="L8" s="644"/>
      <c r="M8" s="644"/>
      <c r="N8" s="644"/>
      <c r="O8" s="644"/>
      <c r="P8" s="644"/>
      <c r="Q8" s="644"/>
      <c r="R8" s="644"/>
      <c r="S8" s="644"/>
      <c r="T8" s="644"/>
      <c r="U8" s="644"/>
      <c r="V8" s="644"/>
      <c r="W8" s="644"/>
      <c r="X8" s="644"/>
      <c r="Y8" s="644"/>
      <c r="Z8" s="644"/>
      <c r="AA8" s="645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  <c r="IT8" s="67"/>
      <c r="IU8" s="67"/>
      <c r="IV8" s="67"/>
      <c r="IW8" s="67"/>
    </row>
    <row r="9" customFormat="false" ht="12.75" hidden="false" customHeight="false" outlineLevel="0" collapsed="false">
      <c r="A9" s="109" t="s">
        <v>610</v>
      </c>
      <c r="B9" s="67"/>
      <c r="C9" s="67"/>
      <c r="D9" s="67"/>
      <c r="E9" s="67"/>
      <c r="F9" s="67" t="n">
        <f aca="false">CF!E9</f>
        <v>0</v>
      </c>
      <c r="G9" s="67" t="n">
        <f aca="false">CF!F9</f>
        <v>0</v>
      </c>
      <c r="H9" s="67" t="n">
        <f aca="false">CF!G9</f>
        <v>10</v>
      </c>
      <c r="I9" s="67" t="n">
        <f aca="false">CF!H9</f>
        <v>12</v>
      </c>
      <c r="J9" s="67" t="n">
        <f aca="false">CF!I9</f>
        <v>12</v>
      </c>
      <c r="K9" s="67" t="n">
        <f aca="false">CF!J9</f>
        <v>12</v>
      </c>
      <c r="L9" s="67" t="n">
        <f aca="false">CF!K9</f>
        <v>12</v>
      </c>
      <c r="M9" s="67" t="n">
        <f aca="false">CF!L9</f>
        <v>12</v>
      </c>
      <c r="N9" s="67" t="n">
        <f aca="false">CF!M9</f>
        <v>12</v>
      </c>
      <c r="O9" s="67" t="n">
        <f aca="false">CF!N9</f>
        <v>12</v>
      </c>
      <c r="P9" s="67" t="n">
        <f aca="false">CF!O9</f>
        <v>12</v>
      </c>
      <c r="Q9" s="67" t="n">
        <f aca="false">CF!P9</f>
        <v>12</v>
      </c>
      <c r="R9" s="67" t="n">
        <f aca="false">CF!Q9</f>
        <v>12</v>
      </c>
      <c r="S9" s="67" t="n">
        <f aca="false">CF!R9</f>
        <v>12</v>
      </c>
      <c r="T9" s="67" t="n">
        <f aca="false">CF!S9</f>
        <v>12</v>
      </c>
      <c r="U9" s="67" t="n">
        <f aca="false">CF!T9</f>
        <v>12</v>
      </c>
      <c r="V9" s="67" t="n">
        <f aca="false">CF!U9</f>
        <v>12</v>
      </c>
      <c r="W9" s="67" t="n">
        <f aca="false">CF!V9</f>
        <v>12</v>
      </c>
      <c r="X9" s="67" t="n">
        <f aca="false">CF!W9</f>
        <v>12</v>
      </c>
      <c r="Y9" s="67" t="n">
        <f aca="false">CF!X9</f>
        <v>12</v>
      </c>
      <c r="Z9" s="67" t="n">
        <f aca="false">CF!Y9</f>
        <v>4</v>
      </c>
      <c r="AA9" s="645" t="n">
        <f aca="false">CF!Z9</f>
        <v>218</v>
      </c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</row>
    <row r="10" customFormat="false" ht="15.75" hidden="false" customHeight="false" outlineLevel="0" collapsed="false">
      <c r="A10" s="109"/>
      <c r="B10" s="67"/>
      <c r="C10" s="67"/>
      <c r="D10" s="67"/>
      <c r="E10" s="67"/>
      <c r="F10" s="646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45"/>
    </row>
    <row r="11" customFormat="false" ht="15.75" hidden="false" customHeight="false" outlineLevel="0" collapsed="false">
      <c r="A11" s="647" t="s">
        <v>692</v>
      </c>
      <c r="B11" s="67"/>
      <c r="C11" s="67"/>
      <c r="D11" s="67"/>
      <c r="E11" s="67"/>
      <c r="F11" s="646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45"/>
    </row>
    <row r="12" customFormat="false" ht="12.75" hidden="false" customHeight="false" outlineLevel="0" collapsed="false">
      <c r="A12" s="109" t="s">
        <v>656</v>
      </c>
      <c r="B12" s="67"/>
      <c r="C12" s="67"/>
      <c r="D12" s="67"/>
      <c r="E12" s="67"/>
      <c r="F12" s="99" t="n">
        <v>0</v>
      </c>
      <c r="G12" s="648" t="n">
        <f aca="false">F17</f>
        <v>0</v>
      </c>
      <c r="H12" s="648" t="n">
        <f aca="false">G17</f>
        <v>-13.2759999379246</v>
      </c>
      <c r="I12" s="648" t="n">
        <f aca="false">H17</f>
        <v>-1850.78498135507</v>
      </c>
      <c r="J12" s="648" t="n">
        <f aca="false">I17</f>
        <v>-5437.26558185254</v>
      </c>
      <c r="K12" s="648" t="n">
        <f aca="false">J17</f>
        <v>-9482.52008595832</v>
      </c>
      <c r="L12" s="648" t="n">
        <f aca="false">K17</f>
        <v>-7690.42545124768</v>
      </c>
      <c r="M12" s="648" t="n">
        <f aca="false">L17</f>
        <v>-4877.83964813402</v>
      </c>
      <c r="N12" s="648" t="n">
        <f aca="false">M17</f>
        <v>0</v>
      </c>
      <c r="O12" s="648" t="n">
        <f aca="false">N17</f>
        <v>0</v>
      </c>
      <c r="P12" s="648" t="n">
        <f aca="false">O17</f>
        <v>0</v>
      </c>
      <c r="Q12" s="648" t="n">
        <f aca="false">P17</f>
        <v>0</v>
      </c>
      <c r="R12" s="648" t="n">
        <f aca="false">Q17</f>
        <v>0</v>
      </c>
      <c r="S12" s="648" t="n">
        <f aca="false">R17</f>
        <v>0</v>
      </c>
      <c r="T12" s="648" t="n">
        <f aca="false">S17</f>
        <v>0</v>
      </c>
      <c r="U12" s="648" t="n">
        <f aca="false">T17</f>
        <v>0</v>
      </c>
      <c r="V12" s="648" t="n">
        <f aca="false">U17</f>
        <v>0</v>
      </c>
      <c r="W12" s="648" t="n">
        <f aca="false">V17</f>
        <v>0</v>
      </c>
      <c r="X12" s="648" t="n">
        <f aca="false">W17</f>
        <v>0</v>
      </c>
      <c r="Y12" s="648" t="n">
        <f aca="false">X17</f>
        <v>0</v>
      </c>
      <c r="Z12" s="648" t="n">
        <f aca="false">Y17</f>
        <v>0</v>
      </c>
      <c r="AA12" s="649" t="n">
        <f aca="false">F12</f>
        <v>0</v>
      </c>
    </row>
    <row r="13" customFormat="false" ht="12.75" hidden="false" customHeight="false" outlineLevel="0" collapsed="false">
      <c r="A13" s="109" t="s">
        <v>693</v>
      </c>
      <c r="B13" s="67"/>
      <c r="C13" s="67"/>
      <c r="D13" s="67"/>
      <c r="E13" s="67"/>
      <c r="F13" s="648" t="n">
        <f aca="false">CF!E57</f>
        <v>0</v>
      </c>
      <c r="G13" s="648" t="n">
        <f aca="false">CF!F57</f>
        <v>-13.2759999379246</v>
      </c>
      <c r="H13" s="648" t="n">
        <f aca="false">CF!G57</f>
        <v>-1837.50898141714</v>
      </c>
      <c r="I13" s="648" t="n">
        <f aca="false">CF!H57</f>
        <v>-3586.48060049747</v>
      </c>
      <c r="J13" s="648" t="n">
        <f aca="false">CF!I57</f>
        <v>-4045.25450410579</v>
      </c>
      <c r="K13" s="648" t="n">
        <f aca="false">CF!J57</f>
        <v>1886.41540495857</v>
      </c>
      <c r="L13" s="648" t="n">
        <f aca="false">CF!K57</f>
        <v>2960.61663485649</v>
      </c>
      <c r="M13" s="648" t="n">
        <f aca="false">CF!L57</f>
        <v>7158.05585272979</v>
      </c>
      <c r="N13" s="648" t="n">
        <f aca="false">CF!M57</f>
        <v>7522.2662368031</v>
      </c>
      <c r="O13" s="648" t="n">
        <f aca="false">CF!N57</f>
        <v>8501.76090925641</v>
      </c>
      <c r="P13" s="648" t="n">
        <f aca="false">CF!O57</f>
        <v>10078.227806453</v>
      </c>
      <c r="Q13" s="648" t="n">
        <f aca="false">CF!P57</f>
        <v>11121.7176876977</v>
      </c>
      <c r="R13" s="648" t="n">
        <f aca="false">CF!Q57</f>
        <v>12405.298548203</v>
      </c>
      <c r="S13" s="648" t="n">
        <f aca="false">CF!R57</f>
        <v>14430.1795826512</v>
      </c>
      <c r="T13" s="648" t="n">
        <f aca="false">CF!S57</f>
        <v>13959.6941821409</v>
      </c>
      <c r="U13" s="648" t="n">
        <f aca="false">CF!T57</f>
        <v>16545.4963992153</v>
      </c>
      <c r="V13" s="648" t="n">
        <f aca="false">CF!U57</f>
        <v>17883.7475610957</v>
      </c>
      <c r="W13" s="648" t="n">
        <f aca="false">CF!V57</f>
        <v>18821.6876436779</v>
      </c>
      <c r="X13" s="648" t="n">
        <f aca="false">CF!W57</f>
        <v>19628.485691603</v>
      </c>
      <c r="Y13" s="648" t="n">
        <f aca="false">CF!X57</f>
        <v>20502.9035117979</v>
      </c>
      <c r="Z13" s="648" t="n">
        <f aca="false">CF!Y57</f>
        <v>6843.9691274639</v>
      </c>
      <c r="AA13" s="649" t="n">
        <f aca="false">SUM(F13:Z13)</f>
        <v>180768.002694646</v>
      </c>
    </row>
    <row r="14" customFormat="false" ht="12.75" hidden="false" customHeight="false" outlineLevel="0" collapsed="false">
      <c r="A14" s="109" t="s">
        <v>694</v>
      </c>
      <c r="B14" s="67"/>
      <c r="C14" s="67"/>
      <c r="D14" s="67"/>
      <c r="E14" s="67"/>
      <c r="F14" s="650" t="n">
        <f aca="false">-F49-F50</f>
        <v>-0</v>
      </c>
      <c r="G14" s="650" t="n">
        <f aca="false">-G49-G50</f>
        <v>-0</v>
      </c>
      <c r="H14" s="650" t="n">
        <f aca="false">-H49-H50</f>
        <v>-0</v>
      </c>
      <c r="I14" s="650" t="n">
        <f aca="false">-I49-I50</f>
        <v>-0</v>
      </c>
      <c r="J14" s="650" t="n">
        <f aca="false">-J49-J50</f>
        <v>-0</v>
      </c>
      <c r="K14" s="650" t="n">
        <f aca="false">-K49-K50</f>
        <v>-94.3207702479286</v>
      </c>
      <c r="L14" s="650" t="n">
        <f aca="false">-L49-L50</f>
        <v>-148.030831742824</v>
      </c>
      <c r="M14" s="650" t="n">
        <f aca="false">-M49-M50</f>
        <v>-357.90279263649</v>
      </c>
      <c r="N14" s="650" t="n">
        <f aca="false">-N49-N50</f>
        <v>-376.113311840155</v>
      </c>
      <c r="O14" s="650" t="n">
        <f aca="false">-O49-O50</f>
        <v>-425.08804546282</v>
      </c>
      <c r="P14" s="650" t="n">
        <f aca="false">-P49-P50</f>
        <v>-503.911390322652</v>
      </c>
      <c r="Q14" s="650" t="n">
        <f aca="false">-Q49-Q50</f>
        <v>-556.085884384886</v>
      </c>
      <c r="R14" s="650" t="n">
        <f aca="false">-R49-R50</f>
        <v>-620.264927410152</v>
      </c>
      <c r="S14" s="650" t="n">
        <f aca="false">-S49-S50</f>
        <v>-721.508979132559</v>
      </c>
      <c r="T14" s="650" t="n">
        <f aca="false">-T49-T50</f>
        <v>-697.984709107044</v>
      </c>
      <c r="U14" s="650" t="n">
        <f aca="false">-U49-U50</f>
        <v>-827.274819960764</v>
      </c>
      <c r="V14" s="650" t="n">
        <f aca="false">-V49-V50</f>
        <v>-894.187378054787</v>
      </c>
      <c r="W14" s="650" t="n">
        <f aca="false">-W49-W50</f>
        <v>-941.084382183896</v>
      </c>
      <c r="X14" s="650" t="n">
        <f aca="false">-X49-X50</f>
        <v>-981.424284580149</v>
      </c>
      <c r="Y14" s="650" t="n">
        <f aca="false">-Y49-Y50</f>
        <v>-1025.14517558989</v>
      </c>
      <c r="Z14" s="650" t="n">
        <f aca="false">-Z49-Z50</f>
        <v>9170.327682657</v>
      </c>
      <c r="AA14" s="651" t="n">
        <f aca="false">SUM(F14:Z14)</f>
        <v>0</v>
      </c>
    </row>
    <row r="15" customFormat="false" ht="12.75" hidden="false" customHeight="false" outlineLevel="0" collapsed="false">
      <c r="A15" s="109" t="s">
        <v>695</v>
      </c>
      <c r="B15" s="67"/>
      <c r="C15" s="67"/>
      <c r="D15" s="67"/>
      <c r="E15" s="67"/>
      <c r="F15" s="648" t="n">
        <f aca="false">SUM(F12:F14)</f>
        <v>0</v>
      </c>
      <c r="G15" s="648" t="n">
        <f aca="false">SUM(G12:G14)</f>
        <v>-13.2759999379246</v>
      </c>
      <c r="H15" s="648" t="n">
        <f aca="false">SUM(H12:H14)</f>
        <v>-1850.78498135507</v>
      </c>
      <c r="I15" s="648" t="n">
        <f aca="false">SUM(I12:I14)</f>
        <v>-5437.26558185254</v>
      </c>
      <c r="J15" s="648" t="n">
        <f aca="false">SUM(J12:J14)</f>
        <v>-9482.52008595832</v>
      </c>
      <c r="K15" s="648" t="n">
        <f aca="false">SUM(K12:K14)</f>
        <v>-7690.42545124768</v>
      </c>
      <c r="L15" s="648" t="n">
        <f aca="false">SUM(L12:L14)</f>
        <v>-4877.83964813402</v>
      </c>
      <c r="M15" s="648" t="n">
        <f aca="false">SUM(M12:M14)</f>
        <v>1922.31341195928</v>
      </c>
      <c r="N15" s="648" t="n">
        <f aca="false">SUM(N12:N14)</f>
        <v>7146.15292496294</v>
      </c>
      <c r="O15" s="648" t="n">
        <f aca="false">SUM(O12:O14)</f>
        <v>8076.67286379359</v>
      </c>
      <c r="P15" s="648" t="n">
        <f aca="false">SUM(P12:P14)</f>
        <v>9574.31641613039</v>
      </c>
      <c r="Q15" s="648" t="n">
        <f aca="false">SUM(Q12:Q14)</f>
        <v>10565.6318033128</v>
      </c>
      <c r="R15" s="648" t="n">
        <f aca="false">SUM(R12:R14)</f>
        <v>11785.0336207929</v>
      </c>
      <c r="S15" s="648" t="n">
        <f aca="false">SUM(S12:S14)</f>
        <v>13708.6706035186</v>
      </c>
      <c r="T15" s="648" t="n">
        <f aca="false">SUM(T12:T14)</f>
        <v>13261.7094730338</v>
      </c>
      <c r="U15" s="648" t="n">
        <f aca="false">SUM(U12:U14)</f>
        <v>15718.2215792545</v>
      </c>
      <c r="V15" s="648" t="n">
        <f aca="false">SUM(V12:V14)</f>
        <v>16989.5601830409</v>
      </c>
      <c r="W15" s="648" t="n">
        <f aca="false">SUM(W12:W14)</f>
        <v>17880.603261494</v>
      </c>
      <c r="X15" s="648" t="n">
        <f aca="false">SUM(X12:X14)</f>
        <v>18647.0614070228</v>
      </c>
      <c r="Y15" s="648" t="n">
        <f aca="false">SUM(Y12:Y14)</f>
        <v>19477.758336208</v>
      </c>
      <c r="Z15" s="648" t="n">
        <f aca="false">SUM(Z12:Z14)</f>
        <v>16014.2968101209</v>
      </c>
      <c r="AA15" s="649" t="n">
        <f aca="false">SUM(AA12:AA14)</f>
        <v>180768.002694646</v>
      </c>
    </row>
    <row r="16" customFormat="false" ht="12.75" hidden="false" customHeight="false" outlineLevel="0" collapsed="false">
      <c r="A16" s="109" t="s">
        <v>696</v>
      </c>
      <c r="B16" s="67"/>
      <c r="C16" s="67"/>
      <c r="D16" s="67"/>
      <c r="E16" s="67"/>
      <c r="F16" s="650" t="n">
        <f aca="false">F23</f>
        <v>0</v>
      </c>
      <c r="G16" s="650" t="n">
        <f aca="false">G24</f>
        <v>0</v>
      </c>
      <c r="H16" s="650" t="n">
        <f aca="false">H24</f>
        <v>0</v>
      </c>
      <c r="I16" s="650" t="n">
        <f aca="false">I24</f>
        <v>0</v>
      </c>
      <c r="J16" s="650" t="n">
        <f aca="false">J24</f>
        <v>0</v>
      </c>
      <c r="K16" s="650" t="n">
        <f aca="false">K24</f>
        <v>0</v>
      </c>
      <c r="L16" s="650" t="n">
        <f aca="false">L24</f>
        <v>0</v>
      </c>
      <c r="M16" s="650" t="n">
        <f aca="false">M24</f>
        <v>-1922.31341195928</v>
      </c>
      <c r="N16" s="650" t="n">
        <f aca="false">N24</f>
        <v>-7146.15292496294</v>
      </c>
      <c r="O16" s="650" t="n">
        <f aca="false">O24</f>
        <v>-8076.67286379359</v>
      </c>
      <c r="P16" s="650" t="n">
        <f aca="false">P24</f>
        <v>-9574.31641613039</v>
      </c>
      <c r="Q16" s="650" t="n">
        <f aca="false">Q24</f>
        <v>-10565.6318033128</v>
      </c>
      <c r="R16" s="650" t="n">
        <f aca="false">R24</f>
        <v>-11785.0336207929</v>
      </c>
      <c r="S16" s="650" t="n">
        <f aca="false">S24</f>
        <v>-13708.6706035186</v>
      </c>
      <c r="T16" s="650" t="n">
        <f aca="false">T24</f>
        <v>-13261.7094730338</v>
      </c>
      <c r="U16" s="650" t="n">
        <f aca="false">U24</f>
        <v>-15718.2215792545</v>
      </c>
      <c r="V16" s="650" t="n">
        <f aca="false">V24</f>
        <v>-16989.5601830409</v>
      </c>
      <c r="W16" s="650" t="n">
        <f aca="false">W24</f>
        <v>-17880.603261494</v>
      </c>
      <c r="X16" s="650" t="n">
        <f aca="false">X24</f>
        <v>-18647.0614070228</v>
      </c>
      <c r="Y16" s="650" t="n">
        <f aca="false">Y24</f>
        <v>-19477.758336208</v>
      </c>
      <c r="Z16" s="650" t="n">
        <f aca="false">Z24</f>
        <v>-16014.2968101209</v>
      </c>
      <c r="AA16" s="651" t="n">
        <f aca="false">SUM(F16:Z16)</f>
        <v>-180768.002694646</v>
      </c>
    </row>
    <row r="17" customFormat="false" ht="12.75" hidden="false" customHeight="false" outlineLevel="0" collapsed="false">
      <c r="A17" s="109" t="s">
        <v>660</v>
      </c>
      <c r="B17" s="67"/>
      <c r="C17" s="67"/>
      <c r="D17" s="67"/>
      <c r="E17" s="67"/>
      <c r="F17" s="648" t="n">
        <f aca="false">SUM(F15:F16)</f>
        <v>0</v>
      </c>
      <c r="G17" s="648" t="n">
        <f aca="false">SUM(G15:G16)</f>
        <v>-13.2759999379246</v>
      </c>
      <c r="H17" s="648" t="n">
        <f aca="false">SUM(H15:H16)</f>
        <v>-1850.78498135507</v>
      </c>
      <c r="I17" s="648" t="n">
        <f aca="false">SUM(I15:I16)</f>
        <v>-5437.26558185254</v>
      </c>
      <c r="J17" s="648" t="n">
        <f aca="false">SUM(J15:J16)</f>
        <v>-9482.52008595832</v>
      </c>
      <c r="K17" s="648" t="n">
        <f aca="false">SUM(K15:K16)</f>
        <v>-7690.42545124768</v>
      </c>
      <c r="L17" s="648" t="n">
        <f aca="false">SUM(L15:L16)</f>
        <v>-4877.83964813402</v>
      </c>
      <c r="M17" s="648" t="n">
        <f aca="false">SUM(M15:M16)</f>
        <v>0</v>
      </c>
      <c r="N17" s="648" t="n">
        <f aca="false">SUM(N15:N16)</f>
        <v>0</v>
      </c>
      <c r="O17" s="648" t="n">
        <f aca="false">SUM(O15:O16)</f>
        <v>0</v>
      </c>
      <c r="P17" s="648" t="n">
        <f aca="false">SUM(P15:P16)</f>
        <v>0</v>
      </c>
      <c r="Q17" s="648" t="n">
        <f aca="false">SUM(Q15:Q16)</f>
        <v>0</v>
      </c>
      <c r="R17" s="648" t="n">
        <f aca="false">SUM(R15:R16)</f>
        <v>0</v>
      </c>
      <c r="S17" s="648" t="n">
        <f aca="false">SUM(S15:S16)</f>
        <v>0</v>
      </c>
      <c r="T17" s="648" t="n">
        <f aca="false">SUM(T15:T16)</f>
        <v>0</v>
      </c>
      <c r="U17" s="648" t="n">
        <f aca="false">SUM(U15:U16)</f>
        <v>0</v>
      </c>
      <c r="V17" s="648" t="n">
        <f aca="false">SUM(V15:V16)</f>
        <v>0</v>
      </c>
      <c r="W17" s="648" t="n">
        <f aca="false">SUM(W15:W16)</f>
        <v>0</v>
      </c>
      <c r="X17" s="648" t="n">
        <f aca="false">SUM(X15:X16)</f>
        <v>0</v>
      </c>
      <c r="Y17" s="648" t="n">
        <f aca="false">SUM(Y15:Y16)</f>
        <v>0</v>
      </c>
      <c r="Z17" s="648" t="n">
        <f aca="false">SUM(Z15:Z16)</f>
        <v>0</v>
      </c>
      <c r="AA17" s="649" t="n">
        <f aca="false">SUM(AA15:AA16)</f>
        <v>0</v>
      </c>
    </row>
    <row r="18" customFormat="false" ht="12.75" hidden="false" customHeight="false" outlineLevel="0" collapsed="false">
      <c r="A18" s="83"/>
      <c r="B18" s="209"/>
      <c r="C18" s="209"/>
      <c r="D18" s="209"/>
      <c r="E18" s="209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652"/>
      <c r="AB18" s="653"/>
      <c r="AD18" s="653"/>
      <c r="AE18" s="653"/>
      <c r="AF18" s="653"/>
      <c r="AG18" s="653"/>
      <c r="AH18" s="653"/>
      <c r="AI18" s="653"/>
      <c r="AJ18" s="653"/>
      <c r="AK18" s="653"/>
      <c r="AL18" s="653"/>
      <c r="AM18" s="653"/>
      <c r="AN18" s="653"/>
      <c r="AO18" s="653"/>
      <c r="AP18" s="653"/>
      <c r="AQ18" s="653"/>
      <c r="AR18" s="653"/>
      <c r="AS18" s="653"/>
      <c r="AT18" s="653"/>
      <c r="AU18" s="653"/>
      <c r="AV18" s="653"/>
      <c r="AW18" s="653"/>
      <c r="AX18" s="653"/>
      <c r="AY18" s="653"/>
      <c r="AZ18" s="653"/>
      <c r="BA18" s="653"/>
      <c r="BB18" s="653"/>
      <c r="BC18" s="653"/>
      <c r="BD18" s="653"/>
      <c r="BE18" s="653"/>
      <c r="BF18" s="653"/>
      <c r="BG18" s="653"/>
      <c r="BH18" s="653"/>
      <c r="BI18" s="653"/>
      <c r="BJ18" s="653"/>
      <c r="BK18" s="653"/>
      <c r="BL18" s="653"/>
      <c r="BM18" s="653"/>
      <c r="BN18" s="653"/>
      <c r="BO18" s="653"/>
      <c r="BP18" s="653"/>
      <c r="BQ18" s="653"/>
      <c r="BR18" s="653"/>
      <c r="BS18" s="653"/>
      <c r="BT18" s="653"/>
      <c r="BU18" s="653"/>
      <c r="BV18" s="653"/>
      <c r="BW18" s="653"/>
      <c r="BX18" s="653"/>
      <c r="BY18" s="653"/>
      <c r="BZ18" s="653"/>
      <c r="CA18" s="653"/>
      <c r="CB18" s="653"/>
      <c r="CC18" s="653"/>
      <c r="CD18" s="653"/>
      <c r="CE18" s="653"/>
      <c r="CF18" s="653"/>
      <c r="CG18" s="653"/>
      <c r="CH18" s="653"/>
      <c r="CI18" s="653"/>
      <c r="CJ18" s="653"/>
      <c r="CK18" s="653"/>
      <c r="CL18" s="653"/>
      <c r="CM18" s="653"/>
      <c r="CN18" s="653"/>
      <c r="CO18" s="653"/>
      <c r="CP18" s="653"/>
      <c r="CQ18" s="653"/>
      <c r="CR18" s="653"/>
      <c r="CS18" s="653"/>
      <c r="CT18" s="653"/>
      <c r="CU18" s="653"/>
      <c r="CV18" s="653"/>
      <c r="CW18" s="653"/>
      <c r="CX18" s="653"/>
      <c r="CY18" s="653"/>
      <c r="CZ18" s="653"/>
      <c r="DA18" s="653"/>
      <c r="DB18" s="653"/>
      <c r="DC18" s="653"/>
      <c r="DD18" s="653"/>
      <c r="DE18" s="653"/>
      <c r="DF18" s="653"/>
      <c r="DG18" s="653"/>
      <c r="DH18" s="653"/>
      <c r="DI18" s="653"/>
      <c r="DJ18" s="653"/>
      <c r="DK18" s="653"/>
      <c r="DL18" s="653"/>
      <c r="DM18" s="653"/>
      <c r="DN18" s="653"/>
      <c r="DO18" s="653"/>
      <c r="DP18" s="653"/>
      <c r="DQ18" s="653"/>
      <c r="DR18" s="653"/>
      <c r="DS18" s="653"/>
      <c r="DT18" s="653"/>
      <c r="DU18" s="653"/>
      <c r="DV18" s="653"/>
      <c r="DW18" s="653"/>
      <c r="DX18" s="653"/>
      <c r="DY18" s="653"/>
      <c r="DZ18" s="653"/>
      <c r="EA18" s="653"/>
      <c r="EB18" s="653"/>
      <c r="EC18" s="653"/>
      <c r="ED18" s="653"/>
      <c r="EE18" s="653"/>
      <c r="EF18" s="653"/>
      <c r="EG18" s="653"/>
      <c r="EH18" s="653"/>
      <c r="EI18" s="653"/>
      <c r="EJ18" s="653"/>
      <c r="EK18" s="653"/>
      <c r="EL18" s="653"/>
      <c r="EM18" s="653"/>
      <c r="EN18" s="653"/>
      <c r="EO18" s="653"/>
      <c r="EP18" s="653"/>
      <c r="EQ18" s="653"/>
      <c r="ER18" s="653"/>
      <c r="ES18" s="653"/>
      <c r="ET18" s="653"/>
      <c r="EU18" s="653"/>
      <c r="EV18" s="653"/>
      <c r="EW18" s="653"/>
      <c r="EX18" s="653"/>
      <c r="EY18" s="653"/>
      <c r="EZ18" s="653"/>
      <c r="FA18" s="653"/>
      <c r="FB18" s="653"/>
      <c r="FC18" s="653"/>
      <c r="FD18" s="653"/>
      <c r="FE18" s="653"/>
      <c r="FF18" s="653"/>
      <c r="FG18" s="653"/>
      <c r="FH18" s="653"/>
      <c r="FI18" s="653"/>
      <c r="FJ18" s="653"/>
      <c r="FK18" s="653"/>
      <c r="FL18" s="653"/>
      <c r="FM18" s="653"/>
      <c r="FN18" s="653"/>
      <c r="FO18" s="653"/>
      <c r="FP18" s="653"/>
      <c r="FQ18" s="653"/>
      <c r="FR18" s="653"/>
      <c r="FS18" s="653"/>
      <c r="FT18" s="653"/>
      <c r="FU18" s="653"/>
      <c r="FV18" s="653"/>
      <c r="FW18" s="653"/>
      <c r="FX18" s="653"/>
      <c r="FY18" s="653"/>
      <c r="FZ18" s="653"/>
      <c r="GA18" s="653"/>
      <c r="GB18" s="653"/>
      <c r="GC18" s="653"/>
      <c r="GD18" s="653"/>
      <c r="GE18" s="653"/>
      <c r="GF18" s="653"/>
      <c r="GG18" s="653"/>
      <c r="GH18" s="653"/>
      <c r="GI18" s="653"/>
      <c r="GJ18" s="653"/>
      <c r="GK18" s="653"/>
      <c r="GL18" s="653"/>
      <c r="GM18" s="653"/>
      <c r="GN18" s="653"/>
      <c r="GO18" s="653"/>
      <c r="GP18" s="653"/>
      <c r="GQ18" s="653"/>
      <c r="GR18" s="653"/>
      <c r="GS18" s="653"/>
      <c r="GT18" s="653"/>
      <c r="GU18" s="653"/>
      <c r="GV18" s="653"/>
      <c r="GW18" s="653"/>
      <c r="GX18" s="653"/>
      <c r="GY18" s="653"/>
      <c r="GZ18" s="653"/>
      <c r="HA18" s="653"/>
      <c r="HB18" s="653"/>
      <c r="HC18" s="653"/>
      <c r="HD18" s="653"/>
      <c r="HE18" s="653"/>
      <c r="HF18" s="653"/>
      <c r="HG18" s="653"/>
      <c r="HH18" s="653"/>
      <c r="HI18" s="653"/>
      <c r="HJ18" s="653"/>
      <c r="HK18" s="653"/>
      <c r="HL18" s="653"/>
      <c r="HM18" s="653"/>
      <c r="HN18" s="653"/>
      <c r="HO18" s="653"/>
      <c r="HP18" s="653"/>
      <c r="HQ18" s="653"/>
      <c r="HR18" s="653"/>
      <c r="HS18" s="653"/>
      <c r="HT18" s="653"/>
      <c r="HU18" s="653"/>
      <c r="HV18" s="653"/>
      <c r="HW18" s="653"/>
      <c r="HX18" s="653"/>
      <c r="HY18" s="653"/>
      <c r="HZ18" s="653"/>
      <c r="IA18" s="653"/>
      <c r="IB18" s="653"/>
      <c r="IC18" s="653"/>
      <c r="ID18" s="653"/>
      <c r="IE18" s="653"/>
      <c r="IF18" s="653"/>
      <c r="IG18" s="653"/>
      <c r="IH18" s="653"/>
      <c r="II18" s="653"/>
      <c r="IJ18" s="653"/>
      <c r="IK18" s="653"/>
      <c r="IL18" s="653"/>
      <c r="IM18" s="653"/>
      <c r="IN18" s="653"/>
      <c r="IO18" s="653"/>
      <c r="IP18" s="653"/>
      <c r="IQ18" s="653"/>
      <c r="IR18" s="653"/>
      <c r="IS18" s="653"/>
      <c r="IT18" s="653"/>
      <c r="IU18" s="653"/>
      <c r="IV18" s="653"/>
      <c r="IW18" s="653"/>
    </row>
    <row r="19" customFormat="false" ht="15.75" hidden="false" customHeight="false" outlineLevel="0" collapsed="false">
      <c r="A19" s="647" t="s">
        <v>697</v>
      </c>
      <c r="B19" s="67"/>
      <c r="C19" s="67"/>
      <c r="D19" s="67"/>
      <c r="E19" s="67"/>
      <c r="F19" s="646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45"/>
    </row>
    <row r="20" customFormat="false" ht="12.75" hidden="false" customHeight="false" outlineLevel="0" collapsed="false">
      <c r="A20" s="109" t="s">
        <v>656</v>
      </c>
      <c r="B20" s="67"/>
      <c r="C20" s="67"/>
      <c r="D20" s="67"/>
      <c r="E20" s="67"/>
      <c r="F20" s="99" t="n">
        <v>0</v>
      </c>
      <c r="G20" s="648" t="n">
        <f aca="false">F27</f>
        <v>0</v>
      </c>
      <c r="H20" s="648" t="n">
        <f aca="false">G27</f>
        <v>0</v>
      </c>
      <c r="I20" s="648" t="n">
        <f aca="false">H27</f>
        <v>0</v>
      </c>
      <c r="J20" s="648" t="n">
        <f aca="false">I27</f>
        <v>0</v>
      </c>
      <c r="K20" s="648" t="n">
        <f aca="false">J27</f>
        <v>0</v>
      </c>
      <c r="L20" s="648" t="n">
        <f aca="false">K27</f>
        <v>0</v>
      </c>
      <c r="M20" s="648" t="n">
        <f aca="false">L27</f>
        <v>0</v>
      </c>
      <c r="N20" s="648" t="n">
        <f aca="false">M27</f>
        <v>0</v>
      </c>
      <c r="O20" s="648" t="n">
        <f aca="false">N27</f>
        <v>0</v>
      </c>
      <c r="P20" s="648" t="n">
        <f aca="false">O27</f>
        <v>0</v>
      </c>
      <c r="Q20" s="648" t="n">
        <f aca="false">P27</f>
        <v>0</v>
      </c>
      <c r="R20" s="648" t="n">
        <f aca="false">Q27</f>
        <v>0</v>
      </c>
      <c r="S20" s="648" t="n">
        <f aca="false">R27</f>
        <v>0</v>
      </c>
      <c r="T20" s="648" t="n">
        <f aca="false">S27</f>
        <v>0</v>
      </c>
      <c r="U20" s="648" t="n">
        <f aca="false">T27</f>
        <v>0</v>
      </c>
      <c r="V20" s="648" t="n">
        <f aca="false">U27</f>
        <v>0</v>
      </c>
      <c r="W20" s="648" t="n">
        <f aca="false">V27</f>
        <v>0</v>
      </c>
      <c r="X20" s="648" t="n">
        <f aca="false">W27</f>
        <v>0</v>
      </c>
      <c r="Y20" s="648" t="n">
        <f aca="false">X27</f>
        <v>0</v>
      </c>
      <c r="Z20" s="648" t="n">
        <f aca="false">Y27</f>
        <v>0</v>
      </c>
      <c r="AA20" s="649" t="n">
        <f aca="false">F20</f>
        <v>0</v>
      </c>
    </row>
    <row r="21" customFormat="false" ht="12.75" hidden="false" customHeight="false" outlineLevel="0" collapsed="false">
      <c r="A21" s="109" t="s">
        <v>698</v>
      </c>
      <c r="B21" s="67"/>
      <c r="C21" s="67"/>
      <c r="D21" s="67"/>
      <c r="E21" s="67"/>
      <c r="F21" s="648" t="n">
        <f aca="false">-E26</f>
        <v>-0</v>
      </c>
      <c r="G21" s="648" t="n">
        <f aca="false">-F26</f>
        <v>0</v>
      </c>
      <c r="H21" s="648" t="n">
        <f aca="false">-G26</f>
        <v>-13.2759999379246</v>
      </c>
      <c r="I21" s="648" t="n">
        <f aca="false">-H26</f>
        <v>6014.74474871979</v>
      </c>
      <c r="J21" s="648" t="n">
        <f aca="false">-I26</f>
        <v>11249.5971921324</v>
      </c>
      <c r="K21" s="648" t="n">
        <f aca="false">-J26</f>
        <v>15129.384581754</v>
      </c>
      <c r="L21" s="648" t="n">
        <f aca="false">-K26</f>
        <v>20717.2877801746</v>
      </c>
      <c r="M21" s="648" t="n">
        <f aca="false">-L26</f>
        <v>22449.009356751</v>
      </c>
      <c r="N21" s="648" t="n">
        <f aca="false">-M26</f>
        <v>25925.9031272611</v>
      </c>
      <c r="O21" s="648" t="n">
        <f aca="false">-N26</f>
        <v>25482.2921892076</v>
      </c>
      <c r="P21" s="648" t="n">
        <f aca="false">-O26</f>
        <v>27878.9352976612</v>
      </c>
      <c r="Q21" s="648" t="n">
        <f aca="false">-P26</f>
        <v>33340.9246423819</v>
      </c>
      <c r="R21" s="648" t="n">
        <f aca="false">-Q26</f>
        <v>39167.0041246882</v>
      </c>
      <c r="S21" s="648" t="n">
        <f aca="false">-R26</f>
        <v>42753.2479302843</v>
      </c>
      <c r="T21" s="648" t="n">
        <f aca="false">-S26</f>
        <v>40645.6345136479</v>
      </c>
      <c r="U21" s="648" t="n">
        <f aca="false">-T26</f>
        <v>38914.5329686633</v>
      </c>
      <c r="V21" s="648" t="n">
        <f aca="false">-U26</f>
        <v>37031.5901680045</v>
      </c>
      <c r="W21" s="648" t="n">
        <f aca="false">-V26</f>
        <v>37467.4667953541</v>
      </c>
      <c r="X21" s="648" t="n">
        <f aca="false">-W26</f>
        <v>43816.4256936609</v>
      </c>
      <c r="Y21" s="648" t="n">
        <f aca="false">-X26</f>
        <v>50205.7244943639</v>
      </c>
      <c r="Z21" s="648" t="n">
        <f aca="false">-Y26</f>
        <v>56638.7441860766</v>
      </c>
      <c r="AA21" s="649" t="n">
        <f aca="false">SUM(F21:Z21)</f>
        <v>574815.173790849</v>
      </c>
    </row>
    <row r="22" customFormat="false" ht="12.75" hidden="false" customHeight="false" outlineLevel="0" collapsed="false">
      <c r="A22" s="654" t="s">
        <v>699</v>
      </c>
      <c r="B22" s="655"/>
      <c r="C22" s="655"/>
      <c r="D22" s="655"/>
      <c r="E22" s="655"/>
      <c r="F22" s="656" t="n">
        <f aca="false">CF!E71</f>
        <v>0</v>
      </c>
      <c r="G22" s="656" t="n">
        <f aca="false">CF!F71</f>
        <v>-13.2759999379246</v>
      </c>
      <c r="H22" s="656" t="n">
        <f aca="false">CF!G71</f>
        <v>6028.02074865771</v>
      </c>
      <c r="I22" s="656" t="n">
        <f aca="false">CF!H71</f>
        <v>5234.85244341261</v>
      </c>
      <c r="J22" s="656" t="n">
        <f aca="false">CF!I71</f>
        <v>3879.78738962163</v>
      </c>
      <c r="K22" s="656" t="n">
        <f aca="false">CF!J71</f>
        <v>5587.90319842053</v>
      </c>
      <c r="L22" s="656" t="n">
        <f aca="false">CF!K71</f>
        <v>1731.72157657644</v>
      </c>
      <c r="M22" s="656" t="n">
        <f aca="false">CF!L71</f>
        <v>5399.20718246938</v>
      </c>
      <c r="N22" s="656" t="n">
        <f aca="false">CF!M71</f>
        <v>6702.54198690948</v>
      </c>
      <c r="O22" s="656" t="n">
        <f aca="false">CF!N71</f>
        <v>10473.3159722472</v>
      </c>
      <c r="P22" s="656" t="n">
        <f aca="false">CF!O71</f>
        <v>15036.3057608511</v>
      </c>
      <c r="Q22" s="656" t="n">
        <f aca="false">CF!P71</f>
        <v>16391.7112856191</v>
      </c>
      <c r="R22" s="656" t="n">
        <f aca="false">CF!Q71</f>
        <v>15371.2774263891</v>
      </c>
      <c r="S22" s="656" t="n">
        <f aca="false">CF!R71</f>
        <v>11601.0571868822</v>
      </c>
      <c r="T22" s="656" t="n">
        <f aca="false">CF!S71</f>
        <v>11530.6079280492</v>
      </c>
      <c r="U22" s="656" t="n">
        <f aca="false">CF!T71</f>
        <v>13835.2787785957</v>
      </c>
      <c r="V22" s="656" t="n">
        <f aca="false">CF!U71</f>
        <v>17425.4368103906</v>
      </c>
      <c r="W22" s="656" t="n">
        <f aca="false">CF!V71</f>
        <v>24229.5621598008</v>
      </c>
      <c r="X22" s="656" t="n">
        <f aca="false">CF!W71</f>
        <v>25036.3602077258</v>
      </c>
      <c r="Y22" s="656" t="n">
        <f aca="false">CF!X71</f>
        <v>25910.7780279207</v>
      </c>
      <c r="Z22" s="656" t="n">
        <f aca="false">CF!Y71</f>
        <v>8646.59396617151</v>
      </c>
      <c r="AA22" s="657" t="n">
        <f aca="false">SUM(F22:Z22)</f>
        <v>230039.044036773</v>
      </c>
      <c r="AB22" s="658"/>
      <c r="AC22" s="658"/>
      <c r="AD22" s="658"/>
      <c r="AE22" s="658"/>
      <c r="AF22" s="658"/>
      <c r="AG22" s="658"/>
      <c r="AH22" s="658"/>
      <c r="AI22" s="658"/>
      <c r="AJ22" s="658"/>
      <c r="AK22" s="658"/>
      <c r="AL22" s="658"/>
      <c r="AM22" s="658"/>
      <c r="AN22" s="658"/>
      <c r="AO22" s="658"/>
      <c r="AP22" s="658"/>
      <c r="AQ22" s="658"/>
      <c r="AR22" s="658"/>
      <c r="AS22" s="658"/>
      <c r="AT22" s="658"/>
      <c r="AU22" s="658"/>
      <c r="AV22" s="658"/>
      <c r="AW22" s="658"/>
      <c r="AX22" s="658"/>
      <c r="AY22" s="658"/>
      <c r="AZ22" s="658"/>
      <c r="BA22" s="658"/>
      <c r="BB22" s="658"/>
      <c r="BC22" s="658"/>
      <c r="BD22" s="658"/>
      <c r="BE22" s="658"/>
      <c r="BF22" s="658"/>
      <c r="BG22" s="658"/>
      <c r="BH22" s="658"/>
      <c r="BI22" s="658"/>
      <c r="BJ22" s="658"/>
      <c r="BK22" s="658"/>
      <c r="BL22" s="658"/>
      <c r="BM22" s="658"/>
      <c r="BN22" s="658"/>
      <c r="BO22" s="658"/>
      <c r="BP22" s="658"/>
      <c r="BQ22" s="658"/>
      <c r="BR22" s="658"/>
      <c r="BS22" s="658"/>
      <c r="BT22" s="658"/>
      <c r="BU22" s="658"/>
      <c r="BV22" s="658"/>
      <c r="BW22" s="658"/>
      <c r="BX22" s="658"/>
      <c r="BY22" s="658"/>
      <c r="BZ22" s="658"/>
      <c r="CA22" s="658"/>
      <c r="CB22" s="658"/>
      <c r="CC22" s="658"/>
      <c r="CD22" s="658"/>
      <c r="CE22" s="658"/>
      <c r="CF22" s="658"/>
      <c r="CG22" s="658"/>
      <c r="CH22" s="658"/>
      <c r="CI22" s="658"/>
      <c r="CJ22" s="658"/>
      <c r="CK22" s="658"/>
      <c r="CL22" s="658"/>
      <c r="CM22" s="658"/>
      <c r="CN22" s="658"/>
      <c r="CO22" s="658"/>
      <c r="CP22" s="658"/>
      <c r="CQ22" s="658"/>
      <c r="CR22" s="658"/>
      <c r="CS22" s="658"/>
      <c r="CT22" s="658"/>
      <c r="CU22" s="658"/>
      <c r="CV22" s="658"/>
      <c r="CW22" s="658"/>
      <c r="CX22" s="658"/>
      <c r="CY22" s="658"/>
      <c r="CZ22" s="658"/>
      <c r="DA22" s="658"/>
      <c r="DB22" s="658"/>
      <c r="DC22" s="658"/>
      <c r="DD22" s="658"/>
      <c r="DE22" s="658"/>
      <c r="DF22" s="658"/>
      <c r="DG22" s="658"/>
      <c r="DH22" s="658"/>
      <c r="DI22" s="658"/>
      <c r="DJ22" s="658"/>
      <c r="DK22" s="658"/>
      <c r="DL22" s="658"/>
      <c r="DM22" s="658"/>
      <c r="DN22" s="658"/>
      <c r="DO22" s="658"/>
      <c r="DP22" s="658"/>
      <c r="DQ22" s="658"/>
      <c r="DR22" s="658"/>
      <c r="DS22" s="658"/>
      <c r="DT22" s="658"/>
      <c r="DU22" s="658"/>
      <c r="DV22" s="658"/>
      <c r="DW22" s="658"/>
      <c r="DX22" s="658"/>
      <c r="DY22" s="658"/>
      <c r="DZ22" s="658"/>
      <c r="EA22" s="658"/>
      <c r="EB22" s="658"/>
      <c r="EC22" s="658"/>
      <c r="ED22" s="658"/>
      <c r="EE22" s="658"/>
      <c r="EF22" s="658"/>
      <c r="EG22" s="658"/>
      <c r="EH22" s="658"/>
      <c r="EI22" s="658"/>
      <c r="EJ22" s="658"/>
      <c r="EK22" s="658"/>
      <c r="EL22" s="658"/>
      <c r="EM22" s="658"/>
      <c r="EN22" s="658"/>
      <c r="EO22" s="658"/>
      <c r="EP22" s="658"/>
      <c r="EQ22" s="658"/>
      <c r="ER22" s="658"/>
      <c r="ES22" s="658"/>
      <c r="ET22" s="658"/>
      <c r="EU22" s="658"/>
      <c r="EV22" s="658"/>
      <c r="EW22" s="658"/>
      <c r="EX22" s="658"/>
      <c r="EY22" s="658"/>
      <c r="EZ22" s="658"/>
      <c r="FA22" s="658"/>
      <c r="FB22" s="658"/>
      <c r="FC22" s="658"/>
      <c r="FD22" s="658"/>
      <c r="FE22" s="658"/>
      <c r="FF22" s="658"/>
      <c r="FG22" s="658"/>
      <c r="FH22" s="658"/>
      <c r="FI22" s="658"/>
      <c r="FJ22" s="658"/>
      <c r="FK22" s="658"/>
      <c r="FL22" s="658"/>
      <c r="FM22" s="658"/>
      <c r="FN22" s="658"/>
      <c r="FO22" s="658"/>
      <c r="FP22" s="658"/>
      <c r="FQ22" s="658"/>
      <c r="FR22" s="658"/>
      <c r="FS22" s="658"/>
      <c r="FT22" s="658"/>
      <c r="FU22" s="658"/>
      <c r="FV22" s="658"/>
      <c r="FW22" s="658"/>
      <c r="FX22" s="658"/>
      <c r="FY22" s="658"/>
      <c r="FZ22" s="658"/>
      <c r="GA22" s="658"/>
      <c r="GB22" s="658"/>
      <c r="GC22" s="658"/>
      <c r="GD22" s="658"/>
      <c r="GE22" s="658"/>
      <c r="GF22" s="658"/>
      <c r="GG22" s="658"/>
      <c r="GH22" s="658"/>
      <c r="GI22" s="658"/>
      <c r="GJ22" s="658"/>
      <c r="GK22" s="658"/>
      <c r="GL22" s="658"/>
      <c r="GM22" s="658"/>
      <c r="GN22" s="658"/>
      <c r="GO22" s="658"/>
      <c r="GP22" s="658"/>
      <c r="GQ22" s="658"/>
      <c r="GR22" s="658"/>
      <c r="GS22" s="658"/>
      <c r="GT22" s="658"/>
      <c r="GU22" s="658"/>
      <c r="GV22" s="658"/>
      <c r="GW22" s="658"/>
      <c r="GX22" s="658"/>
      <c r="GY22" s="658"/>
      <c r="GZ22" s="658"/>
      <c r="HA22" s="658"/>
      <c r="HB22" s="658"/>
      <c r="HC22" s="658"/>
      <c r="HD22" s="658"/>
      <c r="HE22" s="658"/>
      <c r="HF22" s="658"/>
      <c r="HG22" s="658"/>
      <c r="HH22" s="658"/>
      <c r="HI22" s="658"/>
      <c r="HJ22" s="658"/>
      <c r="HK22" s="658"/>
      <c r="HL22" s="658"/>
      <c r="HM22" s="658"/>
      <c r="HN22" s="658"/>
      <c r="HO22" s="658"/>
      <c r="HP22" s="658"/>
      <c r="HQ22" s="658"/>
      <c r="HR22" s="658"/>
      <c r="HS22" s="658"/>
      <c r="HT22" s="658"/>
      <c r="HU22" s="658"/>
      <c r="HV22" s="658"/>
      <c r="HW22" s="658"/>
      <c r="HX22" s="658"/>
      <c r="HY22" s="658"/>
      <c r="HZ22" s="658"/>
      <c r="IA22" s="658"/>
      <c r="IB22" s="658"/>
      <c r="IC22" s="658"/>
      <c r="ID22" s="658"/>
      <c r="IE22" s="658"/>
      <c r="IF22" s="658"/>
      <c r="IG22" s="658"/>
      <c r="IH22" s="658"/>
      <c r="II22" s="658"/>
      <c r="IJ22" s="658"/>
      <c r="IK22" s="658"/>
      <c r="IL22" s="658"/>
      <c r="IM22" s="658"/>
      <c r="IN22" s="658"/>
      <c r="IO22" s="658"/>
      <c r="IP22" s="658"/>
      <c r="IQ22" s="658"/>
      <c r="IR22" s="658"/>
      <c r="IS22" s="658"/>
      <c r="IT22" s="658"/>
      <c r="IU22" s="658"/>
      <c r="IV22" s="658"/>
      <c r="IW22" s="658"/>
    </row>
    <row r="23" customFormat="false" ht="12.75" hidden="false" customHeight="false" outlineLevel="0" collapsed="false">
      <c r="A23" s="109" t="s">
        <v>700</v>
      </c>
      <c r="B23" s="67"/>
      <c r="C23" s="67"/>
      <c r="D23" s="67"/>
      <c r="E23" s="67"/>
      <c r="F23" s="648" t="n">
        <f aca="false">SUM(F20:F22)</f>
        <v>0</v>
      </c>
      <c r="G23" s="648" t="n">
        <f aca="false">SUM(G20:G22)</f>
        <v>-13.2759999379246</v>
      </c>
      <c r="H23" s="648" t="n">
        <f aca="false">SUM(H20:H22)</f>
        <v>6014.74474871979</v>
      </c>
      <c r="I23" s="648" t="n">
        <f aca="false">SUM(I20:I22)</f>
        <v>11249.5971921324</v>
      </c>
      <c r="J23" s="648" t="n">
        <f aca="false">SUM(J20:J22)</f>
        <v>15129.384581754</v>
      </c>
      <c r="K23" s="648" t="n">
        <f aca="false">SUM(K20:K22)</f>
        <v>20717.2877801746</v>
      </c>
      <c r="L23" s="648" t="n">
        <f aca="false">SUM(L20:L22)</f>
        <v>22449.009356751</v>
      </c>
      <c r="M23" s="648" t="n">
        <f aca="false">SUM(M20:M22)</f>
        <v>27848.2165392204</v>
      </c>
      <c r="N23" s="648" t="n">
        <f aca="false">SUM(N20:N22)</f>
        <v>32628.4451141706</v>
      </c>
      <c r="O23" s="648" t="n">
        <f aca="false">SUM(O20:O22)</f>
        <v>35955.6081614548</v>
      </c>
      <c r="P23" s="648" t="n">
        <f aca="false">SUM(P20:P22)</f>
        <v>42915.2410585123</v>
      </c>
      <c r="Q23" s="648" t="n">
        <f aca="false">SUM(Q20:Q22)</f>
        <v>49732.635928001</v>
      </c>
      <c r="R23" s="648" t="n">
        <f aca="false">SUM(R20:R22)</f>
        <v>54538.2815510772</v>
      </c>
      <c r="S23" s="648" t="n">
        <f aca="false">SUM(S20:S22)</f>
        <v>54354.3051171665</v>
      </c>
      <c r="T23" s="648" t="n">
        <f aca="false">SUM(T20:T22)</f>
        <v>52176.2424416971</v>
      </c>
      <c r="U23" s="648" t="n">
        <f aca="false">SUM(U20:U22)</f>
        <v>52749.811747259</v>
      </c>
      <c r="V23" s="648" t="n">
        <f aca="false">SUM(V20:V22)</f>
        <v>54457.0269783951</v>
      </c>
      <c r="W23" s="648" t="n">
        <f aca="false">SUM(W20:W22)</f>
        <v>61697.0289551549</v>
      </c>
      <c r="X23" s="648" t="n">
        <f aca="false">SUM(X20:X22)</f>
        <v>68852.7859013867</v>
      </c>
      <c r="Y23" s="648" t="n">
        <f aca="false">SUM(Y20:Y22)</f>
        <v>76116.5025222846</v>
      </c>
      <c r="Z23" s="648" t="n">
        <f aca="false">SUM(Z20:Z22)</f>
        <v>65285.3381522481</v>
      </c>
      <c r="AA23" s="649" t="n">
        <f aca="false">SUM(AA20:AA22)</f>
        <v>804854.217827622</v>
      </c>
    </row>
    <row r="24" customFormat="false" ht="12.75" hidden="false" customHeight="false" outlineLevel="0" collapsed="false">
      <c r="A24" s="109" t="s">
        <v>696</v>
      </c>
      <c r="B24" s="67"/>
      <c r="C24" s="67"/>
      <c r="D24" s="67"/>
      <c r="E24" s="67"/>
      <c r="F24" s="648" t="n">
        <f aca="false">IF(OR(F15&lt;0,F23&lt;0),0,-MIN(F15,F23))</f>
        <v>-0</v>
      </c>
      <c r="G24" s="648" t="n">
        <f aca="false">IF(OR(G15&lt;0,G23&lt;0),0,-MIN(G15,G23))</f>
        <v>0</v>
      </c>
      <c r="H24" s="648" t="n">
        <f aca="false">IF(OR(H15&lt;0,H23&lt;0),0,-MIN(H15,H23))</f>
        <v>0</v>
      </c>
      <c r="I24" s="648" t="n">
        <f aca="false">IF(OR(I15&lt;0,I23&lt;0),0,-MIN(I15,I23))</f>
        <v>0</v>
      </c>
      <c r="J24" s="648" t="n">
        <f aca="false">IF(OR(J15&lt;0,J23&lt;0),0,-MIN(J15,J23))</f>
        <v>0</v>
      </c>
      <c r="K24" s="648" t="n">
        <f aca="false">IF(OR(K15&lt;0,K23&lt;0),0,-MIN(K15,K23))</f>
        <v>0</v>
      </c>
      <c r="L24" s="648" t="n">
        <f aca="false">IF(OR(L15&lt;0,L23&lt;0),0,-MIN(L15,L23))</f>
        <v>0</v>
      </c>
      <c r="M24" s="648" t="n">
        <f aca="false">IF(OR(M15&lt;0,M23&lt;0),0,-MIN(M15,M23))</f>
        <v>-1922.31341195928</v>
      </c>
      <c r="N24" s="648" t="n">
        <f aca="false">IF(OR(N15&lt;0,N23&lt;0),0,-MIN(N15,N23))</f>
        <v>-7146.15292496294</v>
      </c>
      <c r="O24" s="648" t="n">
        <f aca="false">IF(OR(O15&lt;0,O23&lt;0),0,-MIN(O15,O23))</f>
        <v>-8076.67286379359</v>
      </c>
      <c r="P24" s="648" t="n">
        <f aca="false">IF(OR(P15&lt;0,P23&lt;0),0,-MIN(P15,P23))</f>
        <v>-9574.31641613039</v>
      </c>
      <c r="Q24" s="648" t="n">
        <f aca="false">IF(OR(Q15&lt;0,Q23&lt;0),0,-MIN(Q15,Q23))</f>
        <v>-10565.6318033128</v>
      </c>
      <c r="R24" s="648" t="n">
        <f aca="false">IF(OR(R15&lt;0,R23&lt;0),0,-MIN(R15,R23))</f>
        <v>-11785.0336207929</v>
      </c>
      <c r="S24" s="648" t="n">
        <f aca="false">IF(OR(S15&lt;0,S23&lt;0),0,-MIN(S15,S23))</f>
        <v>-13708.6706035186</v>
      </c>
      <c r="T24" s="648" t="n">
        <f aca="false">IF(OR(T15&lt;0,T23&lt;0),0,-MIN(T15,T23))</f>
        <v>-13261.7094730338</v>
      </c>
      <c r="U24" s="648" t="n">
        <f aca="false">IF(OR(U15&lt;0,U23&lt;0),0,-MIN(U15,U23))</f>
        <v>-15718.2215792545</v>
      </c>
      <c r="V24" s="648" t="n">
        <f aca="false">IF(OR(V15&lt;0,V23&lt;0),0,-MIN(V15,V23))</f>
        <v>-16989.5601830409</v>
      </c>
      <c r="W24" s="648" t="n">
        <f aca="false">IF(OR(W15&lt;0,W23&lt;0),0,-MIN(W15,W23))</f>
        <v>-17880.603261494</v>
      </c>
      <c r="X24" s="648" t="n">
        <f aca="false">IF(OR(X15&lt;0,X23&lt;0),0,-MIN(X15,X23))</f>
        <v>-18647.0614070228</v>
      </c>
      <c r="Y24" s="648" t="n">
        <f aca="false">IF(OR(Y15&lt;0,Y23&lt;0),0,-MIN(Y15,Y23))</f>
        <v>-19477.758336208</v>
      </c>
      <c r="Z24" s="648" t="n">
        <f aca="false">IF(OR(Z15&lt;0,Z23&lt;0),0,-MIN(Z15,Z23))</f>
        <v>-16014.2968101209</v>
      </c>
      <c r="AA24" s="649" t="n">
        <f aca="false">SUM(F24:Z24)</f>
        <v>-180768.002694646</v>
      </c>
    </row>
    <row r="25" customFormat="false" ht="12.75" hidden="false" customHeight="false" outlineLevel="0" collapsed="false">
      <c r="A25" s="109" t="s">
        <v>701</v>
      </c>
      <c r="B25" s="67"/>
      <c r="C25" s="67"/>
      <c r="D25" s="67"/>
      <c r="E25" s="67"/>
      <c r="F25" s="648" t="n">
        <f aca="false">IF(F$7=YEAR(Endyr),-SUM(F23:F24)*Assm!$L$49,-SUM(F23:F24)*Assm!$L$47)</f>
        <v>-0</v>
      </c>
      <c r="G25" s="648" t="n">
        <f aca="false">IF(G$7=YEAR(Endyr),-SUM(G23:G24)*Assm!$L$49,-SUM(G23:G24)*Assm!$L$47)</f>
        <v>0</v>
      </c>
      <c r="H25" s="648" t="n">
        <f aca="false">IF(H$7=YEAR(Endyr),-SUM(H23:H24)*Assm!$L$49,-SUM(H23:H24)*Assm!$L$47)</f>
        <v>-0</v>
      </c>
      <c r="I25" s="648" t="n">
        <f aca="false">IF(I$7=YEAR(Endyr),-SUM(I23:I24)*Assm!$L$49,-SUM(I23:I24)*Assm!$L$47)</f>
        <v>-0</v>
      </c>
      <c r="J25" s="648" t="n">
        <f aca="false">IF(J$7=YEAR(Endyr),-SUM(J23:J24)*Assm!$L$49,-SUM(J23:J24)*Assm!$L$47)</f>
        <v>-0</v>
      </c>
      <c r="K25" s="648" t="n">
        <f aca="false">IF(K$7=YEAR(Endyr),-SUM(K23:K24)*Assm!$L$49,-SUM(K23:K24)*Assm!$L$47)</f>
        <v>-0</v>
      </c>
      <c r="L25" s="648" t="n">
        <f aca="false">IF(L$7=YEAR(Endyr),-SUM(L23:L24)*Assm!$L$49,-SUM(L23:L24)*Assm!$L$47)</f>
        <v>-0</v>
      </c>
      <c r="M25" s="648" t="n">
        <f aca="false">IF(M$7=YEAR(Endyr),-SUM(M23:M24)*Assm!$L$49,-SUM(M23:M24)*Assm!$L$47)</f>
        <v>-0</v>
      </c>
      <c r="N25" s="648" t="n">
        <f aca="false">IF(N$7=YEAR(Endyr),-SUM(N23:N24)*Assm!$L$49,-SUM(N23:N24)*Assm!$L$47)</f>
        <v>-0</v>
      </c>
      <c r="O25" s="648" t="n">
        <f aca="false">IF(O$7=YEAR(Endyr),-SUM(O23:O24)*Assm!$L$49,-SUM(O23:O24)*Assm!$L$47)</f>
        <v>-0</v>
      </c>
      <c r="P25" s="648" t="n">
        <f aca="false">IF(P$7=YEAR(Endyr),-SUM(P23:P24)*Assm!$L$49,-SUM(P23:P24)*Assm!$L$47)</f>
        <v>-0</v>
      </c>
      <c r="Q25" s="648" t="n">
        <f aca="false">IF(Q$7=YEAR(Endyr),-SUM(Q23:Q24)*Assm!$L$49,-SUM(Q23:Q24)*Assm!$L$47)</f>
        <v>-0</v>
      </c>
      <c r="R25" s="648" t="n">
        <f aca="false">IF(R$7=YEAR(Endyr),-SUM(R23:R24)*Assm!$L$49,-SUM(R23:R24)*Assm!$L$47)</f>
        <v>-0</v>
      </c>
      <c r="S25" s="648" t="n">
        <f aca="false">IF(S$7=YEAR(Endyr),-SUM(S23:S24)*Assm!$L$49,-SUM(S23:S24)*Assm!$L$47)</f>
        <v>-0</v>
      </c>
      <c r="T25" s="648" t="n">
        <f aca="false">IF(T$7=YEAR(Endyr),-SUM(T23:T24)*Assm!$L$49,-SUM(T23:T24)*Assm!$L$47)</f>
        <v>-0</v>
      </c>
      <c r="U25" s="648" t="n">
        <f aca="false">IF(U$7=YEAR(Endyr),-SUM(U23:U24)*Assm!$L$49,-SUM(U23:U24)*Assm!$L$47)</f>
        <v>-0</v>
      </c>
      <c r="V25" s="648" t="n">
        <f aca="false">IF(V$7=YEAR(Endyr),-SUM(V23:V24)*Assm!$L$49,-SUM(V23:V24)*Assm!$L$47)</f>
        <v>-0</v>
      </c>
      <c r="W25" s="648" t="n">
        <f aca="false">IF(W$7=YEAR(Endyr),-SUM(W23:W24)*Assm!$L$49,-SUM(W23:W24)*Assm!$L$47)</f>
        <v>-0</v>
      </c>
      <c r="X25" s="648" t="n">
        <f aca="false">IF(X$7=YEAR(Endyr),-SUM(X23:X24)*Assm!$L$49,-SUM(X23:X24)*Assm!$L$47)</f>
        <v>-0</v>
      </c>
      <c r="Y25" s="648" t="n">
        <f aca="false">IF(Y$7=YEAR(Endyr),-SUM(Y23:Y24)*Assm!$L$49,-SUM(Y23:Y24)*Assm!$L$47)</f>
        <v>-0</v>
      </c>
      <c r="Z25" s="648" t="n">
        <f aca="false">IF(Z$7=YEAR(Endyr),-SUM(Z23:Z24)*Assm!$L$49,-SUM(Z23:Z24)*Assm!$L$47)</f>
        <v>-49271.0413421272</v>
      </c>
      <c r="AA25" s="649" t="n">
        <f aca="false">SUM(F25:Z25)</f>
        <v>-49271.0413421272</v>
      </c>
    </row>
    <row r="26" customFormat="false" ht="12.75" hidden="false" customHeight="false" outlineLevel="0" collapsed="false">
      <c r="A26" s="109" t="s">
        <v>702</v>
      </c>
      <c r="B26" s="67"/>
      <c r="C26" s="67"/>
      <c r="D26" s="67"/>
      <c r="E26" s="67"/>
      <c r="F26" s="650" t="n">
        <f aca="false">-SUM(F23:F25)*Assm!$L$48</f>
        <v>-0</v>
      </c>
      <c r="G26" s="650" t="n">
        <f aca="false">-SUM(G23:G25)*Assm!$L$48</f>
        <v>13.2759999379246</v>
      </c>
      <c r="H26" s="650" t="n">
        <f aca="false">-SUM(H23:H25)*Assm!$L$48</f>
        <v>-6014.74474871979</v>
      </c>
      <c r="I26" s="650" t="n">
        <f aca="false">-SUM(I23:I25)*Assm!$L$48</f>
        <v>-11249.5971921324</v>
      </c>
      <c r="J26" s="650" t="n">
        <f aca="false">-SUM(J23:J25)*Assm!$L$48</f>
        <v>-15129.384581754</v>
      </c>
      <c r="K26" s="650" t="n">
        <f aca="false">-SUM(K23:K25)*Assm!$L$48</f>
        <v>-20717.2877801746</v>
      </c>
      <c r="L26" s="650" t="n">
        <f aca="false">-SUM(L23:L25)*Assm!$L$48</f>
        <v>-22449.009356751</v>
      </c>
      <c r="M26" s="650" t="n">
        <f aca="false">-SUM(M23:M25)*Assm!$L$48</f>
        <v>-25925.9031272611</v>
      </c>
      <c r="N26" s="650" t="n">
        <f aca="false">-SUM(N23:N25)*Assm!$L$48</f>
        <v>-25482.2921892076</v>
      </c>
      <c r="O26" s="650" t="n">
        <f aca="false">-SUM(O23:O25)*Assm!$L$48</f>
        <v>-27878.9352976612</v>
      </c>
      <c r="P26" s="650" t="n">
        <f aca="false">-SUM(P23:P25)*Assm!$L$48</f>
        <v>-33340.9246423819</v>
      </c>
      <c r="Q26" s="650" t="n">
        <f aca="false">-SUM(Q23:Q25)*Assm!$L$48</f>
        <v>-39167.0041246882</v>
      </c>
      <c r="R26" s="650" t="n">
        <f aca="false">-SUM(R23:R25)*Assm!$L$48</f>
        <v>-42753.2479302843</v>
      </c>
      <c r="S26" s="650" t="n">
        <f aca="false">-SUM(S23:S25)*Assm!$L$48</f>
        <v>-40645.6345136479</v>
      </c>
      <c r="T26" s="650" t="n">
        <f aca="false">-SUM(T23:T25)*Assm!$L$48</f>
        <v>-38914.5329686633</v>
      </c>
      <c r="U26" s="650" t="n">
        <f aca="false">-SUM(U23:U25)*Assm!$L$48</f>
        <v>-37031.5901680045</v>
      </c>
      <c r="V26" s="650" t="n">
        <f aca="false">-SUM(V23:V25)*Assm!$L$48</f>
        <v>-37467.4667953541</v>
      </c>
      <c r="W26" s="650" t="n">
        <f aca="false">-SUM(W23:W25)*Assm!$L$48</f>
        <v>-43816.4256936609</v>
      </c>
      <c r="X26" s="650" t="n">
        <f aca="false">-SUM(X23:X25)*Assm!$L$48</f>
        <v>-50205.7244943639</v>
      </c>
      <c r="Y26" s="650" t="n">
        <f aca="false">-SUM(Y23:Y25)*Assm!$L$48</f>
        <v>-56638.7441860766</v>
      </c>
      <c r="Z26" s="650" t="n">
        <f aca="false">-SUM(Z23:Z25)*Assm!$L$48</f>
        <v>-0</v>
      </c>
      <c r="AA26" s="651" t="n">
        <f aca="false">SUM(F26:Z26)</f>
        <v>-574815.173790849</v>
      </c>
      <c r="AB26" s="653"/>
      <c r="AD26" s="653"/>
      <c r="AE26" s="653"/>
      <c r="AF26" s="653"/>
      <c r="AG26" s="653"/>
      <c r="AH26" s="653"/>
      <c r="AI26" s="653"/>
      <c r="AJ26" s="653"/>
      <c r="AK26" s="653"/>
      <c r="AL26" s="653"/>
      <c r="AM26" s="653"/>
      <c r="AN26" s="653"/>
      <c r="AO26" s="653"/>
      <c r="AP26" s="653"/>
      <c r="AQ26" s="653"/>
      <c r="AR26" s="653"/>
      <c r="AS26" s="653"/>
      <c r="AT26" s="653"/>
      <c r="AU26" s="653"/>
      <c r="AV26" s="653"/>
      <c r="AW26" s="653"/>
      <c r="AX26" s="653"/>
      <c r="AY26" s="653"/>
      <c r="AZ26" s="653"/>
      <c r="BA26" s="653"/>
      <c r="BB26" s="653"/>
      <c r="BC26" s="653"/>
      <c r="BD26" s="653"/>
      <c r="BE26" s="653"/>
      <c r="BF26" s="653"/>
      <c r="BG26" s="653"/>
      <c r="BH26" s="653"/>
      <c r="BI26" s="653"/>
      <c r="BJ26" s="653"/>
      <c r="BK26" s="653"/>
      <c r="BL26" s="653"/>
      <c r="BM26" s="653"/>
      <c r="BN26" s="653"/>
      <c r="BO26" s="653"/>
      <c r="BP26" s="653"/>
      <c r="BQ26" s="653"/>
      <c r="BR26" s="653"/>
      <c r="BS26" s="653"/>
      <c r="BT26" s="653"/>
      <c r="BU26" s="653"/>
      <c r="BV26" s="653"/>
      <c r="BW26" s="653"/>
      <c r="BX26" s="653"/>
      <c r="BY26" s="653"/>
      <c r="BZ26" s="653"/>
      <c r="CA26" s="653"/>
      <c r="CB26" s="653"/>
      <c r="CC26" s="653"/>
      <c r="CD26" s="653"/>
      <c r="CE26" s="653"/>
      <c r="CF26" s="653"/>
      <c r="CG26" s="653"/>
      <c r="CH26" s="653"/>
      <c r="CI26" s="653"/>
      <c r="CJ26" s="653"/>
      <c r="CK26" s="653"/>
      <c r="CL26" s="653"/>
      <c r="CM26" s="653"/>
      <c r="CN26" s="653"/>
      <c r="CO26" s="653"/>
      <c r="CP26" s="653"/>
      <c r="CQ26" s="653"/>
      <c r="CR26" s="653"/>
      <c r="CS26" s="653"/>
      <c r="CT26" s="653"/>
      <c r="CU26" s="653"/>
      <c r="CV26" s="653"/>
      <c r="CW26" s="653"/>
      <c r="CX26" s="653"/>
      <c r="CY26" s="653"/>
      <c r="CZ26" s="653"/>
      <c r="DA26" s="653"/>
      <c r="DB26" s="653"/>
      <c r="DC26" s="653"/>
      <c r="DD26" s="653"/>
      <c r="DE26" s="653"/>
      <c r="DF26" s="653"/>
      <c r="DG26" s="653"/>
      <c r="DH26" s="653"/>
      <c r="DI26" s="653"/>
      <c r="DJ26" s="653"/>
      <c r="DK26" s="653"/>
      <c r="DL26" s="653"/>
      <c r="DM26" s="653"/>
      <c r="DN26" s="653"/>
      <c r="DO26" s="653"/>
      <c r="DP26" s="653"/>
      <c r="DQ26" s="653"/>
      <c r="DR26" s="653"/>
      <c r="DS26" s="653"/>
      <c r="DT26" s="653"/>
      <c r="DU26" s="653"/>
      <c r="DV26" s="653"/>
      <c r="DW26" s="653"/>
      <c r="DX26" s="653"/>
      <c r="DY26" s="653"/>
      <c r="DZ26" s="653"/>
      <c r="EA26" s="653"/>
      <c r="EB26" s="653"/>
      <c r="EC26" s="653"/>
      <c r="ED26" s="653"/>
      <c r="EE26" s="653"/>
      <c r="EF26" s="653"/>
      <c r="EG26" s="653"/>
      <c r="EH26" s="653"/>
      <c r="EI26" s="653"/>
      <c r="EJ26" s="653"/>
      <c r="EK26" s="653"/>
      <c r="EL26" s="653"/>
      <c r="EM26" s="653"/>
      <c r="EN26" s="653"/>
      <c r="EO26" s="653"/>
      <c r="EP26" s="653"/>
      <c r="EQ26" s="653"/>
      <c r="ER26" s="653"/>
      <c r="ES26" s="653"/>
      <c r="ET26" s="653"/>
      <c r="EU26" s="653"/>
      <c r="EV26" s="653"/>
      <c r="EW26" s="653"/>
      <c r="EX26" s="653"/>
      <c r="EY26" s="653"/>
      <c r="EZ26" s="653"/>
      <c r="FA26" s="653"/>
      <c r="FB26" s="653"/>
      <c r="FC26" s="653"/>
      <c r="FD26" s="653"/>
      <c r="FE26" s="653"/>
      <c r="FF26" s="653"/>
      <c r="FG26" s="653"/>
      <c r="FH26" s="653"/>
      <c r="FI26" s="653"/>
      <c r="FJ26" s="653"/>
      <c r="FK26" s="653"/>
      <c r="FL26" s="653"/>
      <c r="FM26" s="653"/>
      <c r="FN26" s="653"/>
      <c r="FO26" s="653"/>
      <c r="FP26" s="653"/>
      <c r="FQ26" s="653"/>
      <c r="FR26" s="653"/>
      <c r="FS26" s="653"/>
      <c r="FT26" s="653"/>
      <c r="FU26" s="653"/>
      <c r="FV26" s="653"/>
      <c r="FW26" s="653"/>
      <c r="FX26" s="653"/>
      <c r="FY26" s="653"/>
      <c r="FZ26" s="653"/>
      <c r="GA26" s="653"/>
      <c r="GB26" s="653"/>
      <c r="GC26" s="653"/>
      <c r="GD26" s="653"/>
      <c r="GE26" s="653"/>
      <c r="GF26" s="653"/>
      <c r="GG26" s="653"/>
      <c r="GH26" s="653"/>
      <c r="GI26" s="653"/>
      <c r="GJ26" s="653"/>
      <c r="GK26" s="653"/>
      <c r="GL26" s="653"/>
      <c r="GM26" s="653"/>
      <c r="GN26" s="653"/>
      <c r="GO26" s="653"/>
      <c r="GP26" s="653"/>
      <c r="GQ26" s="653"/>
      <c r="GR26" s="653"/>
      <c r="GS26" s="653"/>
      <c r="GT26" s="653"/>
      <c r="GU26" s="653"/>
      <c r="GV26" s="653"/>
      <c r="GW26" s="653"/>
      <c r="GX26" s="653"/>
      <c r="GY26" s="653"/>
      <c r="GZ26" s="653"/>
      <c r="HA26" s="653"/>
      <c r="HB26" s="653"/>
      <c r="HC26" s="653"/>
      <c r="HD26" s="653"/>
      <c r="HE26" s="653"/>
      <c r="HF26" s="653"/>
      <c r="HG26" s="653"/>
      <c r="HH26" s="653"/>
      <c r="HI26" s="653"/>
      <c r="HJ26" s="653"/>
      <c r="HK26" s="653"/>
      <c r="HL26" s="653"/>
      <c r="HM26" s="653"/>
      <c r="HN26" s="653"/>
      <c r="HO26" s="653"/>
      <c r="HP26" s="653"/>
      <c r="HQ26" s="653"/>
      <c r="HR26" s="653"/>
      <c r="HS26" s="653"/>
      <c r="HT26" s="653"/>
      <c r="HU26" s="653"/>
      <c r="HV26" s="653"/>
      <c r="HW26" s="653"/>
      <c r="HX26" s="653"/>
      <c r="HY26" s="653"/>
      <c r="HZ26" s="653"/>
      <c r="IA26" s="653"/>
      <c r="IB26" s="653"/>
      <c r="IC26" s="653"/>
      <c r="ID26" s="653"/>
      <c r="IE26" s="653"/>
      <c r="IF26" s="653"/>
      <c r="IG26" s="653"/>
      <c r="IH26" s="653"/>
      <c r="II26" s="653"/>
      <c r="IJ26" s="653"/>
      <c r="IK26" s="653"/>
      <c r="IL26" s="653"/>
      <c r="IM26" s="653"/>
      <c r="IN26" s="653"/>
      <c r="IO26" s="653"/>
      <c r="IP26" s="653"/>
      <c r="IQ26" s="653"/>
      <c r="IR26" s="653"/>
      <c r="IS26" s="653"/>
      <c r="IT26" s="653"/>
      <c r="IU26" s="653"/>
      <c r="IV26" s="653"/>
      <c r="IW26" s="653"/>
    </row>
    <row r="27" customFormat="false" ht="12.75" hidden="false" customHeight="false" outlineLevel="0" collapsed="false">
      <c r="A27" s="109" t="s">
        <v>660</v>
      </c>
      <c r="B27" s="67"/>
      <c r="C27" s="67"/>
      <c r="D27" s="67"/>
      <c r="E27" s="67"/>
      <c r="F27" s="648" t="n">
        <f aca="false">SUM(F23:F26)</f>
        <v>0</v>
      </c>
      <c r="G27" s="648" t="n">
        <f aca="false">SUM(G23:G26)</f>
        <v>0</v>
      </c>
      <c r="H27" s="648" t="n">
        <f aca="false">SUM(H23:H26)</f>
        <v>0</v>
      </c>
      <c r="I27" s="648" t="n">
        <f aca="false">SUM(I23:I26)</f>
        <v>0</v>
      </c>
      <c r="J27" s="648" t="n">
        <f aca="false">SUM(J23:J26)</f>
        <v>0</v>
      </c>
      <c r="K27" s="648" t="n">
        <f aca="false">SUM(K23:K26)</f>
        <v>0</v>
      </c>
      <c r="L27" s="648" t="n">
        <f aca="false">SUM(L23:L26)</f>
        <v>0</v>
      </c>
      <c r="M27" s="648" t="n">
        <f aca="false">SUM(M23:M26)</f>
        <v>0</v>
      </c>
      <c r="N27" s="648" t="n">
        <f aca="false">SUM(N23:N26)</f>
        <v>0</v>
      </c>
      <c r="O27" s="648" t="n">
        <f aca="false">SUM(O23:O26)</f>
        <v>0</v>
      </c>
      <c r="P27" s="648" t="n">
        <f aca="false">SUM(P23:P26)</f>
        <v>0</v>
      </c>
      <c r="Q27" s="648" t="n">
        <f aca="false">SUM(Q23:Q26)</f>
        <v>0</v>
      </c>
      <c r="R27" s="648" t="n">
        <f aca="false">SUM(R23:R26)</f>
        <v>0</v>
      </c>
      <c r="S27" s="648" t="n">
        <f aca="false">SUM(S23:S26)</f>
        <v>0</v>
      </c>
      <c r="T27" s="648" t="n">
        <f aca="false">SUM(T23:T26)</f>
        <v>0</v>
      </c>
      <c r="U27" s="648" t="n">
        <f aca="false">SUM(U23:U26)</f>
        <v>0</v>
      </c>
      <c r="V27" s="648" t="n">
        <f aca="false">SUM(V23:V26)</f>
        <v>0</v>
      </c>
      <c r="W27" s="648" t="n">
        <f aca="false">SUM(W23:W26)</f>
        <v>0</v>
      </c>
      <c r="X27" s="648" t="n">
        <f aca="false">SUM(X23:X26)</f>
        <v>0</v>
      </c>
      <c r="Y27" s="648" t="n">
        <f aca="false">SUM(Y23:Y26)</f>
        <v>0</v>
      </c>
      <c r="Z27" s="648" t="n">
        <f aca="false">SUM(Z23:Z26)</f>
        <v>0</v>
      </c>
      <c r="AA27" s="649" t="n">
        <f aca="false">SUM(AA23:AA26)</f>
        <v>0</v>
      </c>
      <c r="AB27" s="653"/>
      <c r="AD27" s="653"/>
      <c r="AE27" s="653"/>
      <c r="AF27" s="653"/>
      <c r="AG27" s="653"/>
      <c r="AH27" s="653"/>
      <c r="AI27" s="653"/>
      <c r="AJ27" s="653"/>
      <c r="AK27" s="653"/>
      <c r="AL27" s="653"/>
      <c r="AM27" s="653"/>
      <c r="AN27" s="653"/>
      <c r="AO27" s="653"/>
      <c r="AP27" s="653"/>
      <c r="AQ27" s="653"/>
      <c r="AR27" s="653"/>
      <c r="AS27" s="653"/>
      <c r="AT27" s="653"/>
      <c r="AU27" s="653"/>
      <c r="AV27" s="653"/>
      <c r="AW27" s="653"/>
      <c r="AX27" s="653"/>
      <c r="AY27" s="653"/>
      <c r="AZ27" s="653"/>
      <c r="BA27" s="653"/>
      <c r="BB27" s="653"/>
      <c r="BC27" s="653"/>
      <c r="BD27" s="653"/>
      <c r="BE27" s="653"/>
      <c r="BF27" s="653"/>
      <c r="BG27" s="653"/>
      <c r="BH27" s="653"/>
      <c r="BI27" s="653"/>
      <c r="BJ27" s="653"/>
      <c r="BK27" s="653"/>
      <c r="BL27" s="653"/>
      <c r="BM27" s="653"/>
      <c r="BN27" s="653"/>
      <c r="BO27" s="653"/>
      <c r="BP27" s="653"/>
      <c r="BQ27" s="653"/>
      <c r="BR27" s="653"/>
      <c r="BS27" s="653"/>
      <c r="BT27" s="653"/>
      <c r="BU27" s="653"/>
      <c r="BV27" s="653"/>
      <c r="BW27" s="653"/>
      <c r="BX27" s="653"/>
      <c r="BY27" s="653"/>
      <c r="BZ27" s="653"/>
      <c r="CA27" s="653"/>
      <c r="CB27" s="653"/>
      <c r="CC27" s="653"/>
      <c r="CD27" s="653"/>
      <c r="CE27" s="653"/>
      <c r="CF27" s="653"/>
      <c r="CG27" s="653"/>
      <c r="CH27" s="653"/>
      <c r="CI27" s="653"/>
      <c r="CJ27" s="653"/>
      <c r="CK27" s="653"/>
      <c r="CL27" s="653"/>
      <c r="CM27" s="653"/>
      <c r="CN27" s="653"/>
      <c r="CO27" s="653"/>
      <c r="CP27" s="653"/>
      <c r="CQ27" s="653"/>
      <c r="CR27" s="653"/>
      <c r="CS27" s="653"/>
      <c r="CT27" s="653"/>
      <c r="CU27" s="653"/>
      <c r="CV27" s="653"/>
      <c r="CW27" s="653"/>
      <c r="CX27" s="653"/>
      <c r="CY27" s="653"/>
      <c r="CZ27" s="653"/>
      <c r="DA27" s="653"/>
      <c r="DB27" s="653"/>
      <c r="DC27" s="653"/>
      <c r="DD27" s="653"/>
      <c r="DE27" s="653"/>
      <c r="DF27" s="653"/>
      <c r="DG27" s="653"/>
      <c r="DH27" s="653"/>
      <c r="DI27" s="653"/>
      <c r="DJ27" s="653"/>
      <c r="DK27" s="653"/>
      <c r="DL27" s="653"/>
      <c r="DM27" s="653"/>
      <c r="DN27" s="653"/>
      <c r="DO27" s="653"/>
      <c r="DP27" s="653"/>
      <c r="DQ27" s="653"/>
      <c r="DR27" s="653"/>
      <c r="DS27" s="653"/>
      <c r="DT27" s="653"/>
      <c r="DU27" s="653"/>
      <c r="DV27" s="653"/>
      <c r="DW27" s="653"/>
      <c r="DX27" s="653"/>
      <c r="DY27" s="653"/>
      <c r="DZ27" s="653"/>
      <c r="EA27" s="653"/>
      <c r="EB27" s="653"/>
      <c r="EC27" s="653"/>
      <c r="ED27" s="653"/>
      <c r="EE27" s="653"/>
      <c r="EF27" s="653"/>
      <c r="EG27" s="653"/>
      <c r="EH27" s="653"/>
      <c r="EI27" s="653"/>
      <c r="EJ27" s="653"/>
      <c r="EK27" s="653"/>
      <c r="EL27" s="653"/>
      <c r="EM27" s="653"/>
      <c r="EN27" s="653"/>
      <c r="EO27" s="653"/>
      <c r="EP27" s="653"/>
      <c r="EQ27" s="653"/>
      <c r="ER27" s="653"/>
      <c r="ES27" s="653"/>
      <c r="ET27" s="653"/>
      <c r="EU27" s="653"/>
      <c r="EV27" s="653"/>
      <c r="EW27" s="653"/>
      <c r="EX27" s="653"/>
      <c r="EY27" s="653"/>
      <c r="EZ27" s="653"/>
      <c r="FA27" s="653"/>
      <c r="FB27" s="653"/>
      <c r="FC27" s="653"/>
      <c r="FD27" s="653"/>
      <c r="FE27" s="653"/>
      <c r="FF27" s="653"/>
      <c r="FG27" s="653"/>
      <c r="FH27" s="653"/>
      <c r="FI27" s="653"/>
      <c r="FJ27" s="653"/>
      <c r="FK27" s="653"/>
      <c r="FL27" s="653"/>
      <c r="FM27" s="653"/>
      <c r="FN27" s="653"/>
      <c r="FO27" s="653"/>
      <c r="FP27" s="653"/>
      <c r="FQ27" s="653"/>
      <c r="FR27" s="653"/>
      <c r="FS27" s="653"/>
      <c r="FT27" s="653"/>
      <c r="FU27" s="653"/>
      <c r="FV27" s="653"/>
      <c r="FW27" s="653"/>
      <c r="FX27" s="653"/>
      <c r="FY27" s="653"/>
      <c r="FZ27" s="653"/>
      <c r="GA27" s="653"/>
      <c r="GB27" s="653"/>
      <c r="GC27" s="653"/>
      <c r="GD27" s="653"/>
      <c r="GE27" s="653"/>
      <c r="GF27" s="653"/>
      <c r="GG27" s="653"/>
      <c r="GH27" s="653"/>
      <c r="GI27" s="653"/>
      <c r="GJ27" s="653"/>
      <c r="GK27" s="653"/>
      <c r="GL27" s="653"/>
      <c r="GM27" s="653"/>
      <c r="GN27" s="653"/>
      <c r="GO27" s="653"/>
      <c r="GP27" s="653"/>
      <c r="GQ27" s="653"/>
      <c r="GR27" s="653"/>
      <c r="GS27" s="653"/>
      <c r="GT27" s="653"/>
      <c r="GU27" s="653"/>
      <c r="GV27" s="653"/>
      <c r="GW27" s="653"/>
      <c r="GX27" s="653"/>
      <c r="GY27" s="653"/>
      <c r="GZ27" s="653"/>
      <c r="HA27" s="653"/>
      <c r="HB27" s="653"/>
      <c r="HC27" s="653"/>
      <c r="HD27" s="653"/>
      <c r="HE27" s="653"/>
      <c r="HF27" s="653"/>
      <c r="HG27" s="653"/>
      <c r="HH27" s="653"/>
      <c r="HI27" s="653"/>
      <c r="HJ27" s="653"/>
      <c r="HK27" s="653"/>
      <c r="HL27" s="653"/>
      <c r="HM27" s="653"/>
      <c r="HN27" s="653"/>
      <c r="HO27" s="653"/>
      <c r="HP27" s="653"/>
      <c r="HQ27" s="653"/>
      <c r="HR27" s="653"/>
      <c r="HS27" s="653"/>
      <c r="HT27" s="653"/>
      <c r="HU27" s="653"/>
      <c r="HV27" s="653"/>
      <c r="HW27" s="653"/>
      <c r="HX27" s="653"/>
      <c r="HY27" s="653"/>
      <c r="HZ27" s="653"/>
      <c r="IA27" s="653"/>
      <c r="IB27" s="653"/>
      <c r="IC27" s="653"/>
      <c r="ID27" s="653"/>
      <c r="IE27" s="653"/>
      <c r="IF27" s="653"/>
      <c r="IG27" s="653"/>
      <c r="IH27" s="653"/>
      <c r="II27" s="653"/>
      <c r="IJ27" s="653"/>
      <c r="IK27" s="653"/>
      <c r="IL27" s="653"/>
      <c r="IM27" s="653"/>
      <c r="IN27" s="653"/>
      <c r="IO27" s="653"/>
      <c r="IP27" s="653"/>
      <c r="IQ27" s="653"/>
      <c r="IR27" s="653"/>
      <c r="IS27" s="653"/>
      <c r="IT27" s="653"/>
      <c r="IU27" s="653"/>
      <c r="IV27" s="653"/>
      <c r="IW27" s="653"/>
    </row>
    <row r="28" customFormat="false" ht="15.75" hidden="false" customHeight="false" outlineLevel="0" collapsed="false">
      <c r="A28" s="109"/>
      <c r="B28" s="67"/>
      <c r="C28" s="67"/>
      <c r="D28" s="67"/>
      <c r="E28" s="67"/>
      <c r="F28" s="646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45"/>
    </row>
    <row r="29" customFormat="false" ht="14.25" hidden="false" customHeight="true" outlineLevel="0" collapsed="false">
      <c r="A29" s="609" t="s">
        <v>703</v>
      </c>
      <c r="B29" s="610"/>
      <c r="C29" s="610"/>
      <c r="D29" s="610"/>
      <c r="E29" s="610"/>
      <c r="F29" s="659" t="n">
        <v>0</v>
      </c>
      <c r="G29" s="660" t="n">
        <f aca="false">F32</f>
        <v>0</v>
      </c>
      <c r="H29" s="660" t="n">
        <f aca="false">G32</f>
        <v>-13.2759999379246</v>
      </c>
      <c r="I29" s="660" t="n">
        <f aca="false">H32</f>
        <v>6014.74474871979</v>
      </c>
      <c r="J29" s="660" t="n">
        <f aca="false">I32</f>
        <v>11249.5971921324</v>
      </c>
      <c r="K29" s="660" t="n">
        <f aca="false">J32</f>
        <v>15129.384581754</v>
      </c>
      <c r="L29" s="660" t="n">
        <f aca="false">K32</f>
        <v>20717.2877801746</v>
      </c>
      <c r="M29" s="660" t="n">
        <f aca="false">L32</f>
        <v>22449.009356751</v>
      </c>
      <c r="N29" s="660" t="n">
        <f aca="false">M32</f>
        <v>25925.9031272611</v>
      </c>
      <c r="O29" s="660" t="n">
        <f aca="false">N32</f>
        <v>25482.2921892076</v>
      </c>
      <c r="P29" s="660" t="n">
        <f aca="false">O32</f>
        <v>27878.9352976612</v>
      </c>
      <c r="Q29" s="660" t="n">
        <f aca="false">P32</f>
        <v>33340.9246423819</v>
      </c>
      <c r="R29" s="660" t="n">
        <f aca="false">Q32</f>
        <v>39167.0041246882</v>
      </c>
      <c r="S29" s="660" t="n">
        <f aca="false">R32</f>
        <v>42753.2479302843</v>
      </c>
      <c r="T29" s="660" t="n">
        <f aca="false">S32</f>
        <v>40645.6345136479</v>
      </c>
      <c r="U29" s="660" t="n">
        <f aca="false">T32</f>
        <v>38914.5329686633</v>
      </c>
      <c r="V29" s="660" t="n">
        <f aca="false">U32</f>
        <v>37031.5901680045</v>
      </c>
      <c r="W29" s="660" t="n">
        <f aca="false">V32</f>
        <v>37467.4667953541</v>
      </c>
      <c r="X29" s="660" t="n">
        <f aca="false">W32</f>
        <v>43816.4256936609</v>
      </c>
      <c r="Y29" s="660" t="n">
        <f aca="false">X32</f>
        <v>50205.7244943639</v>
      </c>
      <c r="Z29" s="660" t="n">
        <f aca="false">Y32</f>
        <v>56638.7441860766</v>
      </c>
      <c r="AA29" s="661" t="n">
        <f aca="false">F29</f>
        <v>0</v>
      </c>
    </row>
    <row r="30" customFormat="false" ht="14.25" hidden="false" customHeight="true" outlineLevel="0" collapsed="false">
      <c r="A30" s="662" t="s">
        <v>704</v>
      </c>
      <c r="B30" s="496"/>
      <c r="C30" s="496"/>
      <c r="D30" s="496"/>
      <c r="E30" s="496"/>
      <c r="F30" s="663" t="n">
        <f aca="false">IF(-F26+E26&gt;0,-F26+E26,0)</f>
        <v>0</v>
      </c>
      <c r="G30" s="663" t="n">
        <f aca="false">IF(-G26+F26&gt;0,-G26+F26,0)</f>
        <v>0</v>
      </c>
      <c r="H30" s="663" t="n">
        <f aca="false">IF(-H26+G26&gt;0,-H26+G26,0)</f>
        <v>6028.02074865771</v>
      </c>
      <c r="I30" s="663" t="n">
        <f aca="false">IF(-I26+H26&gt;0,-I26+H26,0)</f>
        <v>5234.85244341261</v>
      </c>
      <c r="J30" s="663" t="n">
        <f aca="false">IF(-J26+I26&gt;0,-J26+I26,0)</f>
        <v>3879.78738962163</v>
      </c>
      <c r="K30" s="663" t="n">
        <f aca="false">IF(-K26+J26&gt;0,-K26+J26,0)</f>
        <v>5587.90319842053</v>
      </c>
      <c r="L30" s="663" t="n">
        <f aca="false">IF(-L26+K26&gt;0,-L26+K26,0)</f>
        <v>1731.72157657644</v>
      </c>
      <c r="M30" s="663" t="n">
        <f aca="false">IF(-M26+L26&gt;0,-M26+L26,0)</f>
        <v>3476.89377051009</v>
      </c>
      <c r="N30" s="663" t="n">
        <f aca="false">IF(-N26+M26&gt;0,-N26+M26,0)</f>
        <v>0</v>
      </c>
      <c r="O30" s="663" t="n">
        <f aca="false">IF(-O26+N26&gt;0,-O26+N26,0)</f>
        <v>2396.6431084536</v>
      </c>
      <c r="P30" s="663" t="n">
        <f aca="false">IF(-P26+O26&gt;0,-P26+O26,0)</f>
        <v>5461.98934472067</v>
      </c>
      <c r="Q30" s="663" t="n">
        <f aca="false">IF(-Q26+P26&gt;0,-Q26+P26,0)</f>
        <v>5826.07948230625</v>
      </c>
      <c r="R30" s="663" t="n">
        <f aca="false">IF(-R26+Q26&gt;0,-R26+Q26,0)</f>
        <v>3586.24380559618</v>
      </c>
      <c r="S30" s="663" t="n">
        <f aca="false">IF(-S26+R26&gt;0,-S26+R26,0)</f>
        <v>0</v>
      </c>
      <c r="T30" s="663" t="n">
        <f aca="false">IF(-T26+S26&gt;0,-T26+S26,0)</f>
        <v>0</v>
      </c>
      <c r="U30" s="663" t="n">
        <f aca="false">IF(-U26+T26&gt;0,-U26+T26,0)</f>
        <v>0</v>
      </c>
      <c r="V30" s="663" t="n">
        <f aca="false">IF(-V26+U26&gt;0,-V26+U26,0)</f>
        <v>435.876627349615</v>
      </c>
      <c r="W30" s="663" t="n">
        <f aca="false">IF(-W26+V26&gt;0,-W26+V26,0)</f>
        <v>6348.95889830674</v>
      </c>
      <c r="X30" s="663" t="n">
        <f aca="false">IF(-X26+W26&gt;0,-X26+W26,0)</f>
        <v>6389.29880070299</v>
      </c>
      <c r="Y30" s="663" t="n">
        <f aca="false">IF(-Y26+X26&gt;0,-Y26+X26,0)</f>
        <v>6433.01969171273</v>
      </c>
      <c r="Z30" s="663" t="n">
        <f aca="false">IF(-Z26+Y26&gt;0,-Z26+Y26,0)</f>
        <v>0</v>
      </c>
      <c r="AA30" s="500" t="n">
        <f aca="false">SUM(F30:Z30)</f>
        <v>62817.2888863478</v>
      </c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  <c r="CM30" s="67"/>
      <c r="CN30" s="67"/>
      <c r="CO30" s="67"/>
      <c r="CP30" s="67"/>
      <c r="CQ30" s="67"/>
      <c r="CR30" s="67"/>
      <c r="CS30" s="67"/>
      <c r="CT30" s="67"/>
      <c r="CU30" s="67"/>
      <c r="CV30" s="67"/>
      <c r="CW30" s="67"/>
      <c r="CX30" s="67"/>
      <c r="CY30" s="67"/>
      <c r="CZ30" s="67"/>
      <c r="DA30" s="67"/>
      <c r="DB30" s="67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DX30" s="67"/>
      <c r="DY30" s="67"/>
      <c r="DZ30" s="67"/>
      <c r="EA30" s="67"/>
      <c r="EB30" s="67"/>
      <c r="EC30" s="67"/>
      <c r="ED30" s="67"/>
      <c r="EE30" s="67"/>
      <c r="EF30" s="67"/>
      <c r="EG30" s="67"/>
      <c r="EH30" s="67"/>
      <c r="EI30" s="67"/>
      <c r="EJ30" s="67"/>
      <c r="EK30" s="67"/>
      <c r="EL30" s="67"/>
      <c r="EM30" s="67"/>
      <c r="EN30" s="67"/>
      <c r="EO30" s="67"/>
      <c r="EP30" s="67"/>
      <c r="EQ30" s="67"/>
      <c r="ER30" s="67"/>
      <c r="ES30" s="67"/>
      <c r="ET30" s="67"/>
      <c r="EU30" s="67"/>
      <c r="EV30" s="67"/>
      <c r="EW30" s="67"/>
      <c r="EX30" s="67"/>
      <c r="EY30" s="67"/>
      <c r="EZ30" s="67"/>
      <c r="FA30" s="67"/>
      <c r="FB30" s="67"/>
      <c r="FC30" s="67"/>
      <c r="FD30" s="67"/>
      <c r="FE30" s="67"/>
      <c r="FF30" s="67"/>
      <c r="FG30" s="67"/>
      <c r="FH30" s="67"/>
      <c r="FI30" s="67"/>
      <c r="FJ30" s="67"/>
      <c r="FK30" s="67"/>
      <c r="FL30" s="67"/>
      <c r="FM30" s="67"/>
      <c r="FN30" s="67"/>
      <c r="FO30" s="67"/>
      <c r="FP30" s="67"/>
      <c r="FQ30" s="67"/>
      <c r="FR30" s="67"/>
      <c r="FS30" s="67"/>
      <c r="FT30" s="67"/>
      <c r="FU30" s="67"/>
      <c r="FV30" s="67"/>
      <c r="FW30" s="67"/>
      <c r="FX30" s="67"/>
      <c r="FY30" s="67"/>
      <c r="FZ30" s="67"/>
      <c r="GA30" s="67"/>
      <c r="GB30" s="67"/>
      <c r="GC30" s="67"/>
      <c r="GD30" s="67"/>
      <c r="GE30" s="67"/>
      <c r="GF30" s="67"/>
      <c r="GG30" s="67"/>
      <c r="GH30" s="67"/>
      <c r="GI30" s="67"/>
      <c r="GJ30" s="67"/>
      <c r="GK30" s="67"/>
      <c r="GL30" s="67"/>
      <c r="GM30" s="67"/>
      <c r="GN30" s="67"/>
      <c r="GO30" s="67"/>
      <c r="GP30" s="67"/>
      <c r="GQ30" s="67"/>
      <c r="GR30" s="67"/>
      <c r="GS30" s="67"/>
      <c r="GT30" s="67"/>
      <c r="GU30" s="67"/>
      <c r="GV30" s="67"/>
      <c r="GW30" s="67"/>
      <c r="GX30" s="67"/>
      <c r="GY30" s="67"/>
      <c r="GZ30" s="67"/>
      <c r="HA30" s="67"/>
      <c r="HB30" s="67"/>
      <c r="HC30" s="67"/>
      <c r="HD30" s="67"/>
      <c r="HE30" s="67"/>
      <c r="HF30" s="67"/>
      <c r="HG30" s="67"/>
      <c r="HH30" s="67"/>
      <c r="HI30" s="67"/>
      <c r="HJ30" s="67"/>
      <c r="HK30" s="67"/>
      <c r="HL30" s="67"/>
      <c r="HM30" s="67"/>
      <c r="HN30" s="67"/>
      <c r="HO30" s="67"/>
      <c r="HP30" s="67"/>
      <c r="HQ30" s="67"/>
      <c r="HR30" s="67"/>
      <c r="HS30" s="67"/>
      <c r="HT30" s="67"/>
      <c r="HU30" s="67"/>
      <c r="HV30" s="67"/>
      <c r="HW30" s="67"/>
      <c r="HX30" s="67"/>
      <c r="HY30" s="67"/>
      <c r="HZ30" s="67"/>
      <c r="IA30" s="67"/>
      <c r="IB30" s="67"/>
      <c r="IC30" s="67"/>
      <c r="ID30" s="67"/>
      <c r="IE30" s="67"/>
      <c r="IF30" s="67"/>
      <c r="IG30" s="67"/>
      <c r="IH30" s="67"/>
      <c r="II30" s="67"/>
      <c r="IJ30" s="67"/>
      <c r="IK30" s="67"/>
      <c r="IL30" s="67"/>
      <c r="IM30" s="67"/>
      <c r="IN30" s="67"/>
      <c r="IO30" s="67"/>
      <c r="IP30" s="67"/>
      <c r="IQ30" s="67"/>
      <c r="IR30" s="67"/>
      <c r="IS30" s="67"/>
      <c r="IT30" s="67"/>
      <c r="IU30" s="67"/>
      <c r="IV30" s="67"/>
      <c r="IW30" s="67"/>
    </row>
    <row r="31" customFormat="false" ht="12.75" hidden="false" customHeight="false" outlineLevel="0" collapsed="false">
      <c r="A31" s="662" t="s">
        <v>705</v>
      </c>
      <c r="B31" s="496"/>
      <c r="C31" s="496"/>
      <c r="D31" s="496"/>
      <c r="E31" s="496"/>
      <c r="F31" s="664" t="n">
        <f aca="false">IF(-F26+E26&lt;0,-F26+E26,0)</f>
        <v>0</v>
      </c>
      <c r="G31" s="664" t="n">
        <f aca="false">IF(-G26+F26&lt;0,-G26+F26,0)</f>
        <v>-13.2759999379246</v>
      </c>
      <c r="H31" s="664" t="n">
        <f aca="false">IF(-H26+G26&lt;0,-H26+G26,0)</f>
        <v>0</v>
      </c>
      <c r="I31" s="664" t="n">
        <f aca="false">IF(-I26+H26&lt;0,-I26+H26,0)</f>
        <v>0</v>
      </c>
      <c r="J31" s="664" t="n">
        <f aca="false">IF(-J26+I26&lt;0,-J26+I26,0)</f>
        <v>0</v>
      </c>
      <c r="K31" s="664" t="n">
        <f aca="false">IF(-K26+J26&lt;0,-K26+J26,0)</f>
        <v>0</v>
      </c>
      <c r="L31" s="664" t="n">
        <f aca="false">IF(-L26+K26&lt;0,-L26+K26,0)</f>
        <v>0</v>
      </c>
      <c r="M31" s="664" t="n">
        <f aca="false">IF(-M26+L26&lt;0,-M26+L26,0)</f>
        <v>0</v>
      </c>
      <c r="N31" s="664" t="n">
        <f aca="false">IF(-N26+M26&lt;0,-N26+M26,0)</f>
        <v>-443.610938053462</v>
      </c>
      <c r="O31" s="664" t="n">
        <f aca="false">IF(-O26+N26&lt;0,-O26+N26,0)</f>
        <v>0</v>
      </c>
      <c r="P31" s="664" t="n">
        <f aca="false">IF(-P26+O26&lt;0,-P26+O26,0)</f>
        <v>0</v>
      </c>
      <c r="Q31" s="664" t="n">
        <f aca="false">IF(-Q26+P26&lt;0,-Q26+P26,0)</f>
        <v>0</v>
      </c>
      <c r="R31" s="664" t="n">
        <f aca="false">IF(-R26+Q26&lt;0,-R26+Q26,0)</f>
        <v>0</v>
      </c>
      <c r="S31" s="664" t="n">
        <f aca="false">IF(-S26+R26&lt;0,-S26+R26,0)</f>
        <v>-2107.61341663642</v>
      </c>
      <c r="T31" s="664" t="n">
        <f aca="false">IF(-T26+S26&lt;0,-T26+S26,0)</f>
        <v>-1731.10154498464</v>
      </c>
      <c r="U31" s="664" t="n">
        <f aca="false">IF(-U26+T26&lt;0,-U26+T26,0)</f>
        <v>-1882.94280065876</v>
      </c>
      <c r="V31" s="664" t="n">
        <f aca="false">IF(-V26+U26&lt;0,-V26+U26,0)</f>
        <v>0</v>
      </c>
      <c r="W31" s="664" t="n">
        <f aca="false">IF(-W26+V26&lt;0,-W26+V26,0)</f>
        <v>0</v>
      </c>
      <c r="X31" s="664" t="n">
        <f aca="false">IF(-X26+W26&lt;0,-X26+W26,0)</f>
        <v>0</v>
      </c>
      <c r="Y31" s="664" t="n">
        <f aca="false">IF(-Y26+X26&lt;0,-Y26+X26,0)</f>
        <v>0</v>
      </c>
      <c r="Z31" s="664" t="n">
        <f aca="false">IF(-Z26+Y26&lt;0,-Z26+Y26,0)</f>
        <v>-56638.7441860766</v>
      </c>
      <c r="AA31" s="665" t="n">
        <f aca="false">SUM(F31:Z31)</f>
        <v>-62817.2888863478</v>
      </c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67"/>
      <c r="CO31" s="67"/>
      <c r="CP31" s="67"/>
      <c r="CQ31" s="67"/>
      <c r="CR31" s="67"/>
      <c r="CS31" s="67"/>
      <c r="CT31" s="67"/>
      <c r="CU31" s="67"/>
      <c r="CV31" s="67"/>
      <c r="CW31" s="67"/>
      <c r="CX31" s="67"/>
      <c r="CY31" s="67"/>
      <c r="CZ31" s="67"/>
      <c r="DA31" s="67"/>
      <c r="DB31" s="67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/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/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/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67"/>
      <c r="FY31" s="67"/>
      <c r="FZ31" s="67"/>
      <c r="GA31" s="67"/>
      <c r="GB31" s="67"/>
      <c r="GC31" s="67"/>
      <c r="GD31" s="67"/>
      <c r="GE31" s="67"/>
      <c r="GF31" s="67"/>
      <c r="GG31" s="67"/>
      <c r="GH31" s="67"/>
      <c r="GI31" s="67"/>
      <c r="GJ31" s="67"/>
      <c r="GK31" s="67"/>
      <c r="GL31" s="67"/>
      <c r="GM31" s="67"/>
      <c r="GN31" s="67"/>
      <c r="GO31" s="67"/>
      <c r="GP31" s="67"/>
      <c r="GQ31" s="67"/>
      <c r="GR31" s="67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  <c r="HE31" s="67"/>
      <c r="HF31" s="67"/>
      <c r="HG31" s="67"/>
      <c r="HH31" s="67"/>
      <c r="HI31" s="67"/>
      <c r="HJ31" s="67"/>
      <c r="HK31" s="67"/>
      <c r="HL31" s="67"/>
      <c r="HM31" s="67"/>
      <c r="HN31" s="67"/>
      <c r="HO31" s="67"/>
      <c r="HP31" s="67"/>
      <c r="HQ31" s="67"/>
      <c r="HR31" s="67"/>
      <c r="HS31" s="67"/>
      <c r="HT31" s="67"/>
      <c r="HU31" s="67"/>
      <c r="HV31" s="67"/>
      <c r="HW31" s="67"/>
      <c r="HX31" s="67"/>
      <c r="HY31" s="67"/>
      <c r="HZ31" s="67"/>
      <c r="IA31" s="67"/>
      <c r="IB31" s="67"/>
      <c r="IC31" s="67"/>
      <c r="ID31" s="67"/>
      <c r="IE31" s="67"/>
      <c r="IF31" s="67"/>
      <c r="IG31" s="67"/>
      <c r="IH31" s="67"/>
      <c r="II31" s="67"/>
      <c r="IJ31" s="67"/>
      <c r="IK31" s="67"/>
      <c r="IL31" s="67"/>
      <c r="IM31" s="67"/>
      <c r="IN31" s="67"/>
      <c r="IO31" s="67"/>
      <c r="IP31" s="67"/>
      <c r="IQ31" s="67"/>
      <c r="IR31" s="67"/>
      <c r="IS31" s="67"/>
      <c r="IT31" s="67"/>
      <c r="IU31" s="67"/>
      <c r="IV31" s="67"/>
      <c r="IW31" s="67"/>
    </row>
    <row r="32" customFormat="false" ht="12.75" hidden="false" customHeight="false" outlineLevel="0" collapsed="false">
      <c r="A32" s="666" t="s">
        <v>706</v>
      </c>
      <c r="B32" s="667"/>
      <c r="C32" s="667"/>
      <c r="D32" s="667"/>
      <c r="E32" s="667"/>
      <c r="F32" s="668" t="n">
        <f aca="false">SUM(F29:F31)</f>
        <v>0</v>
      </c>
      <c r="G32" s="668" t="n">
        <f aca="false">SUM(G29:G31)</f>
        <v>-13.2759999379246</v>
      </c>
      <c r="H32" s="668" t="n">
        <f aca="false">SUM(H29:H31)</f>
        <v>6014.74474871979</v>
      </c>
      <c r="I32" s="668" t="n">
        <f aca="false">SUM(I29:I31)</f>
        <v>11249.5971921324</v>
      </c>
      <c r="J32" s="668" t="n">
        <f aca="false">SUM(J29:J31)</f>
        <v>15129.384581754</v>
      </c>
      <c r="K32" s="668" t="n">
        <f aca="false">SUM(K29:K31)</f>
        <v>20717.2877801746</v>
      </c>
      <c r="L32" s="668" t="n">
        <f aca="false">SUM(L29:L31)</f>
        <v>22449.009356751</v>
      </c>
      <c r="M32" s="668" t="n">
        <f aca="false">SUM(M29:M31)</f>
        <v>25925.9031272611</v>
      </c>
      <c r="N32" s="668" t="n">
        <f aca="false">SUM(N29:N31)</f>
        <v>25482.2921892076</v>
      </c>
      <c r="O32" s="668" t="n">
        <f aca="false">SUM(O29:O31)</f>
        <v>27878.9352976612</v>
      </c>
      <c r="P32" s="668" t="n">
        <f aca="false">SUM(P29:P31)</f>
        <v>33340.9246423819</v>
      </c>
      <c r="Q32" s="668" t="n">
        <f aca="false">SUM(Q29:Q31)</f>
        <v>39167.0041246882</v>
      </c>
      <c r="R32" s="668" t="n">
        <f aca="false">SUM(R29:R31)</f>
        <v>42753.2479302843</v>
      </c>
      <c r="S32" s="668" t="n">
        <f aca="false">SUM(S29:S31)</f>
        <v>40645.6345136479</v>
      </c>
      <c r="T32" s="668" t="n">
        <f aca="false">SUM(T29:T31)</f>
        <v>38914.5329686633</v>
      </c>
      <c r="U32" s="668" t="n">
        <f aca="false">SUM(U29:U31)</f>
        <v>37031.5901680045</v>
      </c>
      <c r="V32" s="668" t="n">
        <f aca="false">SUM(V29:V31)</f>
        <v>37467.4667953541</v>
      </c>
      <c r="W32" s="668" t="n">
        <f aca="false">SUM(W29:W31)</f>
        <v>43816.4256936609</v>
      </c>
      <c r="X32" s="668" t="n">
        <f aca="false">SUM(X29:X31)</f>
        <v>50205.7244943639</v>
      </c>
      <c r="Y32" s="668" t="n">
        <f aca="false">SUM(Y29:Y31)</f>
        <v>56638.7441860766</v>
      </c>
      <c r="Z32" s="668" t="n">
        <f aca="false">SUM(Z29:Z31)</f>
        <v>0</v>
      </c>
      <c r="AA32" s="669" t="n">
        <f aca="false">SUM(AA29:AA31)</f>
        <v>0</v>
      </c>
    </row>
    <row r="33" customFormat="false" ht="12.75" hidden="false" customHeight="false" outlineLevel="0" collapsed="false">
      <c r="A33" s="83"/>
      <c r="B33" s="209"/>
      <c r="C33" s="209"/>
      <c r="D33" s="209"/>
      <c r="E33" s="209"/>
      <c r="F33" s="361"/>
      <c r="G33" s="361"/>
      <c r="H33" s="361"/>
      <c r="I33" s="361"/>
      <c r="J33" s="361"/>
      <c r="K33" s="361"/>
      <c r="L33" s="361"/>
      <c r="M33" s="361"/>
      <c r="N33" s="361"/>
      <c r="O33" s="361"/>
      <c r="P33" s="361"/>
      <c r="Q33" s="361"/>
      <c r="R33" s="361"/>
      <c r="S33" s="361"/>
      <c r="T33" s="361"/>
      <c r="U33" s="361"/>
      <c r="V33" s="361"/>
      <c r="W33" s="361"/>
      <c r="X33" s="361"/>
      <c r="Y33" s="361"/>
      <c r="Z33" s="361"/>
      <c r="AA33" s="652"/>
      <c r="AB33" s="653"/>
      <c r="AC33" s="653"/>
      <c r="AD33" s="653"/>
      <c r="AE33" s="653"/>
      <c r="AF33" s="653"/>
      <c r="AG33" s="653"/>
      <c r="AH33" s="653"/>
      <c r="AI33" s="653"/>
      <c r="AJ33" s="653"/>
      <c r="AK33" s="653"/>
      <c r="AL33" s="653"/>
      <c r="AM33" s="653"/>
      <c r="AN33" s="653"/>
      <c r="AO33" s="653"/>
      <c r="AP33" s="653"/>
      <c r="AQ33" s="653"/>
      <c r="AR33" s="653"/>
      <c r="AS33" s="653"/>
      <c r="AT33" s="653"/>
      <c r="AU33" s="653"/>
      <c r="AV33" s="653"/>
      <c r="AW33" s="653"/>
      <c r="AX33" s="653"/>
      <c r="AY33" s="653"/>
      <c r="AZ33" s="653"/>
      <c r="BA33" s="653"/>
      <c r="BB33" s="653"/>
      <c r="BC33" s="653"/>
      <c r="BD33" s="653"/>
      <c r="BE33" s="653"/>
      <c r="BF33" s="653"/>
      <c r="BG33" s="653"/>
      <c r="BH33" s="653"/>
      <c r="BI33" s="653"/>
      <c r="BJ33" s="653"/>
      <c r="BK33" s="653"/>
      <c r="BL33" s="653"/>
      <c r="BM33" s="653"/>
      <c r="BN33" s="653"/>
      <c r="BO33" s="653"/>
      <c r="BP33" s="653"/>
      <c r="BQ33" s="653"/>
      <c r="BR33" s="653"/>
      <c r="BS33" s="653"/>
      <c r="BT33" s="653"/>
      <c r="BU33" s="653"/>
      <c r="BV33" s="653"/>
      <c r="BW33" s="653"/>
      <c r="BX33" s="653"/>
      <c r="BY33" s="653"/>
      <c r="BZ33" s="653"/>
      <c r="CA33" s="653"/>
      <c r="CB33" s="653"/>
      <c r="CC33" s="653"/>
      <c r="CD33" s="653"/>
      <c r="CE33" s="653"/>
      <c r="CF33" s="653"/>
      <c r="CG33" s="653"/>
      <c r="CH33" s="653"/>
      <c r="CI33" s="653"/>
      <c r="CJ33" s="653"/>
      <c r="CK33" s="653"/>
      <c r="CL33" s="653"/>
      <c r="CM33" s="653"/>
      <c r="CN33" s="653"/>
      <c r="CO33" s="653"/>
      <c r="CP33" s="653"/>
      <c r="CQ33" s="653"/>
      <c r="CR33" s="653"/>
      <c r="CS33" s="653"/>
      <c r="CT33" s="653"/>
      <c r="CU33" s="653"/>
      <c r="CV33" s="653"/>
      <c r="CW33" s="653"/>
      <c r="CX33" s="653"/>
      <c r="CY33" s="653"/>
      <c r="CZ33" s="653"/>
      <c r="DA33" s="653"/>
      <c r="DB33" s="653"/>
      <c r="DC33" s="653"/>
      <c r="DD33" s="653"/>
      <c r="DE33" s="653"/>
      <c r="DF33" s="653"/>
      <c r="DG33" s="653"/>
      <c r="DH33" s="653"/>
      <c r="DI33" s="653"/>
      <c r="DJ33" s="653"/>
      <c r="DK33" s="653"/>
      <c r="DL33" s="653"/>
      <c r="DM33" s="653"/>
      <c r="DN33" s="653"/>
      <c r="DO33" s="653"/>
      <c r="DP33" s="653"/>
      <c r="DQ33" s="653"/>
      <c r="DR33" s="653"/>
      <c r="DS33" s="653"/>
      <c r="DT33" s="653"/>
      <c r="DU33" s="653"/>
      <c r="DV33" s="653"/>
      <c r="DW33" s="653"/>
      <c r="DX33" s="653"/>
      <c r="DY33" s="653"/>
      <c r="DZ33" s="653"/>
      <c r="EA33" s="653"/>
      <c r="EB33" s="653"/>
      <c r="EC33" s="653"/>
      <c r="ED33" s="653"/>
      <c r="EE33" s="653"/>
      <c r="EF33" s="653"/>
      <c r="EG33" s="653"/>
      <c r="EH33" s="653"/>
      <c r="EI33" s="653"/>
      <c r="EJ33" s="653"/>
      <c r="EK33" s="653"/>
      <c r="EL33" s="653"/>
      <c r="EM33" s="653"/>
      <c r="EN33" s="653"/>
      <c r="EO33" s="653"/>
      <c r="EP33" s="653"/>
      <c r="EQ33" s="653"/>
      <c r="ER33" s="653"/>
      <c r="ES33" s="653"/>
      <c r="ET33" s="653"/>
      <c r="EU33" s="653"/>
      <c r="EV33" s="653"/>
      <c r="EW33" s="653"/>
      <c r="EX33" s="653"/>
      <c r="EY33" s="653"/>
      <c r="EZ33" s="653"/>
      <c r="FA33" s="653"/>
      <c r="FB33" s="653"/>
      <c r="FC33" s="653"/>
      <c r="FD33" s="653"/>
      <c r="FE33" s="653"/>
      <c r="FF33" s="653"/>
      <c r="FG33" s="653"/>
      <c r="FH33" s="653"/>
      <c r="FI33" s="653"/>
      <c r="FJ33" s="653"/>
      <c r="FK33" s="653"/>
      <c r="FL33" s="653"/>
      <c r="FM33" s="653"/>
      <c r="FN33" s="653"/>
      <c r="FO33" s="653"/>
      <c r="FP33" s="653"/>
      <c r="FQ33" s="653"/>
      <c r="FR33" s="653"/>
      <c r="FS33" s="653"/>
      <c r="FT33" s="653"/>
      <c r="FU33" s="653"/>
      <c r="FV33" s="653"/>
      <c r="FW33" s="653"/>
      <c r="FX33" s="653"/>
      <c r="FY33" s="653"/>
      <c r="FZ33" s="653"/>
      <c r="GA33" s="653"/>
      <c r="GB33" s="653"/>
      <c r="GC33" s="653"/>
      <c r="GD33" s="653"/>
      <c r="GE33" s="653"/>
      <c r="GF33" s="653"/>
      <c r="GG33" s="653"/>
      <c r="GH33" s="653"/>
      <c r="GI33" s="653"/>
      <c r="GJ33" s="653"/>
      <c r="GK33" s="653"/>
      <c r="GL33" s="653"/>
      <c r="GM33" s="653"/>
      <c r="GN33" s="653"/>
      <c r="GO33" s="653"/>
      <c r="GP33" s="653"/>
      <c r="GQ33" s="653"/>
      <c r="GR33" s="653"/>
      <c r="GS33" s="653"/>
      <c r="GT33" s="653"/>
      <c r="GU33" s="653"/>
      <c r="GV33" s="653"/>
      <c r="GW33" s="653"/>
      <c r="GX33" s="653"/>
      <c r="GY33" s="653"/>
      <c r="GZ33" s="653"/>
      <c r="HA33" s="653"/>
      <c r="HB33" s="653"/>
      <c r="HC33" s="653"/>
      <c r="HD33" s="653"/>
      <c r="HE33" s="653"/>
      <c r="HF33" s="653"/>
      <c r="HG33" s="653"/>
      <c r="HH33" s="653"/>
      <c r="HI33" s="653"/>
      <c r="HJ33" s="653"/>
      <c r="HK33" s="653"/>
      <c r="HL33" s="653"/>
      <c r="HM33" s="653"/>
      <c r="HN33" s="653"/>
      <c r="HO33" s="653"/>
      <c r="HP33" s="653"/>
      <c r="HQ33" s="653"/>
      <c r="HR33" s="653"/>
      <c r="HS33" s="653"/>
      <c r="HT33" s="653"/>
      <c r="HU33" s="653"/>
      <c r="HV33" s="653"/>
      <c r="HW33" s="653"/>
      <c r="HX33" s="653"/>
      <c r="HY33" s="653"/>
      <c r="HZ33" s="653"/>
      <c r="IA33" s="653"/>
      <c r="IB33" s="653"/>
      <c r="IC33" s="653"/>
      <c r="ID33" s="653"/>
      <c r="IE33" s="653"/>
      <c r="IF33" s="653"/>
      <c r="IG33" s="653"/>
      <c r="IH33" s="653"/>
      <c r="II33" s="653"/>
      <c r="IJ33" s="653"/>
      <c r="IK33" s="653"/>
      <c r="IL33" s="653"/>
      <c r="IM33" s="653"/>
      <c r="IN33" s="653"/>
      <c r="IO33" s="653"/>
      <c r="IP33" s="653"/>
      <c r="IQ33" s="653"/>
      <c r="IR33" s="653"/>
      <c r="IS33" s="653"/>
      <c r="IT33" s="653"/>
      <c r="IU33" s="653"/>
      <c r="IV33" s="653"/>
      <c r="IW33" s="653"/>
    </row>
    <row r="34" customFormat="false" ht="12.75" hidden="false" customHeight="false" outlineLevel="0" collapsed="false">
      <c r="A34" s="83" t="s">
        <v>707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45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  <c r="BY34" s="67"/>
      <c r="BZ34" s="67"/>
      <c r="CA34" s="67"/>
      <c r="CB34" s="67"/>
      <c r="CC34" s="67"/>
      <c r="CD34" s="67"/>
      <c r="CE34" s="67"/>
      <c r="CF34" s="67"/>
      <c r="CG34" s="67"/>
      <c r="CH34" s="67"/>
      <c r="CI34" s="67"/>
      <c r="CJ34" s="67"/>
      <c r="CK34" s="67"/>
      <c r="CL34" s="67"/>
      <c r="CM34" s="67"/>
      <c r="CN34" s="67"/>
      <c r="CO34" s="67"/>
      <c r="CP34" s="67"/>
      <c r="CQ34" s="67"/>
      <c r="CR34" s="67"/>
      <c r="CS34" s="67"/>
      <c r="CT34" s="67"/>
      <c r="CU34" s="67"/>
      <c r="CV34" s="67"/>
      <c r="CW34" s="67"/>
      <c r="CX34" s="67"/>
      <c r="CY34" s="67"/>
      <c r="CZ34" s="67"/>
      <c r="DA34" s="67"/>
      <c r="DB34" s="67"/>
      <c r="DC34" s="67"/>
      <c r="DD34" s="67"/>
      <c r="DE34" s="67"/>
      <c r="DF34" s="67"/>
      <c r="DG34" s="67"/>
      <c r="DH34" s="67"/>
      <c r="DI34" s="67"/>
      <c r="DJ34" s="67"/>
      <c r="DK34" s="67"/>
      <c r="DL34" s="67"/>
      <c r="DM34" s="67"/>
      <c r="DN34" s="67"/>
      <c r="DO34" s="67"/>
      <c r="DP34" s="67"/>
      <c r="DQ34" s="67"/>
      <c r="DR34" s="67"/>
      <c r="DS34" s="67"/>
      <c r="DT34" s="67"/>
      <c r="DU34" s="67"/>
      <c r="DV34" s="67"/>
      <c r="DW34" s="67"/>
      <c r="DX34" s="67"/>
      <c r="DY34" s="67"/>
      <c r="DZ34" s="67"/>
      <c r="EA34" s="67"/>
      <c r="EB34" s="67"/>
      <c r="EC34" s="67"/>
      <c r="ED34" s="67"/>
      <c r="EE34" s="67"/>
      <c r="EF34" s="67"/>
      <c r="EG34" s="67"/>
      <c r="EH34" s="67"/>
      <c r="EI34" s="67"/>
      <c r="EJ34" s="67"/>
      <c r="EK34" s="67"/>
      <c r="EL34" s="67"/>
      <c r="EM34" s="67"/>
      <c r="EN34" s="67"/>
      <c r="EO34" s="67"/>
      <c r="EP34" s="67"/>
      <c r="EQ34" s="67"/>
      <c r="ER34" s="67"/>
      <c r="ES34" s="67"/>
      <c r="ET34" s="67"/>
      <c r="EU34" s="67"/>
      <c r="EV34" s="67"/>
      <c r="EW34" s="67"/>
      <c r="EX34" s="67"/>
      <c r="EY34" s="67"/>
      <c r="EZ34" s="67"/>
      <c r="FA34" s="67"/>
      <c r="FB34" s="67"/>
      <c r="FC34" s="67"/>
      <c r="FD34" s="67"/>
      <c r="FE34" s="67"/>
      <c r="FF34" s="67"/>
      <c r="FG34" s="67"/>
      <c r="FH34" s="67"/>
      <c r="FI34" s="67"/>
      <c r="FJ34" s="67"/>
      <c r="FK34" s="67"/>
      <c r="FL34" s="67"/>
      <c r="FM34" s="67"/>
      <c r="FN34" s="67"/>
      <c r="FO34" s="67"/>
      <c r="FP34" s="67"/>
      <c r="FQ34" s="67"/>
      <c r="FR34" s="67"/>
      <c r="FS34" s="67"/>
      <c r="FT34" s="67"/>
      <c r="FU34" s="67"/>
      <c r="FV34" s="67"/>
      <c r="FW34" s="67"/>
      <c r="FX34" s="67"/>
      <c r="FY34" s="67"/>
      <c r="FZ34" s="67"/>
      <c r="GA34" s="67"/>
      <c r="GB34" s="67"/>
      <c r="GC34" s="67"/>
      <c r="GD34" s="67"/>
      <c r="GE34" s="67"/>
      <c r="GF34" s="67"/>
      <c r="GG34" s="67"/>
      <c r="GH34" s="67"/>
      <c r="GI34" s="67"/>
      <c r="GJ34" s="67"/>
      <c r="GK34" s="67"/>
      <c r="GL34" s="67"/>
      <c r="GM34" s="67"/>
      <c r="GN34" s="67"/>
      <c r="GO34" s="67"/>
      <c r="GP34" s="67"/>
      <c r="GQ34" s="67"/>
      <c r="GR34" s="67"/>
      <c r="GS34" s="67"/>
      <c r="GT34" s="67"/>
      <c r="GU34" s="67"/>
      <c r="GV34" s="67"/>
      <c r="GW34" s="67"/>
      <c r="GX34" s="67"/>
      <c r="GY34" s="67"/>
      <c r="GZ34" s="67"/>
      <c r="HA34" s="67"/>
      <c r="HB34" s="67"/>
      <c r="HC34" s="67"/>
      <c r="HD34" s="67"/>
      <c r="HE34" s="67"/>
      <c r="HF34" s="67"/>
      <c r="HG34" s="67"/>
      <c r="HH34" s="67"/>
      <c r="HI34" s="67"/>
      <c r="HJ34" s="67"/>
      <c r="HK34" s="67"/>
      <c r="HL34" s="67"/>
      <c r="HM34" s="67"/>
      <c r="HN34" s="67"/>
      <c r="HO34" s="67"/>
      <c r="HP34" s="67"/>
      <c r="HQ34" s="67"/>
      <c r="HR34" s="67"/>
      <c r="HS34" s="67"/>
      <c r="HT34" s="67"/>
      <c r="HU34" s="67"/>
      <c r="HV34" s="67"/>
      <c r="HW34" s="67"/>
      <c r="HX34" s="67"/>
      <c r="HY34" s="67"/>
      <c r="HZ34" s="67"/>
      <c r="IA34" s="67"/>
      <c r="IB34" s="67"/>
      <c r="IC34" s="67"/>
      <c r="ID34" s="67"/>
      <c r="IE34" s="67"/>
      <c r="IF34" s="67"/>
      <c r="IG34" s="67"/>
      <c r="IH34" s="67"/>
      <c r="II34" s="67"/>
      <c r="IJ34" s="67"/>
      <c r="IK34" s="67"/>
      <c r="IL34" s="67"/>
      <c r="IM34" s="67"/>
      <c r="IN34" s="67"/>
      <c r="IO34" s="67"/>
      <c r="IP34" s="67"/>
      <c r="IQ34" s="67"/>
      <c r="IR34" s="67"/>
      <c r="IS34" s="67"/>
      <c r="IT34" s="67"/>
      <c r="IU34" s="67"/>
      <c r="IV34" s="67"/>
      <c r="IW34" s="67"/>
    </row>
    <row r="35" customFormat="false" ht="12.75" hidden="false" customHeight="false" outlineLevel="0" collapsed="false">
      <c r="A35" s="109" t="s">
        <v>656</v>
      </c>
      <c r="B35" s="67"/>
      <c r="C35" s="67"/>
      <c r="D35" s="67"/>
      <c r="E35" s="67"/>
      <c r="F35" s="670" t="n">
        <v>0</v>
      </c>
      <c r="G35" s="671" t="n">
        <f aca="false">F38</f>
        <v>0</v>
      </c>
      <c r="H35" s="671" t="n">
        <f aca="false">G38</f>
        <v>0</v>
      </c>
      <c r="I35" s="671" t="n">
        <f aca="false">H38</f>
        <v>-13.2759999379246</v>
      </c>
      <c r="J35" s="671" t="n">
        <f aca="false">I38</f>
        <v>6014.74474871979</v>
      </c>
      <c r="K35" s="671" t="n">
        <f aca="false">J38</f>
        <v>11249.5971921324</v>
      </c>
      <c r="L35" s="671" t="n">
        <f aca="false">K38</f>
        <v>15129.384581754</v>
      </c>
      <c r="M35" s="671" t="n">
        <f aca="false">L38</f>
        <v>20717.2877801746</v>
      </c>
      <c r="N35" s="671" t="n">
        <f aca="false">M38</f>
        <v>22449.009356751</v>
      </c>
      <c r="O35" s="671" t="n">
        <f aca="false">N38</f>
        <v>25925.9031272611</v>
      </c>
      <c r="P35" s="671" t="n">
        <f aca="false">O38</f>
        <v>25482.2921892076</v>
      </c>
      <c r="Q35" s="671" t="n">
        <f aca="false">P38</f>
        <v>27878.9352976612</v>
      </c>
      <c r="R35" s="671" t="n">
        <f aca="false">Q38</f>
        <v>33340.9246423819</v>
      </c>
      <c r="S35" s="671" t="n">
        <f aca="false">R38</f>
        <v>39167.0041246882</v>
      </c>
      <c r="T35" s="671" t="n">
        <f aca="false">S38</f>
        <v>42753.2479302843</v>
      </c>
      <c r="U35" s="671" t="n">
        <f aca="false">T38</f>
        <v>40645.6345136479</v>
      </c>
      <c r="V35" s="671" t="n">
        <f aca="false">U38</f>
        <v>38914.5329686633</v>
      </c>
      <c r="W35" s="671" t="n">
        <f aca="false">V38</f>
        <v>37031.5901680045</v>
      </c>
      <c r="X35" s="671" t="n">
        <f aca="false">W38</f>
        <v>37467.4667953541</v>
      </c>
      <c r="Y35" s="671" t="n">
        <f aca="false">X38</f>
        <v>43816.4256936609</v>
      </c>
      <c r="Z35" s="671" t="n">
        <f aca="false">Y38</f>
        <v>50205.7244943639</v>
      </c>
      <c r="AA35" s="649" t="n">
        <f aca="false">F35</f>
        <v>0</v>
      </c>
    </row>
    <row r="36" customFormat="false" ht="12.75" hidden="false" customHeight="false" outlineLevel="0" collapsed="false">
      <c r="A36" s="109" t="s">
        <v>708</v>
      </c>
      <c r="B36" s="67"/>
      <c r="C36" s="67"/>
      <c r="D36" s="67"/>
      <c r="E36" s="67"/>
      <c r="F36" s="671" t="n">
        <f aca="false">E30</f>
        <v>0</v>
      </c>
      <c r="G36" s="671" t="n">
        <f aca="false">F30</f>
        <v>0</v>
      </c>
      <c r="H36" s="671" t="n">
        <f aca="false">G30</f>
        <v>0</v>
      </c>
      <c r="I36" s="671" t="n">
        <f aca="false">H30</f>
        <v>6028.02074865771</v>
      </c>
      <c r="J36" s="671" t="n">
        <f aca="false">I30</f>
        <v>5234.85244341261</v>
      </c>
      <c r="K36" s="671" t="n">
        <f aca="false">J30</f>
        <v>3879.78738962163</v>
      </c>
      <c r="L36" s="671" t="n">
        <f aca="false">K30</f>
        <v>5587.90319842053</v>
      </c>
      <c r="M36" s="671" t="n">
        <f aca="false">L30</f>
        <v>1731.72157657644</v>
      </c>
      <c r="N36" s="671" t="n">
        <f aca="false">M30</f>
        <v>3476.89377051009</v>
      </c>
      <c r="O36" s="671" t="n">
        <f aca="false">N30</f>
        <v>0</v>
      </c>
      <c r="P36" s="671" t="n">
        <f aca="false">O30</f>
        <v>2396.6431084536</v>
      </c>
      <c r="Q36" s="671" t="n">
        <f aca="false">P30</f>
        <v>5461.98934472067</v>
      </c>
      <c r="R36" s="671" t="n">
        <f aca="false">Q30</f>
        <v>5826.07948230625</v>
      </c>
      <c r="S36" s="671" t="n">
        <f aca="false">R30</f>
        <v>3586.24380559618</v>
      </c>
      <c r="T36" s="671" t="n">
        <f aca="false">S30</f>
        <v>0</v>
      </c>
      <c r="U36" s="671" t="n">
        <f aca="false">T30</f>
        <v>0</v>
      </c>
      <c r="V36" s="671" t="n">
        <f aca="false">U30</f>
        <v>0</v>
      </c>
      <c r="W36" s="671" t="n">
        <f aca="false">V30</f>
        <v>435.876627349615</v>
      </c>
      <c r="X36" s="671" t="n">
        <f aca="false">W30</f>
        <v>6348.95889830674</v>
      </c>
      <c r="Y36" s="671" t="n">
        <f aca="false">X30</f>
        <v>6389.29880070299</v>
      </c>
      <c r="Z36" s="671" t="n">
        <f aca="false">Y30</f>
        <v>6433.01969171273</v>
      </c>
      <c r="AA36" s="649" t="n">
        <f aca="false">SUM(F36:Z36)</f>
        <v>62817.2888863478</v>
      </c>
    </row>
    <row r="37" customFormat="false" ht="12.75" hidden="false" customHeight="false" outlineLevel="0" collapsed="false">
      <c r="A37" s="109" t="s">
        <v>709</v>
      </c>
      <c r="B37" s="67"/>
      <c r="C37" s="67"/>
      <c r="D37" s="67"/>
      <c r="E37" s="67"/>
      <c r="F37" s="672" t="n">
        <f aca="false">IF(F$7=YEAR(Endyr),F31,E31)</f>
        <v>0</v>
      </c>
      <c r="G37" s="672" t="n">
        <f aca="false">IF(G$7=YEAR(Endyr),G31,F31)</f>
        <v>0</v>
      </c>
      <c r="H37" s="672" t="n">
        <f aca="false">IF(H$7=YEAR(Endyr),H31,G31)</f>
        <v>-13.2759999379246</v>
      </c>
      <c r="I37" s="672" t="n">
        <f aca="false">IF(I$7=YEAR(Endyr),I31,H31)</f>
        <v>0</v>
      </c>
      <c r="J37" s="672" t="n">
        <f aca="false">IF(J$7=YEAR(Endyr),J31,I31)</f>
        <v>0</v>
      </c>
      <c r="K37" s="672" t="n">
        <f aca="false">IF(K$7=YEAR(Endyr),K31,J31)</f>
        <v>0</v>
      </c>
      <c r="L37" s="672" t="n">
        <f aca="false">IF(L$7=YEAR(Endyr),L31,K31)</f>
        <v>0</v>
      </c>
      <c r="M37" s="672" t="n">
        <f aca="false">IF(M$7=YEAR(Endyr),M31,L31)</f>
        <v>0</v>
      </c>
      <c r="N37" s="672" t="n">
        <f aca="false">IF(N$7=YEAR(Endyr),N31,M31)</f>
        <v>0</v>
      </c>
      <c r="O37" s="672" t="n">
        <f aca="false">IF(O$7=YEAR(Endyr),O31,N31)</f>
        <v>-443.610938053462</v>
      </c>
      <c r="P37" s="672" t="n">
        <f aca="false">IF(P$7=YEAR(Endyr),P31,O31)</f>
        <v>0</v>
      </c>
      <c r="Q37" s="672" t="n">
        <f aca="false">IF(Q$7=YEAR(Endyr),Q31,P31)</f>
        <v>0</v>
      </c>
      <c r="R37" s="672" t="n">
        <f aca="false">IF(R$7=YEAR(Endyr),R31,Q31)</f>
        <v>0</v>
      </c>
      <c r="S37" s="672" t="n">
        <f aca="false">IF(S$7=YEAR(Endyr),S31,R31)</f>
        <v>0</v>
      </c>
      <c r="T37" s="672" t="n">
        <f aca="false">IF(T$7=YEAR(Endyr),T31,S31)</f>
        <v>-2107.61341663642</v>
      </c>
      <c r="U37" s="672" t="n">
        <f aca="false">IF(U$7=YEAR(Endyr),U31,T31)</f>
        <v>-1731.10154498464</v>
      </c>
      <c r="V37" s="672" t="n">
        <f aca="false">IF(V$7=YEAR(Endyr),V31,U31)</f>
        <v>-1882.94280065876</v>
      </c>
      <c r="W37" s="672" t="n">
        <f aca="false">IF(W$7=YEAR(Endyr),W31,V31)</f>
        <v>0</v>
      </c>
      <c r="X37" s="672" t="n">
        <f aca="false">IF(X$7=YEAR(Endyr),X31,W31)</f>
        <v>0</v>
      </c>
      <c r="Y37" s="672" t="n">
        <f aca="false">IF(Y$7=YEAR(Endyr),Y31,X31)</f>
        <v>0</v>
      </c>
      <c r="Z37" s="672" t="n">
        <f aca="false">IF(Z$7=YEAR(Endyr),Z31,Y31)</f>
        <v>-56638.7441860766</v>
      </c>
      <c r="AA37" s="651" t="n">
        <f aca="false">SUM(F37:Z37)</f>
        <v>-62817.2888863478</v>
      </c>
    </row>
    <row r="38" customFormat="false" ht="12.75" hidden="false" customHeight="false" outlineLevel="0" collapsed="false">
      <c r="A38" s="109" t="s">
        <v>660</v>
      </c>
      <c r="B38" s="67"/>
      <c r="C38" s="67"/>
      <c r="D38" s="67"/>
      <c r="E38" s="67"/>
      <c r="F38" s="671" t="n">
        <f aca="false">SUM(F35:F37)</f>
        <v>0</v>
      </c>
      <c r="G38" s="671" t="n">
        <f aca="false">SUM(G35:G37)</f>
        <v>0</v>
      </c>
      <c r="H38" s="671" t="n">
        <f aca="false">SUM(H35:H37)</f>
        <v>-13.2759999379246</v>
      </c>
      <c r="I38" s="671" t="n">
        <f aca="false">SUM(I35:I37)</f>
        <v>6014.74474871979</v>
      </c>
      <c r="J38" s="671" t="n">
        <f aca="false">SUM(J35:J37)</f>
        <v>11249.5971921324</v>
      </c>
      <c r="K38" s="671" t="n">
        <f aca="false">SUM(K35:K37)</f>
        <v>15129.384581754</v>
      </c>
      <c r="L38" s="671" t="n">
        <f aca="false">SUM(L35:L37)</f>
        <v>20717.2877801746</v>
      </c>
      <c r="M38" s="671" t="n">
        <f aca="false">SUM(M35:M37)</f>
        <v>22449.009356751</v>
      </c>
      <c r="N38" s="671" t="n">
        <f aca="false">SUM(N35:N37)</f>
        <v>25925.9031272611</v>
      </c>
      <c r="O38" s="671" t="n">
        <f aca="false">SUM(O35:O37)</f>
        <v>25482.2921892076</v>
      </c>
      <c r="P38" s="671" t="n">
        <f aca="false">SUM(P35:P37)</f>
        <v>27878.9352976612</v>
      </c>
      <c r="Q38" s="671" t="n">
        <f aca="false">SUM(Q35:Q37)</f>
        <v>33340.9246423819</v>
      </c>
      <c r="R38" s="671" t="n">
        <f aca="false">SUM(R35:R37)</f>
        <v>39167.0041246882</v>
      </c>
      <c r="S38" s="671" t="n">
        <f aca="false">SUM(S35:S37)</f>
        <v>42753.2479302843</v>
      </c>
      <c r="T38" s="671" t="n">
        <f aca="false">SUM(T35:T37)</f>
        <v>40645.6345136479</v>
      </c>
      <c r="U38" s="671" t="n">
        <f aca="false">SUM(U35:U37)</f>
        <v>38914.5329686633</v>
      </c>
      <c r="V38" s="671" t="n">
        <f aca="false">SUM(V35:V37)</f>
        <v>37031.5901680045</v>
      </c>
      <c r="W38" s="671" t="n">
        <f aca="false">SUM(W35:W37)</f>
        <v>37467.4667953541</v>
      </c>
      <c r="X38" s="671" t="n">
        <f aca="false">SUM(X35:X37)</f>
        <v>43816.4256936609</v>
      </c>
      <c r="Y38" s="671" t="n">
        <f aca="false">SUM(Y35:Y37)</f>
        <v>50205.7244943639</v>
      </c>
      <c r="Z38" s="671" t="n">
        <f aca="false">SUM(Z35:Z37)</f>
        <v>0</v>
      </c>
      <c r="AA38" s="673" t="n">
        <f aca="false">SUM(AA35:AA37)</f>
        <v>0</v>
      </c>
    </row>
    <row r="39" customFormat="false" ht="12.75" hidden="false" customHeight="false" outlineLevel="0" collapsed="false">
      <c r="A39" s="109"/>
      <c r="B39" s="67"/>
      <c r="C39" s="67"/>
      <c r="D39" s="67"/>
      <c r="E39" s="67"/>
      <c r="F39" s="671"/>
      <c r="G39" s="671"/>
      <c r="H39" s="671"/>
      <c r="I39" s="671"/>
      <c r="J39" s="671"/>
      <c r="K39" s="671"/>
      <c r="L39" s="671"/>
      <c r="M39" s="671"/>
      <c r="N39" s="671"/>
      <c r="O39" s="671"/>
      <c r="P39" s="671"/>
      <c r="Q39" s="671"/>
      <c r="R39" s="671"/>
      <c r="S39" s="671"/>
      <c r="T39" s="671"/>
      <c r="U39" s="671"/>
      <c r="V39" s="671"/>
      <c r="W39" s="671"/>
      <c r="X39" s="671"/>
      <c r="Y39" s="671"/>
      <c r="Z39" s="671"/>
      <c r="AA39" s="649"/>
    </row>
    <row r="40" customFormat="false" ht="12.75" hidden="false" customHeight="false" outlineLevel="0" collapsed="false">
      <c r="A40" s="109" t="s">
        <v>710</v>
      </c>
      <c r="B40" s="67"/>
      <c r="C40" s="67"/>
      <c r="D40" s="674" t="n">
        <f aca="false">Assm!$L$51</f>
        <v>0.05</v>
      </c>
      <c r="E40" s="67"/>
      <c r="F40" s="671" t="n">
        <f aca="false">SUM(F35:F36)*$D40*F$9/12</f>
        <v>0</v>
      </c>
      <c r="G40" s="671" t="n">
        <f aca="false">SUM(G35:G36)*$D40*G$9/12</f>
        <v>0</v>
      </c>
      <c r="H40" s="671" t="n">
        <f aca="false">SUM(H35:H36)*$D40*H$9/12</f>
        <v>0</v>
      </c>
      <c r="I40" s="671" t="n">
        <f aca="false">SUM(I35:I36)*$D40*I$9/12</f>
        <v>300.737237435989</v>
      </c>
      <c r="J40" s="671" t="n">
        <f aca="false">SUM(J35:J36)*$D40*J$9/12</f>
        <v>562.47985960662</v>
      </c>
      <c r="K40" s="671" t="n">
        <f aca="false">SUM(K35:K36)*$D40*K$9/12</f>
        <v>756.469229087702</v>
      </c>
      <c r="L40" s="671" t="n">
        <f aca="false">SUM(L35:L36)*$D40*L$9/12</f>
        <v>1035.86438900873</v>
      </c>
      <c r="M40" s="671" t="n">
        <f aca="false">SUM(M35:M36)*$D40*M$9/12</f>
        <v>1122.45046783755</v>
      </c>
      <c r="N40" s="671" t="n">
        <f aca="false">SUM(N35:N36)*$D40*N$9/12</f>
        <v>1296.29515636305</v>
      </c>
      <c r="O40" s="671" t="n">
        <f aca="false">SUM(O35:O36)*$D40*O$9/12</f>
        <v>1296.29515636305</v>
      </c>
      <c r="P40" s="671" t="n">
        <f aca="false">SUM(P35:P36)*$D40*P$9/12</f>
        <v>1393.94676488306</v>
      </c>
      <c r="Q40" s="671" t="n">
        <f aca="false">SUM(Q35:Q36)*$D40*Q$9/12</f>
        <v>1667.0462321191</v>
      </c>
      <c r="R40" s="671" t="n">
        <f aca="false">SUM(R35:R36)*$D40*R$9/12</f>
        <v>1958.35020623441</v>
      </c>
      <c r="S40" s="671" t="n">
        <f aca="false">SUM(S35:S36)*$D40*S$9/12</f>
        <v>2137.66239651422</v>
      </c>
      <c r="T40" s="671" t="n">
        <f aca="false">SUM(T35:T36)*$D40*T$9/12</f>
        <v>2137.66239651422</v>
      </c>
      <c r="U40" s="671" t="n">
        <f aca="false">SUM(U35:U36)*$D40*U$9/12</f>
        <v>2032.2817256824</v>
      </c>
      <c r="V40" s="671" t="n">
        <f aca="false">SUM(V35:V36)*$D40*V$9/12</f>
        <v>1945.72664843316</v>
      </c>
      <c r="W40" s="671" t="n">
        <f aca="false">SUM(W35:W36)*$D40*W$9/12</f>
        <v>1873.37333976771</v>
      </c>
      <c r="X40" s="671" t="n">
        <f aca="false">SUM(X35:X36)*$D40*X$9/12</f>
        <v>2190.82128468304</v>
      </c>
      <c r="Y40" s="671" t="n">
        <f aca="false">SUM(Y35:Y36)*$D40*Y$9/12</f>
        <v>2510.28622471819</v>
      </c>
      <c r="Z40" s="671" t="n">
        <f aca="false">SUM(Z35:Z36)*$D40*Z$9/12</f>
        <v>943.979069767943</v>
      </c>
      <c r="AA40" s="649" t="n">
        <f aca="false">SUM(F40:Z40)</f>
        <v>27161.7277850201</v>
      </c>
    </row>
    <row r="41" customFormat="false" ht="12.75" hidden="false" customHeight="false" outlineLevel="0" collapsed="false">
      <c r="A41" s="675" t="s">
        <v>711</v>
      </c>
      <c r="B41" s="676"/>
      <c r="C41" s="676"/>
      <c r="D41" s="677" t="n">
        <f aca="false">Assm!$L$52</f>
        <v>0.06</v>
      </c>
      <c r="E41" s="676"/>
      <c r="F41" s="678" t="n">
        <f aca="false">SUM(F35:F36)*$D41*F$9/12</f>
        <v>0</v>
      </c>
      <c r="G41" s="678" t="n">
        <f aca="false">SUM(G35:G36)*$D41*G$9/12</f>
        <v>0</v>
      </c>
      <c r="H41" s="678" t="n">
        <f aca="false">SUM(H35:H36)*$D41*H$9/12</f>
        <v>0</v>
      </c>
      <c r="I41" s="678" t="n">
        <f aca="false">SUM(I35:I36)*$D41*I$9/12</f>
        <v>360.884684923187</v>
      </c>
      <c r="J41" s="678" t="n">
        <f aca="false">SUM(J35:J36)*$D41*J$9/12</f>
        <v>674.975831527944</v>
      </c>
      <c r="K41" s="678" t="n">
        <f aca="false">SUM(K35:K36)*$D41*K$9/12</f>
        <v>907.763074905242</v>
      </c>
      <c r="L41" s="678" t="n">
        <f aca="false">SUM(L35:L36)*$D41*L$9/12</f>
        <v>1243.03726681047</v>
      </c>
      <c r="M41" s="678" t="n">
        <f aca="false">SUM(M35:M36)*$D41*M$9/12</f>
        <v>1346.94056140506</v>
      </c>
      <c r="N41" s="678" t="n">
        <f aca="false">SUM(N35:N36)*$D41*N$9/12</f>
        <v>1555.55418763567</v>
      </c>
      <c r="O41" s="678" t="n">
        <f aca="false">SUM(O35:O36)*$D41*O$9/12</f>
        <v>1555.55418763567</v>
      </c>
      <c r="P41" s="678" t="n">
        <f aca="false">SUM(P35:P36)*$D41*P$9/12</f>
        <v>1672.73611785967</v>
      </c>
      <c r="Q41" s="678" t="n">
        <f aca="false">SUM(Q35:Q36)*$D41*Q$9/12</f>
        <v>2000.45547854291</v>
      </c>
      <c r="R41" s="678" t="n">
        <f aca="false">SUM(R35:R36)*$D41*R$9/12</f>
        <v>2350.02024748129</v>
      </c>
      <c r="S41" s="678" t="n">
        <f aca="false">SUM(S35:S36)*$D41*S$9/12</f>
        <v>2565.19487581706</v>
      </c>
      <c r="T41" s="678" t="n">
        <f aca="false">SUM(T35:T36)*$D41*T$9/12</f>
        <v>2565.19487581706</v>
      </c>
      <c r="U41" s="678" t="n">
        <f aca="false">SUM(U35:U36)*$D41*U$9/12</f>
        <v>2438.73807081887</v>
      </c>
      <c r="V41" s="678" t="n">
        <f aca="false">SUM(V35:V36)*$D41*V$9/12</f>
        <v>2334.8719781198</v>
      </c>
      <c r="W41" s="678" t="n">
        <f aca="false">SUM(W35:W36)*$D41*W$9/12</f>
        <v>2248.04800772125</v>
      </c>
      <c r="X41" s="678" t="n">
        <f aca="false">SUM(X35:X36)*$D41*X$9/12</f>
        <v>2628.98554161965</v>
      </c>
      <c r="Y41" s="678" t="n">
        <f aca="false">SUM(Y35:Y36)*$D41*Y$9/12</f>
        <v>3012.34346966183</v>
      </c>
      <c r="Z41" s="678" t="n">
        <f aca="false">SUM(Z35:Z36)*$D41*Z$9/12</f>
        <v>1132.77488372153</v>
      </c>
      <c r="AA41" s="679" t="n">
        <f aca="false">SUM(F41:Z41)</f>
        <v>32594.0733420242</v>
      </c>
    </row>
    <row r="42" customFormat="false" ht="12.75" hidden="false" customHeight="false" outlineLevel="0" collapsed="false">
      <c r="A42" s="109"/>
      <c r="B42" s="67"/>
      <c r="C42" s="67"/>
      <c r="D42" s="67"/>
      <c r="E42" s="67"/>
      <c r="F42" s="67"/>
      <c r="G42" s="680"/>
      <c r="H42" s="680"/>
      <c r="I42" s="680"/>
      <c r="J42" s="680"/>
      <c r="K42" s="680"/>
      <c r="L42" s="680"/>
      <c r="M42" s="680"/>
      <c r="N42" s="680"/>
      <c r="O42" s="680"/>
      <c r="P42" s="680"/>
      <c r="Q42" s="680"/>
      <c r="R42" s="680"/>
      <c r="S42" s="680"/>
      <c r="T42" s="680"/>
      <c r="U42" s="680"/>
      <c r="V42" s="680"/>
      <c r="W42" s="680"/>
      <c r="X42" s="680"/>
      <c r="Y42" s="680"/>
      <c r="Z42" s="680"/>
      <c r="AA42" s="645"/>
    </row>
    <row r="43" customFormat="false" ht="12.75" hidden="false" customHeight="false" outlineLevel="0" collapsed="false">
      <c r="A43" s="83" t="s">
        <v>712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45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DX43" s="67"/>
      <c r="DY43" s="67"/>
      <c r="DZ43" s="67"/>
      <c r="EA43" s="67"/>
      <c r="EB43" s="67"/>
      <c r="EC43" s="67"/>
      <c r="ED43" s="67"/>
      <c r="EE43" s="67"/>
      <c r="EF43" s="67"/>
      <c r="EG43" s="67"/>
      <c r="EH43" s="67"/>
      <c r="EI43" s="67"/>
      <c r="EJ43" s="67"/>
      <c r="EK43" s="67"/>
      <c r="EL43" s="67"/>
      <c r="EM43" s="67"/>
      <c r="EN43" s="67"/>
      <c r="EO43" s="67"/>
      <c r="EP43" s="67"/>
      <c r="EQ43" s="67"/>
      <c r="ER43" s="67"/>
      <c r="ES43" s="67"/>
      <c r="ET43" s="67"/>
      <c r="EU43" s="67"/>
      <c r="EV43" s="67"/>
      <c r="EW43" s="67"/>
      <c r="EX43" s="67"/>
      <c r="EY43" s="67"/>
      <c r="EZ43" s="67"/>
      <c r="FA43" s="67"/>
      <c r="FB43" s="67"/>
      <c r="FC43" s="67"/>
      <c r="FD43" s="67"/>
      <c r="FE43" s="67"/>
      <c r="FF43" s="67"/>
      <c r="FG43" s="67"/>
      <c r="FH43" s="67"/>
      <c r="FI43" s="67"/>
      <c r="FJ43" s="67"/>
      <c r="FK43" s="67"/>
      <c r="FL43" s="67"/>
      <c r="FM43" s="67"/>
      <c r="FN43" s="67"/>
      <c r="FO43" s="67"/>
      <c r="FP43" s="67"/>
      <c r="FQ43" s="67"/>
      <c r="FR43" s="67"/>
      <c r="FS43" s="67"/>
      <c r="FT43" s="67"/>
      <c r="FU43" s="67"/>
      <c r="FV43" s="67"/>
      <c r="FW43" s="67"/>
      <c r="FX43" s="67"/>
      <c r="FY43" s="67"/>
      <c r="FZ43" s="67"/>
      <c r="GA43" s="67"/>
      <c r="GB43" s="67"/>
      <c r="GC43" s="67"/>
      <c r="GD43" s="67"/>
      <c r="GE43" s="67"/>
      <c r="GF43" s="67"/>
      <c r="GG43" s="67"/>
      <c r="GH43" s="67"/>
      <c r="GI43" s="67"/>
      <c r="GJ43" s="67"/>
      <c r="GK43" s="67"/>
      <c r="GL43" s="67"/>
      <c r="GM43" s="67"/>
      <c r="GN43" s="67"/>
      <c r="GO43" s="67"/>
      <c r="GP43" s="67"/>
      <c r="GQ43" s="67"/>
      <c r="GR43" s="67"/>
      <c r="GS43" s="67"/>
      <c r="GT43" s="67"/>
      <c r="GU43" s="67"/>
      <c r="GV43" s="67"/>
      <c r="GW43" s="67"/>
      <c r="GX43" s="67"/>
      <c r="GY43" s="67"/>
      <c r="GZ43" s="67"/>
      <c r="HA43" s="67"/>
      <c r="HB43" s="67"/>
      <c r="HC43" s="67"/>
      <c r="HD43" s="67"/>
      <c r="HE43" s="67"/>
      <c r="HF43" s="67"/>
      <c r="HG43" s="67"/>
      <c r="HH43" s="67"/>
      <c r="HI43" s="67"/>
      <c r="HJ43" s="67"/>
      <c r="HK43" s="67"/>
      <c r="HL43" s="67"/>
      <c r="HM43" s="67"/>
      <c r="HN43" s="67"/>
      <c r="HO43" s="67"/>
      <c r="HP43" s="67"/>
      <c r="HQ43" s="67"/>
      <c r="HR43" s="67"/>
      <c r="HS43" s="67"/>
      <c r="HT43" s="67"/>
      <c r="HU43" s="67"/>
      <c r="HV43" s="67"/>
      <c r="HW43" s="67"/>
      <c r="HX43" s="67"/>
      <c r="HY43" s="67"/>
      <c r="HZ43" s="67"/>
      <c r="IA43" s="67"/>
      <c r="IB43" s="67"/>
      <c r="IC43" s="67"/>
      <c r="ID43" s="67"/>
      <c r="IE43" s="67"/>
      <c r="IF43" s="67"/>
      <c r="IG43" s="67"/>
      <c r="IH43" s="67"/>
      <c r="II43" s="67"/>
      <c r="IJ43" s="67"/>
      <c r="IK43" s="67"/>
      <c r="IL43" s="67"/>
      <c r="IM43" s="67"/>
      <c r="IN43" s="67"/>
      <c r="IO43" s="67"/>
      <c r="IP43" s="67"/>
      <c r="IQ43" s="67"/>
      <c r="IR43" s="67"/>
      <c r="IS43" s="67"/>
      <c r="IT43" s="67"/>
      <c r="IU43" s="67"/>
      <c r="IV43" s="67"/>
      <c r="IW43" s="67"/>
    </row>
    <row r="44" customFormat="false" ht="12.75" hidden="false" customHeight="false" outlineLevel="0" collapsed="false">
      <c r="A44" s="675" t="s">
        <v>713</v>
      </c>
      <c r="B44" s="676"/>
      <c r="C44" s="676"/>
      <c r="D44" s="681" t="n">
        <v>1998</v>
      </c>
      <c r="E44" s="676"/>
      <c r="F44" s="682" t="n">
        <v>0</v>
      </c>
      <c r="G44" s="682" t="n">
        <v>12.5</v>
      </c>
      <c r="H44" s="682" t="n">
        <v>17.5</v>
      </c>
      <c r="I44" s="683" t="n">
        <v>96</v>
      </c>
      <c r="J44" s="682" t="n">
        <v>500.5</v>
      </c>
      <c r="K44" s="682" t="n">
        <v>17.5</v>
      </c>
      <c r="L44" s="682" t="n">
        <v>17.5</v>
      </c>
      <c r="M44" s="682" t="n">
        <v>129</v>
      </c>
      <c r="N44" s="682" t="n">
        <v>17.5</v>
      </c>
      <c r="O44" s="682" t="n">
        <v>500.5</v>
      </c>
      <c r="P44" s="682" t="n">
        <v>17.5</v>
      </c>
      <c r="Q44" s="682" t="n">
        <v>96</v>
      </c>
      <c r="R44" s="682" t="n">
        <v>17.5</v>
      </c>
      <c r="S44" s="682" t="n">
        <v>17.5</v>
      </c>
      <c r="T44" s="682" t="n">
        <v>500.5</v>
      </c>
      <c r="U44" s="682" t="n">
        <v>129</v>
      </c>
      <c r="V44" s="682" t="n">
        <v>17.5</v>
      </c>
      <c r="W44" s="682" t="n">
        <v>17.5</v>
      </c>
      <c r="X44" s="682" t="n">
        <v>17.5</v>
      </c>
      <c r="Y44" s="682" t="n">
        <v>12.5</v>
      </c>
      <c r="Z44" s="682" t="n">
        <v>0</v>
      </c>
      <c r="AA44" s="679" t="n">
        <f aca="false">SUM(F44:Z44)</f>
        <v>2151.5</v>
      </c>
    </row>
    <row r="45" customFormat="false" ht="12.75" hidden="false" customHeight="false" outlineLevel="0" collapsed="false">
      <c r="A45" s="109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45"/>
    </row>
    <row r="46" customFormat="false" ht="12.75" hidden="false" customHeight="false" outlineLevel="0" collapsed="false">
      <c r="A46" s="83" t="s">
        <v>166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45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67"/>
      <c r="CO46" s="67"/>
      <c r="CP46" s="67"/>
      <c r="CQ46" s="67"/>
      <c r="CR46" s="67"/>
      <c r="CS46" s="67"/>
      <c r="CT46" s="67"/>
      <c r="CU46" s="67"/>
      <c r="CV46" s="67"/>
      <c r="CW46" s="67"/>
      <c r="CX46" s="67"/>
      <c r="CY46" s="67"/>
      <c r="CZ46" s="67"/>
      <c r="DA46" s="67"/>
      <c r="DB46" s="67"/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DX46" s="67"/>
      <c r="DY46" s="67"/>
      <c r="DZ46" s="67"/>
      <c r="EA46" s="67"/>
      <c r="EB46" s="67"/>
      <c r="EC46" s="67"/>
      <c r="ED46" s="67"/>
      <c r="EE46" s="67"/>
      <c r="EF46" s="67"/>
      <c r="EG46" s="67"/>
      <c r="EH46" s="67"/>
      <c r="EI46" s="67"/>
      <c r="EJ46" s="67"/>
      <c r="EK46" s="67"/>
      <c r="EL46" s="67"/>
      <c r="EM46" s="67"/>
      <c r="EN46" s="67"/>
      <c r="EO46" s="67"/>
      <c r="EP46" s="67"/>
      <c r="EQ46" s="67"/>
      <c r="ER46" s="67"/>
      <c r="ES46" s="67"/>
      <c r="ET46" s="67"/>
      <c r="EU46" s="67"/>
      <c r="EV46" s="67"/>
      <c r="EW46" s="67"/>
      <c r="EX46" s="67"/>
      <c r="EY46" s="67"/>
      <c r="EZ46" s="67"/>
      <c r="FA46" s="67"/>
      <c r="FB46" s="67"/>
      <c r="FC46" s="67"/>
      <c r="FD46" s="67"/>
      <c r="FE46" s="67"/>
      <c r="FF46" s="67"/>
      <c r="FG46" s="67"/>
      <c r="FH46" s="67"/>
      <c r="FI46" s="67"/>
      <c r="FJ46" s="67"/>
      <c r="FK46" s="67"/>
      <c r="FL46" s="67"/>
      <c r="FM46" s="67"/>
      <c r="FN46" s="67"/>
      <c r="FO46" s="67"/>
      <c r="FP46" s="67"/>
      <c r="FQ46" s="67"/>
      <c r="FR46" s="67"/>
      <c r="FS46" s="67"/>
      <c r="FT46" s="67"/>
      <c r="FU46" s="67"/>
      <c r="FV46" s="67"/>
      <c r="FW46" s="67"/>
      <c r="FX46" s="67"/>
      <c r="FY46" s="67"/>
      <c r="FZ46" s="67"/>
      <c r="GA46" s="67"/>
      <c r="GB46" s="67"/>
      <c r="GC46" s="67"/>
      <c r="GD46" s="67"/>
      <c r="GE46" s="67"/>
      <c r="GF46" s="67"/>
      <c r="GG46" s="67"/>
      <c r="GH46" s="67"/>
      <c r="GI46" s="67"/>
      <c r="GJ46" s="67"/>
      <c r="GK46" s="67"/>
      <c r="GL46" s="67"/>
      <c r="GM46" s="67"/>
      <c r="GN46" s="67"/>
      <c r="GO46" s="67"/>
      <c r="GP46" s="67"/>
      <c r="GQ46" s="67"/>
      <c r="GR46" s="67"/>
      <c r="GS46" s="67"/>
      <c r="GT46" s="67"/>
      <c r="GU46" s="67"/>
      <c r="GV46" s="67"/>
      <c r="GW46" s="67"/>
      <c r="GX46" s="67"/>
      <c r="GY46" s="67"/>
      <c r="GZ46" s="67"/>
      <c r="HA46" s="67"/>
      <c r="HB46" s="67"/>
      <c r="HC46" s="67"/>
      <c r="HD46" s="67"/>
      <c r="HE46" s="67"/>
      <c r="HF46" s="67"/>
      <c r="HG46" s="67"/>
      <c r="HH46" s="67"/>
      <c r="HI46" s="67"/>
      <c r="HJ46" s="67"/>
      <c r="HK46" s="67"/>
      <c r="HL46" s="67"/>
      <c r="HM46" s="67"/>
      <c r="HN46" s="67"/>
      <c r="HO46" s="67"/>
      <c r="HP46" s="67"/>
      <c r="HQ46" s="67"/>
      <c r="HR46" s="67"/>
      <c r="HS46" s="67"/>
      <c r="HT46" s="67"/>
      <c r="HU46" s="67"/>
      <c r="HV46" s="67"/>
      <c r="HW46" s="67"/>
      <c r="HX46" s="67"/>
      <c r="HY46" s="67"/>
      <c r="HZ46" s="67"/>
      <c r="IA46" s="67"/>
      <c r="IB46" s="67"/>
      <c r="IC46" s="67"/>
      <c r="ID46" s="67"/>
      <c r="IE46" s="67"/>
      <c r="IF46" s="67"/>
      <c r="IG46" s="67"/>
      <c r="IH46" s="67"/>
      <c r="II46" s="67"/>
      <c r="IJ46" s="67"/>
      <c r="IK46" s="67"/>
      <c r="IL46" s="67"/>
      <c r="IM46" s="67"/>
      <c r="IN46" s="67"/>
      <c r="IO46" s="67"/>
      <c r="IP46" s="67"/>
      <c r="IQ46" s="67"/>
      <c r="IR46" s="67"/>
      <c r="IS46" s="67"/>
      <c r="IT46" s="67"/>
      <c r="IU46" s="67"/>
      <c r="IV46" s="67"/>
      <c r="IW46" s="67"/>
    </row>
    <row r="47" customFormat="false" ht="12.75" hidden="false" customHeight="false" outlineLevel="0" collapsed="false">
      <c r="A47" s="109" t="s">
        <v>714</v>
      </c>
      <c r="B47" s="67"/>
      <c r="C47" s="67"/>
      <c r="D47" s="67"/>
      <c r="E47" s="67"/>
      <c r="F47" s="648" t="n">
        <f aca="false">CF!E57</f>
        <v>0</v>
      </c>
      <c r="G47" s="648" t="n">
        <f aca="false">CF!F57</f>
        <v>-13.2759999379246</v>
      </c>
      <c r="H47" s="648" t="n">
        <f aca="false">CF!G57</f>
        <v>-1837.50898141714</v>
      </c>
      <c r="I47" s="648" t="n">
        <f aca="false">CF!H57</f>
        <v>-3586.48060049747</v>
      </c>
      <c r="J47" s="648" t="n">
        <f aca="false">CF!I57</f>
        <v>-4045.25450410579</v>
      </c>
      <c r="K47" s="648" t="n">
        <f aca="false">CF!J57</f>
        <v>1886.41540495857</v>
      </c>
      <c r="L47" s="648" t="n">
        <f aca="false">CF!K57</f>
        <v>2960.61663485649</v>
      </c>
      <c r="M47" s="648" t="n">
        <f aca="false">CF!L57</f>
        <v>7158.05585272979</v>
      </c>
      <c r="N47" s="648" t="n">
        <f aca="false">CF!M57</f>
        <v>7522.2662368031</v>
      </c>
      <c r="O47" s="648" t="n">
        <f aca="false">CF!N57</f>
        <v>8501.76090925641</v>
      </c>
      <c r="P47" s="648" t="n">
        <f aca="false">CF!O57</f>
        <v>10078.227806453</v>
      </c>
      <c r="Q47" s="648" t="n">
        <f aca="false">CF!P57</f>
        <v>11121.7176876977</v>
      </c>
      <c r="R47" s="648" t="n">
        <f aca="false">CF!Q57</f>
        <v>12405.298548203</v>
      </c>
      <c r="S47" s="648" t="n">
        <f aca="false">CF!R57</f>
        <v>14430.1795826512</v>
      </c>
      <c r="T47" s="648" t="n">
        <f aca="false">CF!S57</f>
        <v>13959.6941821409</v>
      </c>
      <c r="U47" s="648" t="n">
        <f aca="false">CF!T57</f>
        <v>16545.4963992153</v>
      </c>
      <c r="V47" s="648" t="n">
        <f aca="false">CF!U57</f>
        <v>17883.7475610957</v>
      </c>
      <c r="W47" s="648" t="n">
        <f aca="false">CF!V57</f>
        <v>18821.6876436779</v>
      </c>
      <c r="X47" s="648" t="n">
        <f aca="false">CF!W57</f>
        <v>19628.485691603</v>
      </c>
      <c r="Y47" s="648" t="n">
        <f aca="false">CF!X57</f>
        <v>20502.9035117979</v>
      </c>
      <c r="Z47" s="648" t="n">
        <f aca="false">CF!Y57</f>
        <v>6843.9691274639</v>
      </c>
      <c r="AA47" s="649" t="n">
        <f aca="false">SUM(F47:Z47)</f>
        <v>180768.002694646</v>
      </c>
    </row>
    <row r="48" customFormat="false" ht="12.75" hidden="false" customHeight="false" outlineLevel="0" collapsed="false">
      <c r="A48" s="109" t="s">
        <v>715</v>
      </c>
      <c r="B48" s="67"/>
      <c r="C48" s="67"/>
      <c r="D48" s="674" t="n">
        <f aca="false">Assm!$I$36</f>
        <v>0.05</v>
      </c>
      <c r="E48" s="67"/>
      <c r="F48" s="648" t="n">
        <f aca="false">IF(F47&gt;0,$D$48*F47,0)</f>
        <v>0</v>
      </c>
      <c r="G48" s="648" t="n">
        <f aca="false">IF(G47&gt;0,$D$48*G47,0)</f>
        <v>0</v>
      </c>
      <c r="H48" s="648" t="n">
        <f aca="false">IF(H47&gt;0,$D$48*H47,0)</f>
        <v>0</v>
      </c>
      <c r="I48" s="648" t="n">
        <f aca="false">IF(I47&gt;0,$D$48*I47,0)</f>
        <v>0</v>
      </c>
      <c r="J48" s="648" t="n">
        <f aca="false">IF(J47&gt;0,$D$48*J47,0)</f>
        <v>0</v>
      </c>
      <c r="K48" s="648" t="n">
        <f aca="false">IF(K47&gt;0,$D$48*K47,0)</f>
        <v>94.3207702479286</v>
      </c>
      <c r="L48" s="648" t="n">
        <f aca="false">IF(L47&gt;0,$D$48*L47,0)</f>
        <v>148.030831742824</v>
      </c>
      <c r="M48" s="648" t="n">
        <f aca="false">IF(M47&gt;0,$D$48*M47,0)</f>
        <v>357.90279263649</v>
      </c>
      <c r="N48" s="648" t="n">
        <f aca="false">IF(N47&gt;0,$D$48*N47,0)</f>
        <v>376.113311840155</v>
      </c>
      <c r="O48" s="648" t="n">
        <f aca="false">IF(O47&gt;0,$D$48*O47,0)</f>
        <v>425.08804546282</v>
      </c>
      <c r="P48" s="648" t="n">
        <f aca="false">IF(P47&gt;0,$D$48*P47,0)</f>
        <v>503.911390322652</v>
      </c>
      <c r="Q48" s="648" t="n">
        <f aca="false">IF(Q47&gt;0,$D$48*Q47,0)</f>
        <v>556.085884384886</v>
      </c>
      <c r="R48" s="648" t="n">
        <f aca="false">IF(R47&gt;0,$D$48*R47,0)</f>
        <v>620.264927410152</v>
      </c>
      <c r="S48" s="648" t="n">
        <f aca="false">IF(S47&gt;0,$D$48*S47,0)</f>
        <v>721.508979132559</v>
      </c>
      <c r="T48" s="648" t="n">
        <f aca="false">IF(T47&gt;0,$D$48*T47,0)</f>
        <v>697.984709107044</v>
      </c>
      <c r="U48" s="648" t="n">
        <f aca="false">IF(U47&gt;0,$D$48*U47,0)</f>
        <v>827.274819960764</v>
      </c>
      <c r="V48" s="648" t="n">
        <f aca="false">IF(V47&gt;0,$D$48*V47,0)</f>
        <v>894.187378054787</v>
      </c>
      <c r="W48" s="648" t="n">
        <f aca="false">IF(W47&gt;0,$D$48*W47,0)</f>
        <v>941.084382183896</v>
      </c>
      <c r="X48" s="648" t="n">
        <f aca="false">IF(X47&gt;0,$D$48*X47,0)</f>
        <v>981.424284580149</v>
      </c>
      <c r="Y48" s="648" t="n">
        <f aca="false">IF(Y47&gt;0,$D$48*Y47,0)</f>
        <v>1025.14517558989</v>
      </c>
      <c r="Z48" s="648" t="n">
        <f aca="false">IF(Z47&gt;0,$D$48*Z47,0)</f>
        <v>342.198456373195</v>
      </c>
      <c r="AA48" s="649" t="n">
        <f aca="false">SUM(F48:Z48)</f>
        <v>9512.5261390302</v>
      </c>
    </row>
    <row r="49" customFormat="false" ht="12.75" hidden="false" customHeight="false" outlineLevel="0" collapsed="false">
      <c r="A49" s="609" t="s">
        <v>716</v>
      </c>
      <c r="B49" s="610"/>
      <c r="C49" s="610"/>
      <c r="D49" s="684" t="s">
        <v>172</v>
      </c>
      <c r="E49" s="684" t="n">
        <f aca="false">Assm!$I$37</f>
        <v>0.5</v>
      </c>
      <c r="F49" s="685" t="n">
        <f aca="false">IF(SUM($E$48:F48)&gt;$E$49*Equity,0,IF(AND(SUM($E$48:F48)&gt;$E$49*Equity,SUM($E$48:E48)&lt;$E$49*Equity),$E$49*Equity-SUM($E$48:F48),F48))</f>
        <v>0</v>
      </c>
      <c r="G49" s="685" t="n">
        <f aca="false">IF(SUM($E$48:G48)&gt;$E$49*Equity,0,IF(AND(SUM($E$48:G48)&gt;$E$49*Equity,SUM($E$48:F48)&lt;$E$49*Equity),$E$49*Equity-SUM($E$48:G48),G48))</f>
        <v>0</v>
      </c>
      <c r="H49" s="685" t="n">
        <f aca="false">IF(SUM($E$48:H48)&gt;$E$49*Equity,0,IF(AND(SUM($E$48:H48)&gt;$E$49*Equity,SUM($E$48:G48)&lt;$E$49*Equity),$E$49*Equity-SUM($E$48:H48),H48))</f>
        <v>0</v>
      </c>
      <c r="I49" s="685" t="n">
        <f aca="false">IF(SUM($E$48:I48)&gt;$E$49*Equity,0,IF(AND(SUM($E$48:I48)&gt;$E$49*Equity,SUM($E$48:H48)&lt;$E$49*Equity),$E$49*Equity-SUM($E$48:I48),I48))</f>
        <v>0</v>
      </c>
      <c r="J49" s="685" t="n">
        <f aca="false">IF(SUM($E$48:J48)&gt;$E$49*Equity,0,IF(AND(SUM($E$48:J48)&gt;$E$49*Equity,SUM($E$48:I48)&lt;$E$49*Equity),$E$49*Equity-SUM($E$48:J48),J48))</f>
        <v>0</v>
      </c>
      <c r="K49" s="685" t="n">
        <f aca="false">IF(SUM($E$48:K48)&gt;$E$49*Equity,0,IF(AND(SUM($E$48:K48)&gt;$E$49*Equity,SUM($E$48:J48)&lt;$E$49*Equity),$E$49*Equity-SUM($E$48:K48),K48))</f>
        <v>94.3207702479286</v>
      </c>
      <c r="L49" s="685" t="n">
        <f aca="false">IF(SUM($E$48:L48)&gt;$E$49*Equity,0,IF(AND(SUM($E$48:L48)&gt;$E$49*Equity,SUM($E$48:K48)&lt;$E$49*Equity),$E$49*Equity-SUM($E$48:L48),L48))</f>
        <v>148.030831742824</v>
      </c>
      <c r="M49" s="685" t="n">
        <f aca="false">IF(SUM($E$48:M48)&gt;$E$49*Equity,0,IF(AND(SUM($E$48:M48)&gt;$E$49*Equity,SUM($E$48:L48)&lt;$E$49*Equity),$E$49*Equity-SUM($E$48:M48),M48))</f>
        <v>357.90279263649</v>
      </c>
      <c r="N49" s="685" t="n">
        <f aca="false">IF(SUM($E$48:N48)&gt;$E$49*Equity,0,IF(AND(SUM($E$48:N48)&gt;$E$49*Equity,SUM($E$48:M48)&lt;$E$49*Equity),$E$49*Equity-SUM($E$48:N48),N48))</f>
        <v>376.113311840155</v>
      </c>
      <c r="O49" s="685" t="n">
        <f aca="false">IF(SUM($E$48:O48)&gt;$E$49*Equity,0,IF(AND(SUM($E$48:O48)&gt;$E$49*Equity,SUM($E$48:N48)&lt;$E$49*Equity),$E$49*Equity-SUM($E$48:O48),O48))</f>
        <v>425.08804546282</v>
      </c>
      <c r="P49" s="685" t="n">
        <f aca="false">IF(SUM($E$48:P48)&gt;$E$49*Equity,0,IF(AND(SUM($E$48:P48)&gt;$E$49*Equity,SUM($E$48:O48)&lt;$E$49*Equity),$E$49*Equity-SUM($E$48:P48),P48))</f>
        <v>503.911390322652</v>
      </c>
      <c r="Q49" s="685" t="n">
        <f aca="false">IF(SUM($E$48:Q48)&gt;$E$49*Equity,0,IF(AND(SUM($E$48:Q48)&gt;$E$49*Equity,SUM($E$48:P48)&lt;$E$49*Equity),$E$49*Equity-SUM($E$48:Q48),Q48))</f>
        <v>556.085884384886</v>
      </c>
      <c r="R49" s="685" t="n">
        <f aca="false">IF(SUM($E$48:R48)&gt;$E$49*Equity,0,IF(AND(SUM($E$48:R48)&gt;$E$49*Equity,SUM($E$48:Q48)&lt;$E$49*Equity),$E$49*Equity-SUM($E$48:R48),R48))</f>
        <v>620.264927410152</v>
      </c>
      <c r="S49" s="685" t="n">
        <f aca="false">IF(SUM($E$48:S48)&gt;$E$49*Equity,0,IF(AND(SUM($E$48:S48)&gt;$E$49*Equity,SUM($E$48:R48)&lt;$E$49*Equity),$E$49*Equity-SUM($E$48:S48),S48))</f>
        <v>721.508979132559</v>
      </c>
      <c r="T49" s="685" t="n">
        <f aca="false">IF(SUM($E$48:T48)&gt;$E$49*Equity,0,IF(AND(SUM($E$48:T48)&gt;$E$49*Equity,SUM($E$48:S48)&lt;$E$49*Equity),$E$49*Equity-SUM($E$48:T48),T48))</f>
        <v>697.984709107044</v>
      </c>
      <c r="U49" s="685" t="n">
        <f aca="false">IF(SUM($E$48:U48)&gt;$E$49*Equity,0,IF(AND(SUM($E$48:U48)&gt;$E$49*Equity,SUM($E$48:T48)&lt;$E$49*Equity),$E$49*Equity-SUM($E$48:U48),U48))</f>
        <v>827.274819960764</v>
      </c>
      <c r="V49" s="685" t="n">
        <f aca="false">IF(SUM($E$48:V48)&gt;$E$49*Equity,0,IF(AND(SUM($E$48:V48)&gt;$E$49*Equity,SUM($E$48:U48)&lt;$E$49*Equity),$E$49*Equity-SUM($E$48:V48),V48))</f>
        <v>894.187378054787</v>
      </c>
      <c r="W49" s="685" t="n">
        <f aca="false">IF(SUM($E$48:W48)&gt;$E$49*Equity,0,IF(AND(SUM($E$48:W48)&gt;$E$49*Equity,SUM($E$48:V48)&lt;$E$49*Equity),$E$49*Equity-SUM($E$48:W48),W48))</f>
        <v>941.084382183896</v>
      </c>
      <c r="X49" s="685" t="n">
        <f aca="false">IF(SUM($E$48:X48)&gt;$E$49*Equity,0,IF(AND(SUM($E$48:X48)&gt;$E$49*Equity,SUM($E$48:W48)&lt;$E$49*Equity),$E$49*Equity-SUM($E$48:X48),X48))</f>
        <v>981.424284580149</v>
      </c>
      <c r="Y49" s="685" t="n">
        <f aca="false">IF(SUM($E$48:Y48)&gt;$E$49*Equity,0,IF(AND(SUM($E$48:Y48)&gt;$E$49*Equity,SUM($E$48:X48)&lt;$E$49*Equity),$E$49*Equity-SUM($E$48:Y48),Y48))</f>
        <v>1025.14517558989</v>
      </c>
      <c r="Z49" s="685" t="n">
        <f aca="false">IF(SUM($E$48:Z48)&gt;$E$49*Equity,0,IF(AND(SUM($E$48:Z48)&gt;$E$49*Equity,SUM($E$48:Y48)&lt;$E$49*Equity),$E$49*Equity-SUM($E$48:Z48),Z48))</f>
        <v>342.198456373195</v>
      </c>
      <c r="AA49" s="661" t="n">
        <f aca="false">SUM(F49:Z49)</f>
        <v>9512.5261390302</v>
      </c>
    </row>
    <row r="50" customFormat="false" ht="12.75" hidden="false" customHeight="false" outlineLevel="0" collapsed="false">
      <c r="A50" s="666" t="s">
        <v>717</v>
      </c>
      <c r="B50" s="667"/>
      <c r="C50" s="667"/>
      <c r="D50" s="667"/>
      <c r="E50" s="667"/>
      <c r="F50" s="686" t="n">
        <f aca="false">IF(F6=Term+1,-SUM($F$49:F49),0)</f>
        <v>0</v>
      </c>
      <c r="G50" s="686" t="n">
        <f aca="false">IF(G6=Term+1,-SUM($F$49:G49),0)</f>
        <v>0</v>
      </c>
      <c r="H50" s="686" t="n">
        <f aca="false">IF(H6=Term+1,-SUM($F$49:H49),0)</f>
        <v>0</v>
      </c>
      <c r="I50" s="686" t="n">
        <f aca="false">IF(I6=Term+1,-SUM($F$49:I49),0)</f>
        <v>0</v>
      </c>
      <c r="J50" s="686" t="n">
        <f aca="false">IF(J6=Term+1,-SUM($F$49:J49),0)</f>
        <v>0</v>
      </c>
      <c r="K50" s="686" t="n">
        <f aca="false">IF(K6=Term+1,-SUM($F$49:K49),0)</f>
        <v>0</v>
      </c>
      <c r="L50" s="686" t="n">
        <f aca="false">IF(L6=Term+1,-SUM($F$49:L49),0)</f>
        <v>0</v>
      </c>
      <c r="M50" s="686" t="n">
        <f aca="false">IF(M6=Term+1,-SUM($F$49:M49),0)</f>
        <v>0</v>
      </c>
      <c r="N50" s="686" t="n">
        <f aca="false">IF(N6=Term+1,-SUM($F$49:N49),0)</f>
        <v>0</v>
      </c>
      <c r="O50" s="686" t="n">
        <f aca="false">IF(O6=Term+1,-SUM($F$49:O49),0)</f>
        <v>0</v>
      </c>
      <c r="P50" s="686" t="n">
        <f aca="false">IF(P6=Term+1,-SUM($F$49:P49),0)</f>
        <v>0</v>
      </c>
      <c r="Q50" s="686" t="n">
        <f aca="false">IF(Q6=Term+1,-SUM($F$49:Q49),0)</f>
        <v>0</v>
      </c>
      <c r="R50" s="686" t="n">
        <f aca="false">IF(R6=Term+1,-SUM($F$49:R49),0)</f>
        <v>0</v>
      </c>
      <c r="S50" s="686" t="n">
        <f aca="false">IF(S6=Term+1,-SUM($F$49:S49),0)</f>
        <v>0</v>
      </c>
      <c r="T50" s="686" t="n">
        <f aca="false">IF(T6=Term+1,-SUM($F$49:T49),0)</f>
        <v>0</v>
      </c>
      <c r="U50" s="686" t="n">
        <f aca="false">IF(U6=Term+1,-SUM($F$49:U49),0)</f>
        <v>0</v>
      </c>
      <c r="V50" s="686" t="n">
        <f aca="false">IF(V6=Term+1,-SUM($F$49:V49),0)</f>
        <v>0</v>
      </c>
      <c r="W50" s="686" t="n">
        <f aca="false">IF(W6=Term+1,-SUM($F$49:W49),0)</f>
        <v>0</v>
      </c>
      <c r="X50" s="686" t="n">
        <f aca="false">IF(X6=Term+1,-SUM($F$49:X49),0)</f>
        <v>0</v>
      </c>
      <c r="Y50" s="686" t="n">
        <f aca="false">IF(Y6=Term+1,-SUM($F$49:Y49),0)</f>
        <v>0</v>
      </c>
      <c r="Z50" s="686" t="n">
        <f aca="false">IF(Z6=Term+1,-SUM($F$49:Z49),0)</f>
        <v>-9512.5261390302</v>
      </c>
      <c r="AA50" s="669" t="n">
        <f aca="false">SUM(F50:Z50)</f>
        <v>-9512.5261390302</v>
      </c>
    </row>
    <row r="51" customFormat="false" ht="12.75" hidden="false" customHeight="false" outlineLevel="0" collapsed="false">
      <c r="A51" s="109"/>
      <c r="B51" s="67"/>
      <c r="C51" s="67"/>
      <c r="D51" s="67"/>
      <c r="E51" s="67"/>
      <c r="F51" s="687"/>
      <c r="G51" s="687"/>
      <c r="H51" s="687"/>
      <c r="I51" s="687"/>
      <c r="J51" s="687"/>
      <c r="K51" s="687"/>
      <c r="L51" s="687"/>
      <c r="M51" s="687"/>
      <c r="N51" s="687"/>
      <c r="O51" s="687"/>
      <c r="P51" s="687"/>
      <c r="Q51" s="687"/>
      <c r="R51" s="687"/>
      <c r="S51" s="687"/>
      <c r="T51" s="687"/>
      <c r="U51" s="687"/>
      <c r="V51" s="687"/>
      <c r="W51" s="687"/>
      <c r="X51" s="687"/>
      <c r="Y51" s="687"/>
      <c r="Z51" s="687"/>
      <c r="AA51" s="645"/>
    </row>
    <row r="52" customFormat="false" ht="12.75" hidden="false" customHeight="false" outlineLevel="0" collapsed="false">
      <c r="A52" s="83" t="s">
        <v>718</v>
      </c>
      <c r="B52" s="67"/>
      <c r="C52" s="67"/>
      <c r="D52" s="67"/>
      <c r="E52" s="67"/>
      <c r="F52" s="687"/>
      <c r="G52" s="687"/>
      <c r="H52" s="687"/>
      <c r="I52" s="687"/>
      <c r="J52" s="687"/>
      <c r="K52" s="687"/>
      <c r="L52" s="687"/>
      <c r="M52" s="687"/>
      <c r="N52" s="687"/>
      <c r="O52" s="687"/>
      <c r="P52" s="687"/>
      <c r="Q52" s="687"/>
      <c r="R52" s="687"/>
      <c r="S52" s="687"/>
      <c r="T52" s="687"/>
      <c r="U52" s="687"/>
      <c r="V52" s="687"/>
      <c r="W52" s="687"/>
      <c r="X52" s="687"/>
      <c r="Y52" s="687"/>
      <c r="Z52" s="687"/>
      <c r="AA52" s="645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  <c r="IT52" s="67"/>
      <c r="IU52" s="67"/>
      <c r="IV52" s="67"/>
      <c r="IW52" s="67"/>
    </row>
    <row r="53" customFormat="false" ht="12.75" hidden="false" customHeight="false" outlineLevel="0" collapsed="false">
      <c r="A53" s="109" t="s">
        <v>719</v>
      </c>
      <c r="B53" s="67"/>
      <c r="C53" s="67"/>
      <c r="D53" s="67"/>
      <c r="E53" s="67"/>
      <c r="F53" s="648" t="n">
        <f aca="false">Assm!$E43*CF!E$9/12</f>
        <v>0</v>
      </c>
      <c r="G53" s="648" t="n">
        <f aca="false">Assm!$E43*CF!F$9/12</f>
        <v>0</v>
      </c>
      <c r="H53" s="648" t="n">
        <f aca="false">Assm!$E43*CF!G$9/12</f>
        <v>829.3275</v>
      </c>
      <c r="I53" s="648" t="n">
        <f aca="false">Assm!$E43*CF!H$9/12</f>
        <v>995.193</v>
      </c>
      <c r="J53" s="648" t="n">
        <f aca="false">Assm!$E43*CF!I$9/12</f>
        <v>995.193</v>
      </c>
      <c r="K53" s="648" t="n">
        <f aca="false">Assm!$E43*CF!J$9/12</f>
        <v>995.193</v>
      </c>
      <c r="L53" s="648" t="n">
        <f aca="false">Assm!$E43*CF!K$9/12</f>
        <v>995.193</v>
      </c>
      <c r="M53" s="648" t="n">
        <f aca="false">Assm!$E43*CF!L$9/12</f>
        <v>995.193</v>
      </c>
      <c r="N53" s="648" t="n">
        <f aca="false">Assm!$E43*CF!M$9/12</f>
        <v>995.193</v>
      </c>
      <c r="O53" s="648" t="n">
        <f aca="false">Assm!$E43*CF!N$9/12</f>
        <v>995.193</v>
      </c>
      <c r="P53" s="648" t="n">
        <f aca="false">Assm!$E43*CF!O$9/12</f>
        <v>995.193</v>
      </c>
      <c r="Q53" s="648" t="n">
        <f aca="false">Assm!$E43*CF!P$9/12</f>
        <v>995.193</v>
      </c>
      <c r="R53" s="648" t="n">
        <f aca="false">Assm!$E43*CF!Q$9/12</f>
        <v>995.193</v>
      </c>
      <c r="S53" s="648" t="n">
        <f aca="false">Assm!$E43*CF!R$9/12</f>
        <v>995.193</v>
      </c>
      <c r="T53" s="648" t="n">
        <f aca="false">Assm!$E43*CF!S$9/12</f>
        <v>995.193</v>
      </c>
      <c r="U53" s="648" t="n">
        <f aca="false">Assm!$E43*CF!T$9/12</f>
        <v>995.193</v>
      </c>
      <c r="V53" s="648" t="n">
        <f aca="false">Assm!$E43*CF!U$9/12</f>
        <v>995.193</v>
      </c>
      <c r="W53" s="648" t="n">
        <f aca="false">Assm!$E43*CF!V$9/12</f>
        <v>995.193</v>
      </c>
      <c r="X53" s="648" t="n">
        <f aca="false">Assm!$E43*CF!W$9/12</f>
        <v>995.193</v>
      </c>
      <c r="Y53" s="648" t="n">
        <f aca="false">Assm!$E43*CF!X$9/12</f>
        <v>995.193</v>
      </c>
      <c r="Z53" s="648" t="n">
        <f aca="false">Assm!$E43*CF!Y$9/12</f>
        <v>331.731</v>
      </c>
      <c r="AA53" s="649" t="n">
        <f aca="false">SUM(F53:Z53)</f>
        <v>18079.3395</v>
      </c>
    </row>
    <row r="54" customFormat="false" ht="12.75" hidden="false" customHeight="false" outlineLevel="0" collapsed="false">
      <c r="A54" s="109" t="s">
        <v>720</v>
      </c>
      <c r="B54" s="67"/>
      <c r="C54" s="67"/>
      <c r="D54" s="67"/>
      <c r="E54" s="67"/>
      <c r="F54" s="650" t="n">
        <f aca="false">IF(OR(F$6=5,F$6=15),Assm!$B$43,0)</f>
        <v>0</v>
      </c>
      <c r="G54" s="650" t="n">
        <f aca="false">IF(OR(G$6=5,G$6=15),Assm!$B$43,0)</f>
        <v>0</v>
      </c>
      <c r="H54" s="650" t="n">
        <f aca="false">IF(OR(H$6=5,H$6=15),Assm!$B$43,0)</f>
        <v>0</v>
      </c>
      <c r="I54" s="650" t="n">
        <f aca="false">IF(OR(I$6=5,I$6=15),Assm!$B$43,0)</f>
        <v>0</v>
      </c>
      <c r="J54" s="650" t="n">
        <f aca="false">IF(OR(J$6=5,J$6=15),Assm!$B$43,0)</f>
        <v>900</v>
      </c>
      <c r="K54" s="650" t="n">
        <f aca="false">IF(OR(K$6=5,K$6=15),Assm!$B$43,0)</f>
        <v>0</v>
      </c>
      <c r="L54" s="650" t="n">
        <f aca="false">IF(OR(L$6=5,L$6=15),Assm!$B$43,0)</f>
        <v>0</v>
      </c>
      <c r="M54" s="650" t="n">
        <f aca="false">IF(OR(M$6=5,M$6=15),Assm!$B$43,0)</f>
        <v>0</v>
      </c>
      <c r="N54" s="650" t="n">
        <f aca="false">IF(OR(N$6=5,N$6=15),Assm!$B$43,0)</f>
        <v>0</v>
      </c>
      <c r="O54" s="650" t="n">
        <f aca="false">IF(OR(O$6=5,O$6=15),Assm!$B$43,0)</f>
        <v>0</v>
      </c>
      <c r="P54" s="650" t="n">
        <f aca="false">IF(OR(P$6=5,P$6=15),Assm!$B$43,0)</f>
        <v>0</v>
      </c>
      <c r="Q54" s="650" t="n">
        <f aca="false">IF(OR(Q$6=5,Q$6=15),Assm!$B$43,0)</f>
        <v>0</v>
      </c>
      <c r="R54" s="650" t="n">
        <f aca="false">IF(OR(R$6=5,R$6=15),Assm!$B$43,0)</f>
        <v>0</v>
      </c>
      <c r="S54" s="650" t="n">
        <f aca="false">IF(OR(S$6=5,S$6=15),Assm!$B$43,0)</f>
        <v>0</v>
      </c>
      <c r="T54" s="650" t="n">
        <f aca="false">IF(OR(T$6=5,T$6=15),Assm!$B$43,0)</f>
        <v>900</v>
      </c>
      <c r="U54" s="650" t="n">
        <f aca="false">IF(OR(U$6=5,U$6=15),Assm!$B$43,0)</f>
        <v>0</v>
      </c>
      <c r="V54" s="650" t="n">
        <f aca="false">IF(OR(V$6=5,V$6=15),Assm!$B$43,0)</f>
        <v>0</v>
      </c>
      <c r="W54" s="650" t="n">
        <f aca="false">IF(OR(W$6=5,W$6=15),Assm!$B$43,0)</f>
        <v>0</v>
      </c>
      <c r="X54" s="650" t="n">
        <f aca="false">IF(OR(X$6=5,X$6=15),Assm!$B$43,0)</f>
        <v>0</v>
      </c>
      <c r="Y54" s="650" t="n">
        <f aca="false">IF(OR(Y$6=5,Y$6=15),Assm!$B$43,0)</f>
        <v>0</v>
      </c>
      <c r="Z54" s="650" t="n">
        <f aca="false">IF(OR(Z$6=5,Z$6=15),Assm!$B$43,0)</f>
        <v>0</v>
      </c>
      <c r="AA54" s="651" t="n">
        <f aca="false">SUM(F54:Z54)</f>
        <v>1800</v>
      </c>
    </row>
    <row r="55" customFormat="false" ht="12.75" hidden="false" customHeight="false" outlineLevel="0" collapsed="false">
      <c r="A55" s="109" t="s">
        <v>721</v>
      </c>
      <c r="B55" s="67"/>
      <c r="C55" s="67"/>
      <c r="D55" s="67"/>
      <c r="E55" s="67"/>
      <c r="F55" s="648" t="n">
        <f aca="false">SUM(F53:F54)</f>
        <v>0</v>
      </c>
      <c r="G55" s="648" t="n">
        <f aca="false">SUM(G53:G54)</f>
        <v>0</v>
      </c>
      <c r="H55" s="648" t="n">
        <f aca="false">SUM(H53:H54)</f>
        <v>829.3275</v>
      </c>
      <c r="I55" s="648" t="n">
        <f aca="false">SUM(I53:I54)</f>
        <v>995.193</v>
      </c>
      <c r="J55" s="648" t="n">
        <f aca="false">SUM(J53:J54)</f>
        <v>1895.193</v>
      </c>
      <c r="K55" s="648" t="n">
        <f aca="false">SUM(K53:K54)</f>
        <v>995.193</v>
      </c>
      <c r="L55" s="648" t="n">
        <f aca="false">SUM(L53:L54)</f>
        <v>995.193</v>
      </c>
      <c r="M55" s="648" t="n">
        <f aca="false">SUM(M53:M54)</f>
        <v>995.193</v>
      </c>
      <c r="N55" s="648" t="n">
        <f aca="false">SUM(N53:N54)</f>
        <v>995.193</v>
      </c>
      <c r="O55" s="648" t="n">
        <f aca="false">SUM(O53:O54)</f>
        <v>995.193</v>
      </c>
      <c r="P55" s="648" t="n">
        <f aca="false">SUM(P53:P54)</f>
        <v>995.193</v>
      </c>
      <c r="Q55" s="648" t="n">
        <f aca="false">SUM(Q53:Q54)</f>
        <v>995.193</v>
      </c>
      <c r="R55" s="648" t="n">
        <f aca="false">SUM(R53:R54)</f>
        <v>995.193</v>
      </c>
      <c r="S55" s="648" t="n">
        <f aca="false">SUM(S53:S54)</f>
        <v>995.193</v>
      </c>
      <c r="T55" s="648" t="n">
        <f aca="false">SUM(T53:T54)</f>
        <v>1895.193</v>
      </c>
      <c r="U55" s="648" t="n">
        <f aca="false">SUM(U53:U54)</f>
        <v>995.193</v>
      </c>
      <c r="V55" s="648" t="n">
        <f aca="false">SUM(V53:V54)</f>
        <v>995.193</v>
      </c>
      <c r="W55" s="648" t="n">
        <f aca="false">SUM(W53:W54)</f>
        <v>995.193</v>
      </c>
      <c r="X55" s="648" t="n">
        <f aca="false">SUM(X53:X54)</f>
        <v>995.193</v>
      </c>
      <c r="Y55" s="648" t="n">
        <f aca="false">SUM(Y53:Y54)</f>
        <v>995.193</v>
      </c>
      <c r="Z55" s="648" t="n">
        <f aca="false">SUM(Z53:Z54)</f>
        <v>331.731</v>
      </c>
      <c r="AA55" s="649" t="n">
        <f aca="false">SUM(F55:Z55)</f>
        <v>19879.3395</v>
      </c>
    </row>
    <row r="56" customFormat="false" ht="12.75" hidden="false" customHeight="false" outlineLevel="0" collapsed="false">
      <c r="A56" s="109" t="s">
        <v>722</v>
      </c>
      <c r="B56" s="67"/>
      <c r="C56" s="67"/>
      <c r="D56" s="67"/>
      <c r="E56" s="67"/>
      <c r="F56" s="688" t="n">
        <f aca="false">CF!E12</f>
        <v>1.0374531835206</v>
      </c>
      <c r="G56" s="688" t="n">
        <f aca="false">CF!F12</f>
        <v>1.06207999503397</v>
      </c>
      <c r="H56" s="688" t="n">
        <f aca="false">CF!G12</f>
        <v>1.09718061747934</v>
      </c>
      <c r="I56" s="688" t="n">
        <f aca="false">CF!H12</f>
        <v>1.13219066683837</v>
      </c>
      <c r="J56" s="688" t="n">
        <f aca="false">CF!I12</f>
        <v>1.16628704592773</v>
      </c>
      <c r="K56" s="688" t="n">
        <f aca="false">CF!J12</f>
        <v>1.20034933429065</v>
      </c>
      <c r="L56" s="688" t="n">
        <f aca="false">CF!K12</f>
        <v>1.23462294375966</v>
      </c>
      <c r="M56" s="688" t="n">
        <f aca="false">CF!L12</f>
        <v>1.26919095628799</v>
      </c>
      <c r="N56" s="688" t="n">
        <f aca="false">CF!M12</f>
        <v>1.30389657610682</v>
      </c>
      <c r="O56" s="688" t="n">
        <f aca="false">CF!N12</f>
        <v>1.33877978058913</v>
      </c>
      <c r="P56" s="688" t="n">
        <f aca="false">CF!O12</f>
        <v>1.37395101449367</v>
      </c>
      <c r="Q56" s="688" t="n">
        <f aca="false">CF!P12</f>
        <v>1.40945468809218</v>
      </c>
      <c r="R56" s="688" t="n">
        <f aca="false">CF!Q12</f>
        <v>1.44536293026781</v>
      </c>
      <c r="S56" s="688" t="n">
        <f aca="false">CF!R12</f>
        <v>1.48180861051097</v>
      </c>
      <c r="T56" s="688" t="n">
        <f aca="false">CF!S12</f>
        <v>1.51901070889322</v>
      </c>
      <c r="U56" s="688" t="n">
        <f aca="false">CF!T12</f>
        <v>1.55739783154092</v>
      </c>
      <c r="V56" s="688" t="n">
        <f aca="false">CF!U12</f>
        <v>1.59733039824151</v>
      </c>
      <c r="W56" s="688" t="n">
        <f aca="false">CF!V12</f>
        <v>1.63898344452994</v>
      </c>
      <c r="X56" s="688" t="n">
        <f aca="false">CF!W12</f>
        <v>1.68254669873615</v>
      </c>
      <c r="Y56" s="688" t="n">
        <f aca="false">CF!X12</f>
        <v>1.72801332733687</v>
      </c>
      <c r="Z56" s="688" t="n">
        <f aca="false">CF!Y12</f>
        <v>1.77543572910631</v>
      </c>
      <c r="AA56" s="689"/>
    </row>
    <row r="57" customFormat="false" ht="12.75" hidden="false" customHeight="false" outlineLevel="0" collapsed="false">
      <c r="A57" s="109" t="s">
        <v>723</v>
      </c>
      <c r="B57" s="67"/>
      <c r="C57" s="67"/>
      <c r="D57" s="67"/>
      <c r="E57" s="67"/>
      <c r="F57" s="648" t="n">
        <f aca="false">F55*F56</f>
        <v>0</v>
      </c>
      <c r="G57" s="648" t="n">
        <f aca="false">G55*G56</f>
        <v>0</v>
      </c>
      <c r="H57" s="648" t="n">
        <f aca="false">H55*H56</f>
        <v>909.922058542598</v>
      </c>
      <c r="I57" s="648" t="n">
        <f aca="false">I55*I56</f>
        <v>1126.74822630287</v>
      </c>
      <c r="J57" s="648" t="n">
        <f aca="false">J55*J56</f>
        <v>2210.33904543292</v>
      </c>
      <c r="K57" s="648" t="n">
        <f aca="false">K55*K56</f>
        <v>1194.57925504071</v>
      </c>
      <c r="L57" s="648" t="n">
        <f aca="false">L55*L56</f>
        <v>1228.68811126901</v>
      </c>
      <c r="M57" s="648" t="n">
        <f aca="false">M55*M56</f>
        <v>1263.08995536111</v>
      </c>
      <c r="N57" s="648" t="n">
        <f aca="false">N55*N56</f>
        <v>1297.62874526547</v>
      </c>
      <c r="O57" s="648" t="n">
        <f aca="false">O55*O56</f>
        <v>1332.34426618383</v>
      </c>
      <c r="P57" s="648" t="n">
        <f aca="false">P55*P56</f>
        <v>1367.346431967</v>
      </c>
      <c r="Q57" s="648" t="n">
        <f aca="false">Q55*Q56</f>
        <v>1402.67943940652</v>
      </c>
      <c r="R57" s="648" t="n">
        <f aca="false">R55*R56</f>
        <v>1438.41507066201</v>
      </c>
      <c r="S57" s="648" t="n">
        <f aca="false">S55*S56</f>
        <v>1474.68555652025</v>
      </c>
      <c r="T57" s="648" t="n">
        <f aca="false">T55*T56</f>
        <v>2878.81846241947</v>
      </c>
      <c r="U57" s="648" t="n">
        <f aca="false">U55*U56</f>
        <v>1549.9114201647</v>
      </c>
      <c r="V57" s="648" t="n">
        <f aca="false">V55*V56</f>
        <v>1589.65203101716</v>
      </c>
      <c r="W57" s="648" t="n">
        <f aca="false">W55*W56</f>
        <v>1631.10485111209</v>
      </c>
      <c r="X57" s="648" t="n">
        <f aca="false">X55*X56</f>
        <v>1674.45869675532</v>
      </c>
      <c r="Y57" s="648" t="n">
        <f aca="false">Y55*Y56</f>
        <v>1719.70676727236</v>
      </c>
      <c r="Z57" s="648" t="n">
        <f aca="false">Z55*Z56</f>
        <v>588.967069852166</v>
      </c>
      <c r="AA57" s="649" t="n">
        <f aca="false">SUM(F57:Z57)</f>
        <v>27879.0854605476</v>
      </c>
    </row>
    <row r="58" customFormat="false" ht="12.75" hidden="false" customHeight="false" outlineLevel="0" collapsed="false">
      <c r="A58" s="109"/>
      <c r="B58" s="67"/>
      <c r="C58" s="67"/>
      <c r="D58" s="67"/>
      <c r="E58" s="67"/>
      <c r="F58" s="648"/>
      <c r="G58" s="648"/>
      <c r="H58" s="648"/>
      <c r="I58" s="648"/>
      <c r="J58" s="648"/>
      <c r="K58" s="648"/>
      <c r="L58" s="648"/>
      <c r="M58" s="648"/>
      <c r="N58" s="648"/>
      <c r="O58" s="648"/>
      <c r="P58" s="648"/>
      <c r="Q58" s="648"/>
      <c r="R58" s="648"/>
      <c r="S58" s="648"/>
      <c r="T58" s="648"/>
      <c r="U58" s="648"/>
      <c r="V58" s="648"/>
      <c r="W58" s="648"/>
      <c r="X58" s="648"/>
      <c r="Y58" s="648"/>
      <c r="Z58" s="648"/>
      <c r="AA58" s="649"/>
    </row>
    <row r="59" customFormat="false" ht="12.75" hidden="false" customHeight="false" outlineLevel="0" collapsed="false">
      <c r="A59" s="609" t="s">
        <v>724</v>
      </c>
      <c r="B59" s="610"/>
      <c r="C59" s="610"/>
      <c r="D59" s="610"/>
      <c r="E59" s="610"/>
      <c r="F59" s="685" t="n">
        <f aca="false">F57</f>
        <v>0</v>
      </c>
      <c r="G59" s="685" t="n">
        <f aca="false">G57</f>
        <v>0</v>
      </c>
      <c r="H59" s="685" t="n">
        <f aca="false">H57</f>
        <v>909.922058542598</v>
      </c>
      <c r="I59" s="685" t="n">
        <f aca="false">I57</f>
        <v>1126.74822630287</v>
      </c>
      <c r="J59" s="685" t="n">
        <f aca="false">J57</f>
        <v>2210.33904543292</v>
      </c>
      <c r="K59" s="685" t="n">
        <f aca="false">K57</f>
        <v>1194.57925504071</v>
      </c>
      <c r="L59" s="685" t="n">
        <f aca="false">L57</f>
        <v>1228.68811126901</v>
      </c>
      <c r="M59" s="685" t="n">
        <f aca="false">M57</f>
        <v>1263.08995536111</v>
      </c>
      <c r="N59" s="685" t="n">
        <f aca="false">N57</f>
        <v>1297.62874526547</v>
      </c>
      <c r="O59" s="685" t="n">
        <f aca="false">O57</f>
        <v>1332.34426618383</v>
      </c>
      <c r="P59" s="685" t="n">
        <f aca="false">P57</f>
        <v>1367.346431967</v>
      </c>
      <c r="Q59" s="685" t="n">
        <f aca="false">Q57</f>
        <v>1402.67943940652</v>
      </c>
      <c r="R59" s="685" t="n">
        <f aca="false">R57</f>
        <v>1438.41507066201</v>
      </c>
      <c r="S59" s="685" t="n">
        <f aca="false">S57</f>
        <v>1474.68555652025</v>
      </c>
      <c r="T59" s="685" t="n">
        <f aca="false">T57</f>
        <v>2878.81846241947</v>
      </c>
      <c r="U59" s="685" t="n">
        <f aca="false">U57</f>
        <v>1549.9114201647</v>
      </c>
      <c r="V59" s="685" t="n">
        <f aca="false">V57</f>
        <v>1589.65203101716</v>
      </c>
      <c r="W59" s="685" t="n">
        <f aca="false">W57</f>
        <v>1631.10485111209</v>
      </c>
      <c r="X59" s="685" t="n">
        <f aca="false">X57</f>
        <v>1674.45869675532</v>
      </c>
      <c r="Y59" s="685" t="n">
        <f aca="false">Y57</f>
        <v>1719.70676727236</v>
      </c>
      <c r="Z59" s="685" t="n">
        <f aca="false">Z57</f>
        <v>588.967069852166</v>
      </c>
      <c r="AA59" s="661" t="n">
        <f aca="false">SUM(F59:Z59)</f>
        <v>27879.0854605476</v>
      </c>
    </row>
    <row r="60" customFormat="false" ht="12.75" hidden="false" customHeight="false" outlineLevel="0" collapsed="false">
      <c r="A60" s="666" t="s">
        <v>725</v>
      </c>
      <c r="B60" s="667"/>
      <c r="C60" s="667"/>
      <c r="D60" s="667"/>
      <c r="E60" s="667"/>
      <c r="F60" s="686" t="n">
        <f aca="false">F59-F57</f>
        <v>0</v>
      </c>
      <c r="G60" s="686" t="n">
        <f aca="false">G59-G57</f>
        <v>0</v>
      </c>
      <c r="H60" s="686" t="n">
        <f aca="false">H59-H57</f>
        <v>0</v>
      </c>
      <c r="I60" s="686" t="n">
        <f aca="false">I59-I57</f>
        <v>0</v>
      </c>
      <c r="J60" s="686" t="n">
        <f aca="false">J59-J57</f>
        <v>0</v>
      </c>
      <c r="K60" s="686" t="n">
        <f aca="false">K59-K57</f>
        <v>0</v>
      </c>
      <c r="L60" s="686" t="n">
        <f aca="false">L59-L57</f>
        <v>0</v>
      </c>
      <c r="M60" s="686" t="n">
        <f aca="false">M59-M57</f>
        <v>0</v>
      </c>
      <c r="N60" s="686" t="n">
        <f aca="false">N59-N57</f>
        <v>0</v>
      </c>
      <c r="O60" s="686" t="n">
        <f aca="false">O59-O57</f>
        <v>0</v>
      </c>
      <c r="P60" s="686" t="n">
        <f aca="false">P59-P57</f>
        <v>0</v>
      </c>
      <c r="Q60" s="686" t="n">
        <f aca="false">Q59-Q57</f>
        <v>0</v>
      </c>
      <c r="R60" s="686" t="n">
        <f aca="false">R59-R57</f>
        <v>0</v>
      </c>
      <c r="S60" s="686" t="n">
        <f aca="false">S59-S57</f>
        <v>0</v>
      </c>
      <c r="T60" s="686" t="n">
        <f aca="false">T59-T57</f>
        <v>0</v>
      </c>
      <c r="U60" s="686" t="n">
        <f aca="false">U59-U57</f>
        <v>0</v>
      </c>
      <c r="V60" s="686" t="n">
        <f aca="false">V59-V57</f>
        <v>0</v>
      </c>
      <c r="W60" s="686" t="n">
        <f aca="false">W59-W57</f>
        <v>0</v>
      </c>
      <c r="X60" s="686" t="n">
        <f aca="false">X59-X57</f>
        <v>0</v>
      </c>
      <c r="Y60" s="686" t="n">
        <f aca="false">Y59-Y57</f>
        <v>0</v>
      </c>
      <c r="Z60" s="686" t="n">
        <f aca="false">Z59-Z57</f>
        <v>0</v>
      </c>
      <c r="AA60" s="669" t="n">
        <f aca="false">SUM(F60:Z60)</f>
        <v>0</v>
      </c>
    </row>
    <row r="61" customFormat="false" ht="12.75" hidden="false" customHeight="false" outlineLevel="0" collapsed="false">
      <c r="A61" s="83"/>
      <c r="B61" s="67"/>
      <c r="C61" s="67"/>
      <c r="D61" s="67"/>
      <c r="E61" s="67"/>
      <c r="F61" s="690"/>
      <c r="G61" s="690"/>
      <c r="H61" s="690"/>
      <c r="I61" s="690"/>
      <c r="J61" s="690"/>
      <c r="K61" s="690"/>
      <c r="L61" s="690"/>
      <c r="M61" s="690"/>
      <c r="N61" s="690"/>
      <c r="O61" s="690"/>
      <c r="P61" s="690"/>
      <c r="Q61" s="690"/>
      <c r="R61" s="690"/>
      <c r="S61" s="690"/>
      <c r="T61" s="690"/>
      <c r="U61" s="690"/>
      <c r="V61" s="690"/>
      <c r="W61" s="690"/>
      <c r="X61" s="690"/>
      <c r="Y61" s="690"/>
      <c r="Z61" s="690"/>
      <c r="AA61" s="649"/>
    </row>
    <row r="62" customFormat="false" ht="12.75" hidden="false" customHeight="false" outlineLevel="0" collapsed="false">
      <c r="A62" s="691" t="s">
        <v>726</v>
      </c>
      <c r="B62" s="67"/>
      <c r="C62" s="67"/>
      <c r="D62" s="67"/>
      <c r="E62" s="67"/>
      <c r="F62" s="648"/>
      <c r="G62" s="648"/>
      <c r="H62" s="648"/>
      <c r="I62" s="648"/>
      <c r="J62" s="648"/>
      <c r="K62" s="648"/>
      <c r="L62" s="648"/>
      <c r="M62" s="648"/>
      <c r="N62" s="648"/>
      <c r="O62" s="648"/>
      <c r="P62" s="648"/>
      <c r="Q62" s="648"/>
      <c r="R62" s="648"/>
      <c r="S62" s="648"/>
      <c r="T62" s="648"/>
      <c r="U62" s="648"/>
      <c r="V62" s="648"/>
      <c r="W62" s="648"/>
      <c r="X62" s="648"/>
      <c r="Y62" s="648"/>
      <c r="Z62" s="648"/>
      <c r="AA62" s="649"/>
    </row>
    <row r="63" customFormat="false" ht="12.75" hidden="false" customHeight="false" outlineLevel="0" collapsed="false">
      <c r="A63" s="109" t="s">
        <v>656</v>
      </c>
      <c r="B63" s="67"/>
      <c r="C63" s="67"/>
      <c r="D63" s="67"/>
      <c r="E63" s="67"/>
      <c r="F63" s="99" t="n">
        <v>0</v>
      </c>
      <c r="G63" s="648" t="n">
        <f aca="false">F66</f>
        <v>0</v>
      </c>
      <c r="H63" s="648" t="n">
        <f aca="false">G66</f>
        <v>0</v>
      </c>
      <c r="I63" s="648" t="n">
        <f aca="false">H66</f>
        <v>0</v>
      </c>
      <c r="J63" s="648" t="n">
        <f aca="false">I66</f>
        <v>0</v>
      </c>
      <c r="K63" s="648" t="n">
        <f aca="false">J66</f>
        <v>0</v>
      </c>
      <c r="L63" s="648" t="n">
        <f aca="false">K66</f>
        <v>0</v>
      </c>
      <c r="M63" s="648" t="n">
        <f aca="false">L66</f>
        <v>0</v>
      </c>
      <c r="N63" s="648" t="n">
        <f aca="false">M66</f>
        <v>0</v>
      </c>
      <c r="O63" s="648" t="n">
        <f aca="false">N66</f>
        <v>0</v>
      </c>
      <c r="P63" s="648" t="n">
        <f aca="false">O66</f>
        <v>0</v>
      </c>
      <c r="Q63" s="648" t="n">
        <f aca="false">P66</f>
        <v>0</v>
      </c>
      <c r="R63" s="648" t="n">
        <f aca="false">Q66</f>
        <v>0</v>
      </c>
      <c r="S63" s="648" t="n">
        <f aca="false">R66</f>
        <v>0</v>
      </c>
      <c r="T63" s="648" t="n">
        <f aca="false">S66</f>
        <v>0</v>
      </c>
      <c r="U63" s="648" t="n">
        <f aca="false">T66</f>
        <v>0</v>
      </c>
      <c r="V63" s="648" t="n">
        <f aca="false">U66</f>
        <v>0</v>
      </c>
      <c r="W63" s="648" t="n">
        <f aca="false">V66</f>
        <v>0</v>
      </c>
      <c r="X63" s="648" t="n">
        <f aca="false">W66</f>
        <v>0</v>
      </c>
      <c r="Y63" s="648" t="n">
        <f aca="false">X66</f>
        <v>0</v>
      </c>
      <c r="Z63" s="648" t="n">
        <f aca="false">Y66</f>
        <v>0</v>
      </c>
      <c r="AA63" s="649" t="n">
        <f aca="false">F63</f>
        <v>0</v>
      </c>
    </row>
    <row r="64" customFormat="false" ht="12.75" hidden="false" customHeight="false" outlineLevel="0" collapsed="false">
      <c r="A64" s="109" t="s">
        <v>727</v>
      </c>
      <c r="B64" s="67"/>
      <c r="C64" s="67"/>
      <c r="D64" s="67"/>
      <c r="E64" s="67"/>
      <c r="F64" s="648" t="n">
        <f aca="false">F59</f>
        <v>0</v>
      </c>
      <c r="G64" s="648" t="n">
        <f aca="false">G59</f>
        <v>0</v>
      </c>
      <c r="H64" s="648" t="n">
        <f aca="false">H59</f>
        <v>909.922058542598</v>
      </c>
      <c r="I64" s="648" t="n">
        <f aca="false">I59</f>
        <v>1126.74822630287</v>
      </c>
      <c r="J64" s="648" t="n">
        <f aca="false">J59</f>
        <v>2210.33904543292</v>
      </c>
      <c r="K64" s="648" t="n">
        <f aca="false">K59</f>
        <v>1194.57925504071</v>
      </c>
      <c r="L64" s="648" t="n">
        <f aca="false">L59</f>
        <v>1228.68811126901</v>
      </c>
      <c r="M64" s="648" t="n">
        <f aca="false">M59</f>
        <v>1263.08995536111</v>
      </c>
      <c r="N64" s="648" t="n">
        <f aca="false">N59</f>
        <v>1297.62874526547</v>
      </c>
      <c r="O64" s="648" t="n">
        <f aca="false">O59</f>
        <v>1332.34426618383</v>
      </c>
      <c r="P64" s="648" t="n">
        <f aca="false">P59</f>
        <v>1367.346431967</v>
      </c>
      <c r="Q64" s="648" t="n">
        <f aca="false">Q59</f>
        <v>1402.67943940652</v>
      </c>
      <c r="R64" s="648" t="n">
        <f aca="false">R59</f>
        <v>1438.41507066201</v>
      </c>
      <c r="S64" s="648" t="n">
        <f aca="false">S59</f>
        <v>1474.68555652025</v>
      </c>
      <c r="T64" s="648" t="n">
        <f aca="false">T59</f>
        <v>2878.81846241947</v>
      </c>
      <c r="U64" s="648" t="n">
        <f aca="false">U59</f>
        <v>1549.9114201647</v>
      </c>
      <c r="V64" s="648" t="n">
        <f aca="false">V59</f>
        <v>1589.65203101716</v>
      </c>
      <c r="W64" s="648" t="n">
        <f aca="false">W59</f>
        <v>1631.10485111209</v>
      </c>
      <c r="X64" s="648" t="n">
        <f aca="false">X59</f>
        <v>1674.45869675532</v>
      </c>
      <c r="Y64" s="648" t="n">
        <f aca="false">Y59</f>
        <v>1719.70676727236</v>
      </c>
      <c r="Z64" s="648" t="n">
        <f aca="false">Z59</f>
        <v>588.967069852166</v>
      </c>
      <c r="AA64" s="649" t="n">
        <f aca="false">SUM(F64:Z64)</f>
        <v>27879.0854605476</v>
      </c>
    </row>
    <row r="65" customFormat="false" ht="12.75" hidden="false" customHeight="false" outlineLevel="0" collapsed="false">
      <c r="A65" s="109" t="s">
        <v>728</v>
      </c>
      <c r="B65" s="67"/>
      <c r="C65" s="67"/>
      <c r="D65" s="67"/>
      <c r="E65" s="67"/>
      <c r="F65" s="650" t="n">
        <f aca="false">-F57</f>
        <v>-0</v>
      </c>
      <c r="G65" s="650" t="n">
        <f aca="false">-G57</f>
        <v>-0</v>
      </c>
      <c r="H65" s="650" t="n">
        <f aca="false">-H57</f>
        <v>-909.922058542598</v>
      </c>
      <c r="I65" s="650" t="n">
        <f aca="false">-I57</f>
        <v>-1126.74822630287</v>
      </c>
      <c r="J65" s="650" t="n">
        <f aca="false">-J57</f>
        <v>-2210.33904543292</v>
      </c>
      <c r="K65" s="650" t="n">
        <f aca="false">-K57</f>
        <v>-1194.57925504071</v>
      </c>
      <c r="L65" s="650" t="n">
        <f aca="false">-L57</f>
        <v>-1228.68811126901</v>
      </c>
      <c r="M65" s="650" t="n">
        <f aca="false">-M57</f>
        <v>-1263.08995536111</v>
      </c>
      <c r="N65" s="650" t="n">
        <f aca="false">-N57</f>
        <v>-1297.62874526547</v>
      </c>
      <c r="O65" s="650" t="n">
        <f aca="false">-O57</f>
        <v>-1332.34426618383</v>
      </c>
      <c r="P65" s="650" t="n">
        <f aca="false">-P57</f>
        <v>-1367.346431967</v>
      </c>
      <c r="Q65" s="650" t="n">
        <f aca="false">-Q57</f>
        <v>-1402.67943940652</v>
      </c>
      <c r="R65" s="650" t="n">
        <f aca="false">-R57</f>
        <v>-1438.41507066201</v>
      </c>
      <c r="S65" s="650" t="n">
        <f aca="false">-S57</f>
        <v>-1474.68555652025</v>
      </c>
      <c r="T65" s="650" t="n">
        <f aca="false">-T57</f>
        <v>-2878.81846241947</v>
      </c>
      <c r="U65" s="650" t="n">
        <f aca="false">-U57</f>
        <v>-1549.9114201647</v>
      </c>
      <c r="V65" s="650" t="n">
        <f aca="false">-V57</f>
        <v>-1589.65203101716</v>
      </c>
      <c r="W65" s="650" t="n">
        <f aca="false">-W57</f>
        <v>-1631.10485111209</v>
      </c>
      <c r="X65" s="650" t="n">
        <f aca="false">-X57</f>
        <v>-1674.45869675532</v>
      </c>
      <c r="Y65" s="650" t="n">
        <f aca="false">-Y57</f>
        <v>-1719.70676727236</v>
      </c>
      <c r="Z65" s="650" t="n">
        <f aca="false">-Z57</f>
        <v>-588.967069852166</v>
      </c>
      <c r="AA65" s="651" t="n">
        <f aca="false">SUM(F65:Z65)</f>
        <v>-27879.0854605476</v>
      </c>
    </row>
    <row r="66" customFormat="false" ht="12.75" hidden="false" customHeight="false" outlineLevel="0" collapsed="false">
      <c r="A66" s="675" t="s">
        <v>660</v>
      </c>
      <c r="B66" s="676"/>
      <c r="C66" s="676"/>
      <c r="D66" s="676"/>
      <c r="E66" s="676"/>
      <c r="F66" s="692" t="n">
        <f aca="false">SUM(F63:F65)</f>
        <v>0</v>
      </c>
      <c r="G66" s="692" t="n">
        <f aca="false">SUM(G63:G65)</f>
        <v>0</v>
      </c>
      <c r="H66" s="692" t="n">
        <f aca="false">SUM(H63:H65)</f>
        <v>0</v>
      </c>
      <c r="I66" s="692" t="n">
        <f aca="false">SUM(I63:I65)</f>
        <v>0</v>
      </c>
      <c r="J66" s="692" t="n">
        <f aca="false">SUM(J63:J65)</f>
        <v>0</v>
      </c>
      <c r="K66" s="692" t="n">
        <f aca="false">SUM(K63:K65)</f>
        <v>0</v>
      </c>
      <c r="L66" s="692" t="n">
        <f aca="false">SUM(L63:L65)</f>
        <v>0</v>
      </c>
      <c r="M66" s="692" t="n">
        <f aca="false">SUM(M63:M65)</f>
        <v>0</v>
      </c>
      <c r="N66" s="692" t="n">
        <f aca="false">SUM(N63:N65)</f>
        <v>0</v>
      </c>
      <c r="O66" s="692" t="n">
        <f aca="false">SUM(O63:O65)</f>
        <v>0</v>
      </c>
      <c r="P66" s="692" t="n">
        <f aca="false">SUM(P63:P65)</f>
        <v>0</v>
      </c>
      <c r="Q66" s="692" t="n">
        <f aca="false">SUM(Q63:Q65)</f>
        <v>0</v>
      </c>
      <c r="R66" s="692" t="n">
        <f aca="false">SUM(R63:R65)</f>
        <v>0</v>
      </c>
      <c r="S66" s="692" t="n">
        <f aca="false">SUM(S63:S65)</f>
        <v>0</v>
      </c>
      <c r="T66" s="692" t="n">
        <f aca="false">SUM(T63:T65)</f>
        <v>0</v>
      </c>
      <c r="U66" s="692" t="n">
        <f aca="false">SUM(U63:U65)</f>
        <v>0</v>
      </c>
      <c r="V66" s="692" t="n">
        <f aca="false">SUM(V63:V65)</f>
        <v>0</v>
      </c>
      <c r="W66" s="692" t="n">
        <f aca="false">SUM(W63:W65)</f>
        <v>0</v>
      </c>
      <c r="X66" s="692" t="n">
        <f aca="false">SUM(X63:X65)</f>
        <v>0</v>
      </c>
      <c r="Y66" s="692" t="n">
        <f aca="false">SUM(Y63:Y65)</f>
        <v>0</v>
      </c>
      <c r="Z66" s="692" t="n">
        <f aca="false">SUM(Z63:Z65)</f>
        <v>0</v>
      </c>
      <c r="AA66" s="679" t="n">
        <f aca="false">SUM(AA63:AA65)</f>
        <v>0</v>
      </c>
      <c r="AB66" s="415" t="s">
        <v>312</v>
      </c>
    </row>
    <row r="67" customFormat="false" ht="12.75" hidden="false" customHeight="false" outlineLevel="0" collapsed="false">
      <c r="A67" s="109"/>
      <c r="B67" s="67"/>
      <c r="C67" s="67"/>
      <c r="D67" s="67"/>
      <c r="E67" s="67"/>
      <c r="F67" s="687"/>
      <c r="G67" s="687"/>
      <c r="H67" s="687"/>
      <c r="I67" s="687"/>
      <c r="J67" s="687"/>
      <c r="K67" s="687"/>
      <c r="L67" s="687"/>
      <c r="M67" s="687"/>
      <c r="N67" s="687"/>
      <c r="O67" s="687"/>
      <c r="P67" s="687"/>
      <c r="Q67" s="687"/>
      <c r="R67" s="687"/>
      <c r="S67" s="687"/>
      <c r="T67" s="687"/>
      <c r="U67" s="687"/>
      <c r="V67" s="687"/>
      <c r="W67" s="687"/>
      <c r="X67" s="687"/>
      <c r="Y67" s="687"/>
      <c r="Z67" s="687"/>
      <c r="AA67" s="645"/>
      <c r="AB67" s="693" t="s">
        <v>729</v>
      </c>
    </row>
    <row r="68" customFormat="false" ht="12.75" hidden="false" customHeight="false" outlineLevel="0" collapsed="false">
      <c r="A68" s="83" t="s">
        <v>730</v>
      </c>
      <c r="B68" s="67"/>
      <c r="C68" s="67"/>
      <c r="D68" s="67"/>
      <c r="E68" s="694" t="n">
        <v>1998</v>
      </c>
      <c r="F68" s="695" t="n">
        <f aca="false">E68+1</f>
        <v>1999</v>
      </c>
      <c r="G68" s="695" t="n">
        <f aca="false">F68+1</f>
        <v>2000</v>
      </c>
      <c r="H68" s="695" t="n">
        <f aca="false">G68+1</f>
        <v>2001</v>
      </c>
      <c r="I68" s="695" t="n">
        <f aca="false">H68+1</f>
        <v>2002</v>
      </c>
      <c r="J68" s="695" t="n">
        <f aca="false">I68+1</f>
        <v>2003</v>
      </c>
      <c r="K68" s="695" t="n">
        <f aca="false">J68+1</f>
        <v>2004</v>
      </c>
      <c r="L68" s="695" t="n">
        <f aca="false">K68+1</f>
        <v>2005</v>
      </c>
      <c r="M68" s="695" t="n">
        <f aca="false">L68+1</f>
        <v>2006</v>
      </c>
      <c r="N68" s="695" t="n">
        <f aca="false">M68+1</f>
        <v>2007</v>
      </c>
      <c r="O68" s="695" t="n">
        <f aca="false">N68+1</f>
        <v>2008</v>
      </c>
      <c r="P68" s="695" t="n">
        <f aca="false">O68+1</f>
        <v>2009</v>
      </c>
      <c r="Q68" s="695" t="n">
        <f aca="false">P68+1</f>
        <v>2010</v>
      </c>
      <c r="R68" s="695" t="n">
        <f aca="false">Q68+1</f>
        <v>2011</v>
      </c>
      <c r="S68" s="695" t="n">
        <f aca="false">R68+1</f>
        <v>2012</v>
      </c>
      <c r="T68" s="695" t="n">
        <f aca="false">S68+1</f>
        <v>2013</v>
      </c>
      <c r="U68" s="695" t="n">
        <f aca="false">T68+1</f>
        <v>2014</v>
      </c>
      <c r="V68" s="695" t="n">
        <f aca="false">U68+1</f>
        <v>2015</v>
      </c>
      <c r="W68" s="695" t="n">
        <f aca="false">V68+1</f>
        <v>2016</v>
      </c>
      <c r="X68" s="695" t="n">
        <f aca="false">W68+1</f>
        <v>2017</v>
      </c>
      <c r="Y68" s="695" t="n">
        <f aca="false">X68+1</f>
        <v>2018</v>
      </c>
      <c r="Z68" s="695" t="n">
        <f aca="false">Y68+1</f>
        <v>2019</v>
      </c>
      <c r="AA68" s="696" t="s">
        <v>316</v>
      </c>
      <c r="AB68" s="697" t="n">
        <v>1</v>
      </c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  <c r="CY68" s="67"/>
      <c r="CZ68" s="67"/>
      <c r="DA68" s="67"/>
      <c r="DB68" s="67"/>
      <c r="DC68" s="67"/>
      <c r="DD68" s="67"/>
      <c r="DE68" s="67"/>
      <c r="DF68" s="67"/>
      <c r="DG68" s="67"/>
      <c r="DH68" s="67"/>
      <c r="DI68" s="67"/>
      <c r="DJ68" s="67"/>
      <c r="DK68" s="67"/>
      <c r="DL68" s="67"/>
      <c r="DM68" s="67"/>
      <c r="DN68" s="67"/>
      <c r="DO68" s="67"/>
      <c r="DP68" s="67"/>
      <c r="DQ68" s="67"/>
      <c r="DR68" s="67"/>
      <c r="DS68" s="67"/>
      <c r="DT68" s="67"/>
      <c r="DU68" s="67"/>
      <c r="DV68" s="67"/>
      <c r="DW68" s="67"/>
      <c r="DX68" s="67"/>
      <c r="DY68" s="67"/>
      <c r="DZ68" s="67"/>
      <c r="EA68" s="67"/>
      <c r="EB68" s="67"/>
      <c r="EC68" s="67"/>
      <c r="ED68" s="67"/>
      <c r="EE68" s="67"/>
      <c r="EF68" s="67"/>
      <c r="EG68" s="67"/>
      <c r="EH68" s="67"/>
      <c r="EI68" s="67"/>
      <c r="EJ68" s="67"/>
      <c r="EK68" s="67"/>
      <c r="EL68" s="67"/>
      <c r="EM68" s="67"/>
      <c r="EN68" s="67"/>
      <c r="EO68" s="67"/>
      <c r="EP68" s="67"/>
      <c r="EQ68" s="67"/>
      <c r="ER68" s="67"/>
      <c r="ES68" s="67"/>
      <c r="ET68" s="67"/>
      <c r="EU68" s="67"/>
      <c r="EV68" s="67"/>
      <c r="EW68" s="67"/>
      <c r="EX68" s="67"/>
      <c r="EY68" s="67"/>
      <c r="EZ68" s="67"/>
      <c r="FA68" s="67"/>
      <c r="FB68" s="67"/>
      <c r="FC68" s="67"/>
      <c r="FD68" s="67"/>
      <c r="FE68" s="67"/>
      <c r="FF68" s="67"/>
      <c r="FG68" s="67"/>
      <c r="FH68" s="67"/>
      <c r="FI68" s="67"/>
      <c r="FJ68" s="67"/>
      <c r="FK68" s="67"/>
      <c r="FL68" s="67"/>
      <c r="FM68" s="67"/>
      <c r="FN68" s="67"/>
      <c r="FO68" s="67"/>
      <c r="FP68" s="67"/>
      <c r="FQ68" s="67"/>
      <c r="FR68" s="67"/>
      <c r="FS68" s="67"/>
      <c r="FT68" s="67"/>
      <c r="FU68" s="67"/>
      <c r="FV68" s="67"/>
      <c r="FW68" s="67"/>
      <c r="FX68" s="67"/>
      <c r="FY68" s="67"/>
      <c r="FZ68" s="67"/>
      <c r="GA68" s="67"/>
      <c r="GB68" s="67"/>
      <c r="GC68" s="67"/>
      <c r="GD68" s="67"/>
      <c r="GE68" s="67"/>
      <c r="GF68" s="67"/>
      <c r="GG68" s="67"/>
      <c r="GH68" s="67"/>
      <c r="GI68" s="67"/>
      <c r="GJ68" s="67"/>
      <c r="GK68" s="67"/>
      <c r="GL68" s="67"/>
      <c r="GM68" s="67"/>
      <c r="GN68" s="67"/>
      <c r="GO68" s="67"/>
      <c r="GP68" s="67"/>
      <c r="GQ68" s="67"/>
      <c r="GR68" s="67"/>
      <c r="GS68" s="67"/>
      <c r="GT68" s="67"/>
      <c r="GU68" s="67"/>
      <c r="GV68" s="67"/>
      <c r="GW68" s="67"/>
      <c r="GX68" s="67"/>
      <c r="GY68" s="67"/>
      <c r="GZ68" s="67"/>
      <c r="HA68" s="67"/>
      <c r="HB68" s="67"/>
      <c r="HC68" s="67"/>
      <c r="HD68" s="67"/>
      <c r="HE68" s="67"/>
      <c r="HF68" s="67"/>
      <c r="HG68" s="67"/>
      <c r="HH68" s="67"/>
      <c r="HI68" s="67"/>
      <c r="HJ68" s="67"/>
      <c r="HK68" s="67"/>
      <c r="HL68" s="67"/>
      <c r="HM68" s="67"/>
      <c r="HN68" s="67"/>
      <c r="HO68" s="67"/>
      <c r="HP68" s="67"/>
      <c r="HQ68" s="67"/>
      <c r="HR68" s="67"/>
      <c r="HS68" s="67"/>
      <c r="HT68" s="67"/>
      <c r="HU68" s="67"/>
      <c r="HV68" s="67"/>
      <c r="HW68" s="67"/>
      <c r="HX68" s="67"/>
      <c r="HY68" s="67"/>
      <c r="HZ68" s="67"/>
      <c r="IA68" s="67"/>
      <c r="IB68" s="67"/>
      <c r="IC68" s="67"/>
      <c r="ID68" s="67"/>
      <c r="IE68" s="67"/>
      <c r="IF68" s="67"/>
      <c r="IG68" s="67"/>
      <c r="IH68" s="67"/>
      <c r="II68" s="67"/>
      <c r="IJ68" s="67"/>
      <c r="IK68" s="67"/>
      <c r="IL68" s="67"/>
      <c r="IM68" s="67"/>
      <c r="IN68" s="67"/>
      <c r="IO68" s="67"/>
      <c r="IP68" s="67"/>
      <c r="IQ68" s="67"/>
      <c r="IR68" s="67"/>
      <c r="IS68" s="67"/>
      <c r="IT68" s="67"/>
      <c r="IU68" s="67"/>
      <c r="IV68" s="67"/>
      <c r="IW68" s="67"/>
    </row>
    <row r="69" customFormat="false" ht="12.75" hidden="false" customHeight="false" outlineLevel="0" collapsed="false">
      <c r="A69" s="691" t="s">
        <v>731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45"/>
      <c r="AB69" s="698" t="n">
        <f aca="false">AB68+1</f>
        <v>2</v>
      </c>
    </row>
    <row r="70" customFormat="false" ht="12.75" hidden="false" customHeight="false" outlineLevel="0" collapsed="false">
      <c r="A70" s="109" t="s">
        <v>732</v>
      </c>
      <c r="B70" s="67"/>
      <c r="C70" s="67"/>
      <c r="D70" s="67"/>
      <c r="E70" s="648" t="n">
        <f aca="false">IF(E$68&lt;YEAR(Startops1),0,HLOOKUP(E$68,CF_Table,CF!$AB$18))</f>
        <v>0</v>
      </c>
      <c r="F70" s="648" t="n">
        <f aca="false">IF(F$68&lt;YEAR(Startops1),0,HLOOKUP(F$68,CF_Table,CF!$AB$18))</f>
        <v>0</v>
      </c>
      <c r="G70" s="648" t="n">
        <f aca="false">IF(G$68&lt;YEAR(Startops1),0,HLOOKUP(G$68,CF_Table,CF!$AB$18))</f>
        <v>0</v>
      </c>
      <c r="H70" s="648" t="n">
        <f aca="false">IF(H$68&lt;YEAR(Startops1),0,HLOOKUP(H$68,CF_Table,CF!$AB$18))</f>
        <v>14282.925136278</v>
      </c>
      <c r="I70" s="648" t="n">
        <f aca="false">IF(I$68&lt;YEAR(Startops1),0,HLOOKUP(I$68,CF_Table,CF!$AB$18))</f>
        <v>24055.0510107009</v>
      </c>
      <c r="J70" s="648" t="n">
        <f aca="false">IF(J$68&lt;YEAR(Startops1),0,HLOOKUP(J$68,CF_Table,CF!$AB$18))</f>
        <v>24793.3666132372</v>
      </c>
      <c r="K70" s="648" t="n">
        <f aca="false">IF(K$68&lt;YEAR(Startops1),0,HLOOKUP(K$68,CF_Table,CF!$AB$18))</f>
        <v>25593.3296288714</v>
      </c>
      <c r="L70" s="648" t="n">
        <f aca="false">IF(L$68&lt;YEAR(Startops1),0,HLOOKUP(L$68,CF_Table,CF!$AB$18))</f>
        <v>26258.9242454311</v>
      </c>
      <c r="M70" s="648" t="n">
        <f aca="false">IF(M$68&lt;YEAR(Startops1),0,HLOOKUP(M$68,CF_Table,CF!$AB$18))</f>
        <v>26998.838079134</v>
      </c>
      <c r="N70" s="648" t="n">
        <f aca="false">IF(N$68&lt;YEAR(Startops1),0,HLOOKUP(N$68,CF_Table,CF!$AB$18))</f>
        <v>27742.8120987957</v>
      </c>
      <c r="O70" s="648" t="n">
        <f aca="false">IF(O$68&lt;YEAR(Startops1),0,HLOOKUP(O$68,CF_Table,CF!$AB$18))</f>
        <v>28566.9945013695</v>
      </c>
      <c r="P70" s="648" t="n">
        <f aca="false">IF(P$68&lt;YEAR(Startops1),0,HLOOKUP(P$68,CF_Table,CF!$AB$18))</f>
        <v>29243.2225680268</v>
      </c>
      <c r="Q70" s="648" t="n">
        <f aca="false">IF(Q$68&lt;YEAR(Startops1),0,HLOOKUP(Q$68,CF_Table,CF!$AB$18))</f>
        <v>30002.9516491615</v>
      </c>
      <c r="R70" s="648" t="n">
        <f aca="false">IF(R$68&lt;YEAR(Startops1),0,HLOOKUP(R$68,CF_Table,CF!$AB$18))</f>
        <v>30770.8556612069</v>
      </c>
      <c r="S70" s="648" t="n">
        <f aca="false">IF(S$68&lt;YEAR(Startops1),0,HLOOKUP(S$68,CF_Table,CF!$AB$18))</f>
        <v>31634.3559275759</v>
      </c>
      <c r="T70" s="648" t="n">
        <f aca="false">IF(T$68&lt;YEAR(Startops1),0,HLOOKUP(T$68,CF_Table,CF!$AB$18))</f>
        <v>32342.5512297466</v>
      </c>
      <c r="U70" s="648" t="n">
        <f aca="false">IF(U$68&lt;YEAR(Startops1),0,HLOOKUP(U$68,CF_Table,CF!$AB$18))</f>
        <v>33158.1560396562</v>
      </c>
      <c r="V70" s="648" t="n">
        <f aca="false">IF(V$68&lt;YEAR(Startops1),0,HLOOKUP(V$68,CF_Table,CF!$AB$18))</f>
        <v>34004.3898750948</v>
      </c>
      <c r="W70" s="648" t="n">
        <f aca="false">IF(W$68&lt;YEAR(Startops1),0,HLOOKUP(W$68,CF_Table,CF!$AB$18))</f>
        <v>34980.2528180879</v>
      </c>
      <c r="X70" s="648" t="n">
        <f aca="false">IF(X$68&lt;YEAR(Startops1),0,HLOOKUP(X$68,CF_Table,CF!$AB$18))</f>
        <v>35807.9093461755</v>
      </c>
      <c r="Y70" s="648" t="n">
        <f aca="false">IF(Y$68&lt;YEAR(Startops1),0,HLOOKUP(Y$68,CF_Table,CF!$AB$18))</f>
        <v>36770.4041891557</v>
      </c>
      <c r="Z70" s="648" t="n">
        <f aca="false">IF(Z$68&lt;YEAR(Startops1),0,HLOOKUP(Z$68,CF_Table,CF!$AB$18))</f>
        <v>12194.3858015608</v>
      </c>
      <c r="AA70" s="649" t="n">
        <f aca="false">SUM(D70:Z70)</f>
        <v>539201.676419266</v>
      </c>
      <c r="AB70" s="698" t="n">
        <f aca="false">AB69+1</f>
        <v>3</v>
      </c>
    </row>
    <row r="71" customFormat="false" ht="12.75" hidden="false" customHeight="false" outlineLevel="0" collapsed="false">
      <c r="A71" s="109" t="s">
        <v>733</v>
      </c>
      <c r="B71" s="699" t="n">
        <f aca="false">Vat</f>
        <v>0.13</v>
      </c>
      <c r="C71" s="67"/>
      <c r="D71" s="67"/>
      <c r="E71" s="700" t="n">
        <f aca="false">$B71</f>
        <v>0.13</v>
      </c>
      <c r="F71" s="700" t="n">
        <f aca="false">$B71</f>
        <v>0.13</v>
      </c>
      <c r="G71" s="700" t="n">
        <f aca="false">$B71</f>
        <v>0.13</v>
      </c>
      <c r="H71" s="700" t="n">
        <f aca="false">$B71</f>
        <v>0.13</v>
      </c>
      <c r="I71" s="700" t="n">
        <f aca="false">$B71</f>
        <v>0.13</v>
      </c>
      <c r="J71" s="700" t="n">
        <f aca="false">$B71</f>
        <v>0.13</v>
      </c>
      <c r="K71" s="700" t="n">
        <f aca="false">$B71</f>
        <v>0.13</v>
      </c>
      <c r="L71" s="700" t="n">
        <f aca="false">$B71</f>
        <v>0.13</v>
      </c>
      <c r="M71" s="700" t="n">
        <f aca="false">$B71</f>
        <v>0.13</v>
      </c>
      <c r="N71" s="700" t="n">
        <f aca="false">$B71</f>
        <v>0.13</v>
      </c>
      <c r="O71" s="700" t="n">
        <f aca="false">$B71</f>
        <v>0.13</v>
      </c>
      <c r="P71" s="700" t="n">
        <f aca="false">$B71</f>
        <v>0.13</v>
      </c>
      <c r="Q71" s="700" t="n">
        <f aca="false">$B71</f>
        <v>0.13</v>
      </c>
      <c r="R71" s="700" t="n">
        <f aca="false">$B71</f>
        <v>0.13</v>
      </c>
      <c r="S71" s="700" t="n">
        <f aca="false">$B71</f>
        <v>0.13</v>
      </c>
      <c r="T71" s="700" t="n">
        <f aca="false">$B71</f>
        <v>0.13</v>
      </c>
      <c r="U71" s="700" t="n">
        <f aca="false">$B71</f>
        <v>0.13</v>
      </c>
      <c r="V71" s="700" t="n">
        <f aca="false">$B71</f>
        <v>0.13</v>
      </c>
      <c r="W71" s="700" t="n">
        <f aca="false">$B71</f>
        <v>0.13</v>
      </c>
      <c r="X71" s="700" t="n">
        <f aca="false">$B71</f>
        <v>0.13</v>
      </c>
      <c r="Y71" s="700" t="n">
        <f aca="false">$B71</f>
        <v>0.13</v>
      </c>
      <c r="Z71" s="700" t="n">
        <f aca="false">$B71</f>
        <v>0.13</v>
      </c>
      <c r="AA71" s="701"/>
      <c r="AB71" s="698" t="n">
        <f aca="false">AB70+1</f>
        <v>4</v>
      </c>
    </row>
    <row r="72" customFormat="false" ht="12.75" hidden="false" customHeight="false" outlineLevel="0" collapsed="false">
      <c r="A72" s="109" t="s">
        <v>734</v>
      </c>
      <c r="B72" s="702"/>
      <c r="C72" s="67"/>
      <c r="D72" s="67"/>
      <c r="E72" s="648" t="n">
        <f aca="false">E70*E71</f>
        <v>0</v>
      </c>
      <c r="F72" s="648" t="n">
        <f aca="false">F70*F71</f>
        <v>0</v>
      </c>
      <c r="G72" s="648" t="n">
        <f aca="false">G70*G71</f>
        <v>0</v>
      </c>
      <c r="H72" s="648" t="n">
        <f aca="false">H70*H71</f>
        <v>1856.78026771614</v>
      </c>
      <c r="I72" s="648" t="n">
        <f aca="false">I70*I71</f>
        <v>3127.15663139111</v>
      </c>
      <c r="J72" s="648" t="n">
        <f aca="false">J70*J71</f>
        <v>3223.13765972083</v>
      </c>
      <c r="K72" s="648" t="n">
        <f aca="false">K70*K71</f>
        <v>3327.13285175328</v>
      </c>
      <c r="L72" s="648" t="n">
        <f aca="false">L70*L71</f>
        <v>3413.66015190605</v>
      </c>
      <c r="M72" s="648" t="n">
        <f aca="false">M70*M71</f>
        <v>3509.84895028742</v>
      </c>
      <c r="N72" s="648" t="n">
        <f aca="false">N70*N71</f>
        <v>3606.56557284344</v>
      </c>
      <c r="O72" s="648" t="n">
        <f aca="false">O70*O71</f>
        <v>3713.70928517804</v>
      </c>
      <c r="P72" s="648" t="n">
        <f aca="false">P70*P71</f>
        <v>3801.61893384348</v>
      </c>
      <c r="Q72" s="648" t="n">
        <f aca="false">Q70*Q71</f>
        <v>3900.38371439099</v>
      </c>
      <c r="R72" s="648" t="n">
        <f aca="false">R70*R71</f>
        <v>4000.2112359569</v>
      </c>
      <c r="S72" s="648" t="n">
        <f aca="false">S70*S71</f>
        <v>4112.46627058487</v>
      </c>
      <c r="T72" s="648" t="n">
        <f aca="false">T70*T71</f>
        <v>4204.53165986706</v>
      </c>
      <c r="U72" s="648" t="n">
        <f aca="false">U70*U71</f>
        <v>4310.56028515531</v>
      </c>
      <c r="V72" s="648" t="n">
        <f aca="false">V70*V71</f>
        <v>4420.57068376233</v>
      </c>
      <c r="W72" s="648" t="n">
        <f aca="false">W70*W71</f>
        <v>4547.43286635143</v>
      </c>
      <c r="X72" s="648" t="n">
        <f aca="false">X70*X71</f>
        <v>4655.02821500282</v>
      </c>
      <c r="Y72" s="648" t="n">
        <f aca="false">Y70*Y71</f>
        <v>4780.15254459024</v>
      </c>
      <c r="Z72" s="648" t="n">
        <f aca="false">Z70*Z71</f>
        <v>1585.2701542029</v>
      </c>
      <c r="AA72" s="649" t="n">
        <f aca="false">SUM(D72:Z72)</f>
        <v>70096.2179345046</v>
      </c>
      <c r="AB72" s="698" t="n">
        <f aca="false">AB71+1</f>
        <v>5</v>
      </c>
    </row>
    <row r="73" customFormat="false" ht="12.75" hidden="false" customHeight="false" outlineLevel="0" collapsed="false">
      <c r="A73" s="109"/>
      <c r="B73" s="702"/>
      <c r="C73" s="67"/>
      <c r="D73" s="67"/>
      <c r="E73" s="703"/>
      <c r="F73" s="648"/>
      <c r="G73" s="648"/>
      <c r="H73" s="648"/>
      <c r="I73" s="648"/>
      <c r="J73" s="648"/>
      <c r="K73" s="648"/>
      <c r="L73" s="648"/>
      <c r="M73" s="648"/>
      <c r="N73" s="648"/>
      <c r="O73" s="648"/>
      <c r="P73" s="648"/>
      <c r="Q73" s="648"/>
      <c r="R73" s="648"/>
      <c r="S73" s="648"/>
      <c r="T73" s="648"/>
      <c r="U73" s="648"/>
      <c r="V73" s="648"/>
      <c r="W73" s="648"/>
      <c r="X73" s="648"/>
      <c r="Y73" s="648"/>
      <c r="Z73" s="648"/>
      <c r="AA73" s="649"/>
      <c r="AB73" s="698" t="n">
        <f aca="false">AB72+1</f>
        <v>6</v>
      </c>
    </row>
    <row r="74" customFormat="false" ht="12.75" hidden="false" customHeight="false" outlineLevel="0" collapsed="false">
      <c r="A74" s="691" t="s">
        <v>735</v>
      </c>
      <c r="B74" s="67"/>
      <c r="C74" s="67"/>
      <c r="D74" s="67"/>
      <c r="E74" s="648"/>
      <c r="F74" s="648"/>
      <c r="G74" s="648"/>
      <c r="H74" s="648"/>
      <c r="I74" s="648"/>
      <c r="J74" s="648"/>
      <c r="K74" s="648"/>
      <c r="L74" s="648"/>
      <c r="M74" s="648"/>
      <c r="N74" s="648"/>
      <c r="O74" s="648"/>
      <c r="P74" s="648"/>
      <c r="Q74" s="648"/>
      <c r="R74" s="648"/>
      <c r="S74" s="648"/>
      <c r="T74" s="648"/>
      <c r="U74" s="648"/>
      <c r="V74" s="648"/>
      <c r="W74" s="648"/>
      <c r="X74" s="648"/>
      <c r="Y74" s="648"/>
      <c r="Z74" s="648"/>
      <c r="AA74" s="649"/>
      <c r="AB74" s="698" t="n">
        <f aca="false">AB73+1</f>
        <v>7</v>
      </c>
    </row>
    <row r="75" customFormat="false" ht="12.75" hidden="false" customHeight="false" outlineLevel="0" collapsed="false">
      <c r="A75" s="109" t="s">
        <v>736</v>
      </c>
      <c r="B75" s="67"/>
      <c r="C75" s="67"/>
      <c r="D75" s="67"/>
      <c r="E75" s="648" t="n">
        <f aca="false">IF(E$68&lt;YEAR(Startconst),0,-Depr!$D14*HLOOKUP(DATE(E$68,12,31),Idc_Table,IDC!$AP$21)-SUM($D75:D75))</f>
        <v>411.318803025798</v>
      </c>
      <c r="F75" s="648" t="n">
        <f aca="false">IF(F$68&lt;YEAR(Startconst),0,-Depr!$D14*HLOOKUP(DATE(F$68,12,31),Idc_Table,IDC!$AP$21)-SUM($D75:E75))</f>
        <v>2909.98850049122</v>
      </c>
      <c r="G75" s="648" t="n">
        <f aca="false">IF(G$68&lt;YEAR(Startconst),0,-Depr!$D14*HLOOKUP(DATE(G$68,12,31),Idc_Table,IDC!$AP$21)-SUM($D75:F75))</f>
        <v>2537.88607699378</v>
      </c>
      <c r="H75" s="648" t="n">
        <f aca="false">IF(H$68&lt;YEAR(Startconst),0,-Depr!$D14*HLOOKUP(DATE(H$68,12,31),Idc_Table,IDC!$AP$21)-SUM($D75:G75))</f>
        <v>0.0142056960994523</v>
      </c>
      <c r="I75" s="648" t="n">
        <f aca="false">IF(I$68&lt;YEAR(Startconst),0,-Depr!$D14*HLOOKUP(DATE(I$68,12,31),Idc_Table,IDC!$AP$21)-SUM($D75:H75))</f>
        <v>0</v>
      </c>
      <c r="J75" s="648" t="n">
        <f aca="false">IF(J$68&lt;YEAR(Startconst),0,-Depr!$D14*HLOOKUP(DATE(J$68,12,31),Idc_Table,IDC!$AP$21)-SUM($D75:I75))</f>
        <v>0</v>
      </c>
      <c r="K75" s="648" t="n">
        <f aca="false">IF(K$68&lt;YEAR(Startconst),0,-Depr!$D14*HLOOKUP(DATE(K$68,12,31),Idc_Table,IDC!$AP$21)-SUM($D75:J75))</f>
        <v>0</v>
      </c>
      <c r="L75" s="648" t="n">
        <f aca="false">IF(L$68&lt;YEAR(Startconst),0,-Depr!$D14*HLOOKUP(DATE(L$68,12,31),Idc_Table,IDC!$AP$21)-SUM($D75:K75))</f>
        <v>0</v>
      </c>
      <c r="M75" s="648" t="n">
        <f aca="false">IF(M$68&lt;YEAR(Startconst),0,-Depr!$D14*HLOOKUP(DATE(M$68,12,31),Idc_Table,IDC!$AP$21)-SUM($D75:L75))</f>
        <v>0</v>
      </c>
      <c r="N75" s="648" t="n">
        <f aca="false">IF(N$68&lt;YEAR(Startconst),0,-Depr!$D14*HLOOKUP(DATE(N$68,12,31),Idc_Table,IDC!$AP$21)-SUM($D75:M75))</f>
        <v>0</v>
      </c>
      <c r="O75" s="648" t="n">
        <f aca="false">IF(O$68&lt;YEAR(Startconst),0,-Depr!$D14*HLOOKUP(DATE(O$68,12,31),Idc_Table,IDC!$AP$21)-SUM($D75:N75))</f>
        <v>0</v>
      </c>
      <c r="P75" s="648" t="n">
        <f aca="false">IF(P$68&lt;YEAR(Startconst),0,-Depr!$D14*HLOOKUP(DATE(P$68,12,31),Idc_Table,IDC!$AP$21)-SUM($D75:O75))</f>
        <v>0</v>
      </c>
      <c r="Q75" s="648" t="n">
        <f aca="false">IF(Q$68&lt;YEAR(Startconst),0,-Depr!$D14*HLOOKUP(DATE(Q$68,12,31),Idc_Table,IDC!$AP$21)-SUM($D75:P75))</f>
        <v>0</v>
      </c>
      <c r="R75" s="648" t="n">
        <f aca="false">IF(R$68&lt;YEAR(Startconst),0,-Depr!$D14*HLOOKUP(DATE(R$68,12,31),Idc_Table,IDC!$AP$21)-SUM($D75:Q75))</f>
        <v>0</v>
      </c>
      <c r="S75" s="648" t="n">
        <f aca="false">IF(S$68&lt;YEAR(Startconst),0,-Depr!$D14*HLOOKUP(DATE(S$68,12,31),Idc_Table,IDC!$AP$21)-SUM($D75:R75))</f>
        <v>0</v>
      </c>
      <c r="T75" s="648" t="n">
        <f aca="false">IF(T$68&lt;YEAR(Startconst),0,-Depr!$D14*HLOOKUP(DATE(T$68,12,31),Idc_Table,IDC!$AP$21)-SUM($D75:S75))</f>
        <v>0</v>
      </c>
      <c r="U75" s="648" t="n">
        <f aca="false">IF(U$68&lt;YEAR(Startconst),0,-Depr!$D14*HLOOKUP(DATE(U$68,12,31),Idc_Table,IDC!$AP$21)-SUM($D75:T75))</f>
        <v>0</v>
      </c>
      <c r="V75" s="648" t="n">
        <f aca="false">IF(V$68&lt;YEAR(Startconst),0,-Depr!$D14*HLOOKUP(DATE(V$68,12,31),Idc_Table,IDC!$AP$21)-SUM($D75:U75))</f>
        <v>0</v>
      </c>
      <c r="W75" s="648" t="n">
        <f aca="false">IF(W$68&lt;YEAR(Startconst),0,-Depr!$D14*HLOOKUP(DATE(W$68,12,31),Idc_Table,IDC!$AP$21)-SUM($D75:V75))</f>
        <v>0</v>
      </c>
      <c r="X75" s="648" t="n">
        <f aca="false">IF(X$68&lt;YEAR(Startconst),0,-Depr!$D14*HLOOKUP(DATE(X$68,12,31),Idc_Table,IDC!$AP$21)-SUM($D75:W75))</f>
        <v>0</v>
      </c>
      <c r="Y75" s="648" t="n">
        <f aca="false">IF(Y$68&lt;YEAR(Startconst),0,-Depr!$D14*HLOOKUP(DATE(Y$68,12,31),Idc_Table,IDC!$AP$21)-SUM($D75:X75))</f>
        <v>0</v>
      </c>
      <c r="Z75" s="648" t="n">
        <f aca="false">IF(Z$68&lt;YEAR(Startconst),0,-Depr!$D14*HLOOKUP(DATE(Z$68,12,31),Idc_Table,IDC!$AP$21)-SUM($D75:Y75))</f>
        <v>0</v>
      </c>
      <c r="AA75" s="649" t="n">
        <f aca="false">SUM(D75:Z75)</f>
        <v>5859.2075862069</v>
      </c>
      <c r="AB75" s="698" t="n">
        <f aca="false">AB74+1</f>
        <v>8</v>
      </c>
    </row>
    <row r="76" customFormat="false" ht="12.75" hidden="false" customHeight="false" outlineLevel="0" collapsed="false">
      <c r="A76" s="109" t="s">
        <v>737</v>
      </c>
      <c r="B76" s="67"/>
      <c r="C76" s="67"/>
      <c r="D76" s="67"/>
      <c r="E76" s="648" t="n">
        <f aca="false">IF(E$68&lt;YEAR(Startconst),0,-Depr!$D15*HLOOKUP(DATE(E$68,12,31),Idc_Table,IDC!$AP$21)-SUM($D76:D76))</f>
        <v>19.7070945591482</v>
      </c>
      <c r="F76" s="648" t="n">
        <f aca="false">IF(F$68&lt;YEAR(Startconst),0,-Depr!$D15*HLOOKUP(DATE(F$68,12,31),Idc_Table,IDC!$AP$21)-SUM($D76:E76))</f>
        <v>139.423284623381</v>
      </c>
      <c r="G76" s="648" t="n">
        <f aca="false">IF(G$68&lt;YEAR(Startconst),0,-Depr!$D15*HLOOKUP(DATE(G$68,12,31),Idc_Table,IDC!$AP$21)-SUM($D76:F76))</f>
        <v>121.595124102617</v>
      </c>
      <c r="H76" s="648" t="n">
        <f aca="false">IF(H$68&lt;YEAR(Startconst),0,-Depr!$D15*HLOOKUP(DATE(H$68,12,31),Idc_Table,IDC!$AP$21)-SUM($D76:G76))</f>
        <v>0.000680622899437822</v>
      </c>
      <c r="I76" s="648" t="n">
        <f aca="false">IF(I$68&lt;YEAR(Startconst),0,-Depr!$D15*HLOOKUP(DATE(I$68,12,31),Idc_Table,IDC!$AP$21)-SUM($D76:H76))</f>
        <v>0</v>
      </c>
      <c r="J76" s="648" t="n">
        <f aca="false">IF(J$68&lt;YEAR(Startconst),0,-Depr!$D15*HLOOKUP(DATE(J$68,12,31),Idc_Table,IDC!$AP$21)-SUM($D76:I76))</f>
        <v>0</v>
      </c>
      <c r="K76" s="648" t="n">
        <f aca="false">IF(K$68&lt;YEAR(Startconst),0,-Depr!$D15*HLOOKUP(DATE(K$68,12,31),Idc_Table,IDC!$AP$21)-SUM($D76:J76))</f>
        <v>0</v>
      </c>
      <c r="L76" s="648" t="n">
        <f aca="false">IF(L$68&lt;YEAR(Startconst),0,-Depr!$D15*HLOOKUP(DATE(L$68,12,31),Idc_Table,IDC!$AP$21)-SUM($D76:K76))</f>
        <v>0</v>
      </c>
      <c r="M76" s="648" t="n">
        <f aca="false">IF(M$68&lt;YEAR(Startconst),0,-Depr!$D15*HLOOKUP(DATE(M$68,12,31),Idc_Table,IDC!$AP$21)-SUM($D76:L76))</f>
        <v>0</v>
      </c>
      <c r="N76" s="648" t="n">
        <f aca="false">IF(N$68&lt;YEAR(Startconst),0,-Depr!$D15*HLOOKUP(DATE(N$68,12,31),Idc_Table,IDC!$AP$21)-SUM($D76:M76))</f>
        <v>0</v>
      </c>
      <c r="O76" s="648" t="n">
        <f aca="false">IF(O$68&lt;YEAR(Startconst),0,-Depr!$D15*HLOOKUP(DATE(O$68,12,31),Idc_Table,IDC!$AP$21)-SUM($D76:N76))</f>
        <v>0</v>
      </c>
      <c r="P76" s="648" t="n">
        <f aca="false">IF(P$68&lt;YEAR(Startconst),0,-Depr!$D15*HLOOKUP(DATE(P$68,12,31),Idc_Table,IDC!$AP$21)-SUM($D76:O76))</f>
        <v>0</v>
      </c>
      <c r="Q76" s="648" t="n">
        <f aca="false">IF(Q$68&lt;YEAR(Startconst),0,-Depr!$D15*HLOOKUP(DATE(Q$68,12,31),Idc_Table,IDC!$AP$21)-SUM($D76:P76))</f>
        <v>0</v>
      </c>
      <c r="R76" s="648" t="n">
        <f aca="false">IF(R$68&lt;YEAR(Startconst),0,-Depr!$D15*HLOOKUP(DATE(R$68,12,31),Idc_Table,IDC!$AP$21)-SUM($D76:Q76))</f>
        <v>0</v>
      </c>
      <c r="S76" s="648" t="n">
        <f aca="false">IF(S$68&lt;YEAR(Startconst),0,-Depr!$D15*HLOOKUP(DATE(S$68,12,31),Idc_Table,IDC!$AP$21)-SUM($D76:R76))</f>
        <v>0</v>
      </c>
      <c r="T76" s="648" t="n">
        <f aca="false">IF(T$68&lt;YEAR(Startconst),0,-Depr!$D15*HLOOKUP(DATE(T$68,12,31),Idc_Table,IDC!$AP$21)-SUM($D76:S76))</f>
        <v>0</v>
      </c>
      <c r="U76" s="648" t="n">
        <f aca="false">IF(U$68&lt;YEAR(Startconst),0,-Depr!$D15*HLOOKUP(DATE(U$68,12,31),Idc_Table,IDC!$AP$21)-SUM($D76:T76))</f>
        <v>0</v>
      </c>
      <c r="V76" s="648" t="n">
        <f aca="false">IF(V$68&lt;YEAR(Startconst),0,-Depr!$D15*HLOOKUP(DATE(V$68,12,31),Idc_Table,IDC!$AP$21)-SUM($D76:U76))</f>
        <v>0</v>
      </c>
      <c r="W76" s="648" t="n">
        <f aca="false">IF(W$68&lt;YEAR(Startconst),0,-Depr!$D15*HLOOKUP(DATE(W$68,12,31),Idc_Table,IDC!$AP$21)-SUM($D76:V76))</f>
        <v>0</v>
      </c>
      <c r="X76" s="648" t="n">
        <f aca="false">IF(X$68&lt;YEAR(Startconst),0,-Depr!$D15*HLOOKUP(DATE(X$68,12,31),Idc_Table,IDC!$AP$21)-SUM($D76:W76))</f>
        <v>0</v>
      </c>
      <c r="Y76" s="648" t="n">
        <f aca="false">IF(Y$68&lt;YEAR(Startconst),0,-Depr!$D15*HLOOKUP(DATE(Y$68,12,31),Idc_Table,IDC!$AP$21)-SUM($D76:X76))</f>
        <v>0</v>
      </c>
      <c r="Z76" s="648" t="n">
        <f aca="false">IF(Z$68&lt;YEAR(Startconst),0,-Depr!$D15*HLOOKUP(DATE(Z$68,12,31),Idc_Table,IDC!$AP$21)-SUM($D76:Y76))</f>
        <v>0</v>
      </c>
      <c r="AA76" s="649" t="n">
        <f aca="false">SUM(D76:Z76)</f>
        <v>280.726183908046</v>
      </c>
      <c r="AB76" s="698" t="n">
        <f aca="false">AB75+1</f>
        <v>9</v>
      </c>
    </row>
    <row r="77" customFormat="false" ht="12.75" hidden="false" customHeight="false" outlineLevel="0" collapsed="false">
      <c r="A77" s="109" t="s">
        <v>738</v>
      </c>
      <c r="B77" s="67"/>
      <c r="C77" s="67"/>
      <c r="D77" s="67"/>
      <c r="E77" s="650" t="n">
        <f aca="false">IF(E$68&lt;YEAR(Startconst),0,-Depr!$D16*HLOOKUP(DATE(E$68,12,31),Idc_Table,IDC!$AP$21)-SUM($D77:D77))</f>
        <v>394.117178571605</v>
      </c>
      <c r="F77" s="650" t="n">
        <f aca="false">IF(F$68&lt;YEAR(Startconst),0,-Depr!$D16*HLOOKUP(DATE(F$68,12,31),Idc_Table,IDC!$AP$21)-SUM($D77:E77))</f>
        <v>2788.2908562716</v>
      </c>
      <c r="G77" s="650" t="n">
        <f aca="false">IF(G$68&lt;YEAR(Startconst),0,-Depr!$D16*HLOOKUP(DATE(G$68,12,31),Idc_Table,IDC!$AP$21)-SUM($D77:F77))</f>
        <v>2431.75000229253</v>
      </c>
      <c r="H77" s="650" t="n">
        <f aca="false">IF(H$68&lt;YEAR(Startconst),0,-Depr!$D16*HLOOKUP(DATE(H$68,12,31),Idc_Table,IDC!$AP$21)-SUM($D77:G77))</f>
        <v>0.0136116044905066</v>
      </c>
      <c r="I77" s="650" t="n">
        <f aca="false">IF(I$68&lt;YEAR(Startconst),0,-Depr!$D16*HLOOKUP(DATE(I$68,12,31),Idc_Table,IDC!$AP$21)-SUM($D77:H77))</f>
        <v>0</v>
      </c>
      <c r="J77" s="650" t="n">
        <f aca="false">IF(J$68&lt;YEAR(Startconst),0,-Depr!$D16*HLOOKUP(DATE(J$68,12,31),Idc_Table,IDC!$AP$21)-SUM($D77:I77))</f>
        <v>0</v>
      </c>
      <c r="K77" s="650" t="n">
        <f aca="false">IF(K$68&lt;YEAR(Startconst),0,-Depr!$D16*HLOOKUP(DATE(K$68,12,31),Idc_Table,IDC!$AP$21)-SUM($D77:J77))</f>
        <v>0</v>
      </c>
      <c r="L77" s="650" t="n">
        <f aca="false">IF(L$68&lt;YEAR(Startconst),0,-Depr!$D16*HLOOKUP(DATE(L$68,12,31),Idc_Table,IDC!$AP$21)-SUM($D77:K77))</f>
        <v>0</v>
      </c>
      <c r="M77" s="650" t="n">
        <f aca="false">IF(M$68&lt;YEAR(Startconst),0,-Depr!$D16*HLOOKUP(DATE(M$68,12,31),Idc_Table,IDC!$AP$21)-SUM($D77:L77))</f>
        <v>0</v>
      </c>
      <c r="N77" s="650" t="n">
        <f aca="false">IF(N$68&lt;YEAR(Startconst),0,-Depr!$D16*HLOOKUP(DATE(N$68,12,31),Idc_Table,IDC!$AP$21)-SUM($D77:M77))</f>
        <v>0</v>
      </c>
      <c r="O77" s="650" t="n">
        <f aca="false">IF(O$68&lt;YEAR(Startconst),0,-Depr!$D16*HLOOKUP(DATE(O$68,12,31),Idc_Table,IDC!$AP$21)-SUM($D77:N77))</f>
        <v>0</v>
      </c>
      <c r="P77" s="650" t="n">
        <f aca="false">IF(P$68&lt;YEAR(Startconst),0,-Depr!$D16*HLOOKUP(DATE(P$68,12,31),Idc_Table,IDC!$AP$21)-SUM($D77:O77))</f>
        <v>0</v>
      </c>
      <c r="Q77" s="650" t="n">
        <f aca="false">IF(Q$68&lt;YEAR(Startconst),0,-Depr!$D16*HLOOKUP(DATE(Q$68,12,31),Idc_Table,IDC!$AP$21)-SUM($D77:P77))</f>
        <v>0</v>
      </c>
      <c r="R77" s="650" t="n">
        <f aca="false">IF(R$68&lt;YEAR(Startconst),0,-Depr!$D16*HLOOKUP(DATE(R$68,12,31),Idc_Table,IDC!$AP$21)-SUM($D77:Q77))</f>
        <v>0</v>
      </c>
      <c r="S77" s="650" t="n">
        <f aca="false">IF(S$68&lt;YEAR(Startconst),0,-Depr!$D16*HLOOKUP(DATE(S$68,12,31),Idc_Table,IDC!$AP$21)-SUM($D77:R77))</f>
        <v>0</v>
      </c>
      <c r="T77" s="650" t="n">
        <f aca="false">IF(T$68&lt;YEAR(Startconst),0,-Depr!$D16*HLOOKUP(DATE(T$68,12,31),Idc_Table,IDC!$AP$21)-SUM($D77:S77))</f>
        <v>0</v>
      </c>
      <c r="U77" s="650" t="n">
        <f aca="false">IF(U$68&lt;YEAR(Startconst),0,-Depr!$D16*HLOOKUP(DATE(U$68,12,31),Idc_Table,IDC!$AP$21)-SUM($D77:T77))</f>
        <v>0</v>
      </c>
      <c r="V77" s="650" t="n">
        <f aca="false">IF(V$68&lt;YEAR(Startconst),0,-Depr!$D16*HLOOKUP(DATE(V$68,12,31),Idc_Table,IDC!$AP$21)-SUM($D77:U77))</f>
        <v>0</v>
      </c>
      <c r="W77" s="650" t="n">
        <f aca="false">IF(W$68&lt;YEAR(Startconst),0,-Depr!$D16*HLOOKUP(DATE(W$68,12,31),Idc_Table,IDC!$AP$21)-SUM($D77:V77))</f>
        <v>0</v>
      </c>
      <c r="X77" s="650" t="n">
        <f aca="false">IF(X$68&lt;YEAR(Startconst),0,-Depr!$D16*HLOOKUP(DATE(X$68,12,31),Idc_Table,IDC!$AP$21)-SUM($D77:W77))</f>
        <v>0</v>
      </c>
      <c r="Y77" s="650" t="n">
        <f aca="false">IF(Y$68&lt;YEAR(Startconst),0,-Depr!$D16*HLOOKUP(DATE(Y$68,12,31),Idc_Table,IDC!$AP$21)-SUM($D77:X77))</f>
        <v>0</v>
      </c>
      <c r="Z77" s="650" t="n">
        <f aca="false">IF(Z$68&lt;YEAR(Startconst),0,-Depr!$D16*HLOOKUP(DATE(Z$68,12,31),Idc_Table,IDC!$AP$21)-SUM($D77:Y77))</f>
        <v>0</v>
      </c>
      <c r="AA77" s="651" t="n">
        <f aca="false">SUM(D77:Z77)</f>
        <v>5614.17164874023</v>
      </c>
      <c r="AB77" s="698" t="n">
        <f aca="false">AB76+1</f>
        <v>10</v>
      </c>
    </row>
    <row r="78" customFormat="false" ht="12.75" hidden="false" customHeight="false" outlineLevel="0" collapsed="false">
      <c r="A78" s="109" t="s">
        <v>739</v>
      </c>
      <c r="B78" s="67"/>
      <c r="C78" s="67"/>
      <c r="D78" s="67"/>
      <c r="E78" s="648" t="n">
        <f aca="false">SUM(E75:E77)</f>
        <v>825.143076156551</v>
      </c>
      <c r="F78" s="648" t="n">
        <f aca="false">SUM(F75:F77)</f>
        <v>5837.7026413862</v>
      </c>
      <c r="G78" s="648" t="n">
        <f aca="false">SUM(G75:G77)</f>
        <v>5091.23120338893</v>
      </c>
      <c r="H78" s="648" t="n">
        <f aca="false">SUM(H75:H77)</f>
        <v>0.0284979234893967</v>
      </c>
      <c r="I78" s="648" t="n">
        <f aca="false">SUM(I75:I77)</f>
        <v>0</v>
      </c>
      <c r="J78" s="648" t="n">
        <f aca="false">SUM(J75:J77)</f>
        <v>0</v>
      </c>
      <c r="K78" s="648" t="n">
        <f aca="false">SUM(K75:K77)</f>
        <v>0</v>
      </c>
      <c r="L78" s="648" t="n">
        <f aca="false">SUM(L75:L77)</f>
        <v>0</v>
      </c>
      <c r="M78" s="648" t="n">
        <f aca="false">SUM(M75:M77)</f>
        <v>0</v>
      </c>
      <c r="N78" s="648" t="n">
        <f aca="false">SUM(N75:N77)</f>
        <v>0</v>
      </c>
      <c r="O78" s="648" t="n">
        <f aca="false">SUM(O75:O77)</f>
        <v>0</v>
      </c>
      <c r="P78" s="648" t="n">
        <f aca="false">SUM(P75:P77)</f>
        <v>0</v>
      </c>
      <c r="Q78" s="648" t="n">
        <f aca="false">SUM(Q75:Q77)</f>
        <v>0</v>
      </c>
      <c r="R78" s="648" t="n">
        <f aca="false">SUM(R75:R77)</f>
        <v>0</v>
      </c>
      <c r="S78" s="648" t="n">
        <f aca="false">SUM(S75:S77)</f>
        <v>0</v>
      </c>
      <c r="T78" s="648" t="n">
        <f aca="false">SUM(T75:T77)</f>
        <v>0</v>
      </c>
      <c r="U78" s="648" t="n">
        <f aca="false">SUM(U75:U77)</f>
        <v>0</v>
      </c>
      <c r="V78" s="648" t="n">
        <f aca="false">SUM(V75:V77)</f>
        <v>0</v>
      </c>
      <c r="W78" s="648" t="n">
        <f aca="false">SUM(W75:W77)</f>
        <v>0</v>
      </c>
      <c r="X78" s="648" t="n">
        <f aca="false">SUM(X75:X77)</f>
        <v>0</v>
      </c>
      <c r="Y78" s="648" t="n">
        <f aca="false">SUM(Y75:Y77)</f>
        <v>0</v>
      </c>
      <c r="Z78" s="648" t="n">
        <f aca="false">SUM(Z75:Z77)</f>
        <v>0</v>
      </c>
      <c r="AA78" s="649" t="n">
        <f aca="false">SUM(D78:Z78)</f>
        <v>11754.1054188552</v>
      </c>
      <c r="AB78" s="698" t="n">
        <f aca="false">AB77+1</f>
        <v>11</v>
      </c>
    </row>
    <row r="79" customFormat="false" ht="12.75" hidden="false" customHeight="false" outlineLevel="0" collapsed="false">
      <c r="A79" s="109"/>
      <c r="B79" s="702"/>
      <c r="C79" s="67"/>
      <c r="D79" s="67"/>
      <c r="E79" s="703"/>
      <c r="F79" s="648"/>
      <c r="G79" s="648"/>
      <c r="H79" s="648"/>
      <c r="I79" s="648"/>
      <c r="J79" s="648"/>
      <c r="K79" s="648"/>
      <c r="L79" s="648"/>
      <c r="M79" s="648"/>
      <c r="N79" s="648"/>
      <c r="O79" s="648"/>
      <c r="P79" s="648"/>
      <c r="Q79" s="648"/>
      <c r="R79" s="648"/>
      <c r="S79" s="648"/>
      <c r="T79" s="648"/>
      <c r="U79" s="648"/>
      <c r="V79" s="648"/>
      <c r="W79" s="648"/>
      <c r="X79" s="648"/>
      <c r="Y79" s="648"/>
      <c r="Z79" s="648"/>
      <c r="AA79" s="649"/>
      <c r="AB79" s="698" t="n">
        <f aca="false">AB78+1</f>
        <v>12</v>
      </c>
    </row>
    <row r="80" customFormat="false" ht="12.75" hidden="false" customHeight="false" outlineLevel="0" collapsed="false">
      <c r="A80" s="109" t="s">
        <v>740</v>
      </c>
      <c r="B80" s="67"/>
      <c r="C80" s="67"/>
      <c r="D80" s="67"/>
      <c r="E80" s="99" t="n">
        <v>0</v>
      </c>
      <c r="F80" s="648" t="n">
        <f aca="false">E83</f>
        <v>825.143076156551</v>
      </c>
      <c r="G80" s="648" t="n">
        <f aca="false">F83</f>
        <v>6662.84571754275</v>
      </c>
      <c r="H80" s="648" t="n">
        <f aca="false">G83</f>
        <v>11754.0769209317</v>
      </c>
      <c r="I80" s="648" t="n">
        <f aca="false">H83</f>
        <v>9897.32515113903</v>
      </c>
      <c r="J80" s="648" t="n">
        <f aca="false">I83</f>
        <v>6770.16851974792</v>
      </c>
      <c r="K80" s="648" t="n">
        <f aca="false">J83</f>
        <v>3547.03086002708</v>
      </c>
      <c r="L80" s="648" t="n">
        <f aca="false">K83</f>
        <v>219.898008273805</v>
      </c>
      <c r="M80" s="648" t="n">
        <f aca="false">L83</f>
        <v>0</v>
      </c>
      <c r="N80" s="648" t="n">
        <f aca="false">M83</f>
        <v>0</v>
      </c>
      <c r="O80" s="648" t="n">
        <f aca="false">N83</f>
        <v>0</v>
      </c>
      <c r="P80" s="648" t="n">
        <f aca="false">O83</f>
        <v>0</v>
      </c>
      <c r="Q80" s="648" t="n">
        <f aca="false">P83</f>
        <v>0</v>
      </c>
      <c r="R80" s="648" t="n">
        <f aca="false">Q83</f>
        <v>0</v>
      </c>
      <c r="S80" s="648" t="n">
        <f aca="false">R83</f>
        <v>0</v>
      </c>
      <c r="T80" s="648" t="n">
        <f aca="false">S83</f>
        <v>0</v>
      </c>
      <c r="U80" s="648" t="n">
        <f aca="false">T83</f>
        <v>0</v>
      </c>
      <c r="V80" s="648" t="n">
        <f aca="false">U83</f>
        <v>0</v>
      </c>
      <c r="W80" s="648" t="n">
        <f aca="false">V83</f>
        <v>0</v>
      </c>
      <c r="X80" s="648" t="n">
        <f aca="false">W83</f>
        <v>0</v>
      </c>
      <c r="Y80" s="648" t="n">
        <f aca="false">X83</f>
        <v>0</v>
      </c>
      <c r="Z80" s="648" t="n">
        <f aca="false">Y83</f>
        <v>0</v>
      </c>
      <c r="AA80" s="649" t="n">
        <f aca="false">E80</f>
        <v>0</v>
      </c>
      <c r="AB80" s="698" t="n">
        <f aca="false">AB79+1</f>
        <v>13</v>
      </c>
    </row>
    <row r="81" customFormat="false" ht="12.75" hidden="false" customHeight="false" outlineLevel="0" collapsed="false">
      <c r="A81" s="109" t="s">
        <v>741</v>
      </c>
      <c r="B81" s="67"/>
      <c r="C81" s="67"/>
      <c r="D81" s="67"/>
      <c r="E81" s="648" t="n">
        <f aca="false">E78</f>
        <v>825.143076156551</v>
      </c>
      <c r="F81" s="648" t="n">
        <f aca="false">F78</f>
        <v>5837.7026413862</v>
      </c>
      <c r="G81" s="648" t="n">
        <f aca="false">G78</f>
        <v>5091.23120338893</v>
      </c>
      <c r="H81" s="648" t="n">
        <f aca="false">H78</f>
        <v>0.0284979234893967</v>
      </c>
      <c r="I81" s="648" t="n">
        <f aca="false">I78</f>
        <v>0</v>
      </c>
      <c r="J81" s="648" t="n">
        <f aca="false">J78</f>
        <v>0</v>
      </c>
      <c r="K81" s="648" t="n">
        <f aca="false">K78</f>
        <v>0</v>
      </c>
      <c r="L81" s="648" t="n">
        <f aca="false">L78</f>
        <v>0</v>
      </c>
      <c r="M81" s="648" t="n">
        <f aca="false">M78</f>
        <v>0</v>
      </c>
      <c r="N81" s="648" t="n">
        <f aca="false">N78</f>
        <v>0</v>
      </c>
      <c r="O81" s="648" t="n">
        <f aca="false">O78</f>
        <v>0</v>
      </c>
      <c r="P81" s="648" t="n">
        <f aca="false">P78</f>
        <v>0</v>
      </c>
      <c r="Q81" s="648" t="n">
        <f aca="false">Q78</f>
        <v>0</v>
      </c>
      <c r="R81" s="648" t="n">
        <f aca="false">R78</f>
        <v>0</v>
      </c>
      <c r="S81" s="648" t="n">
        <f aca="false">S78</f>
        <v>0</v>
      </c>
      <c r="T81" s="648" t="n">
        <f aca="false">T78</f>
        <v>0</v>
      </c>
      <c r="U81" s="648" t="n">
        <f aca="false">U78</f>
        <v>0</v>
      </c>
      <c r="V81" s="648" t="n">
        <f aca="false">V78</f>
        <v>0</v>
      </c>
      <c r="W81" s="648" t="n">
        <f aca="false">W78</f>
        <v>0</v>
      </c>
      <c r="X81" s="648" t="n">
        <f aca="false">X78</f>
        <v>0</v>
      </c>
      <c r="Y81" s="648" t="n">
        <f aca="false">Y78</f>
        <v>0</v>
      </c>
      <c r="Z81" s="648" t="n">
        <f aca="false">Z78</f>
        <v>0</v>
      </c>
      <c r="AA81" s="649" t="n">
        <f aca="false">SUM(D81:Z81)</f>
        <v>11754.1054188552</v>
      </c>
      <c r="AB81" s="698" t="n">
        <f aca="false">AB80+1</f>
        <v>14</v>
      </c>
    </row>
    <row r="82" customFormat="false" ht="12.75" hidden="false" customHeight="false" outlineLevel="0" collapsed="false">
      <c r="A82" s="109" t="s">
        <v>742</v>
      </c>
      <c r="B82" s="67"/>
      <c r="C82" s="67"/>
      <c r="D82" s="67"/>
      <c r="E82" s="650" t="n">
        <f aca="false">-MIN(E72,SUM(E80:E81))</f>
        <v>-0</v>
      </c>
      <c r="F82" s="650" t="n">
        <f aca="false">-MIN(F72,SUM(F80:F81))</f>
        <v>-0</v>
      </c>
      <c r="G82" s="650" t="n">
        <f aca="false">-MIN(G72,SUM(G80:G81))</f>
        <v>-0</v>
      </c>
      <c r="H82" s="650" t="n">
        <f aca="false">-MIN(H72,SUM(H80:H81))</f>
        <v>-1856.78026771614</v>
      </c>
      <c r="I82" s="650" t="n">
        <f aca="false">-MIN(I72,SUM(I80:I81))</f>
        <v>-3127.15663139111</v>
      </c>
      <c r="J82" s="650" t="n">
        <f aca="false">-MIN(J72,SUM(J80:J81))</f>
        <v>-3223.13765972083</v>
      </c>
      <c r="K82" s="650" t="n">
        <f aca="false">-MIN(K72,SUM(K80:K81))</f>
        <v>-3327.13285175328</v>
      </c>
      <c r="L82" s="650" t="n">
        <f aca="false">-MIN(L72,SUM(L80:L81))</f>
        <v>-219.898008273805</v>
      </c>
      <c r="M82" s="650" t="n">
        <f aca="false">-MIN(M72,SUM(M80:M81))</f>
        <v>-0</v>
      </c>
      <c r="N82" s="650" t="n">
        <f aca="false">-MIN(N72,SUM(N80:N81))</f>
        <v>-0</v>
      </c>
      <c r="O82" s="650" t="n">
        <f aca="false">-MIN(O72,SUM(O80:O81))</f>
        <v>-0</v>
      </c>
      <c r="P82" s="650" t="n">
        <f aca="false">-MIN(P72,SUM(P80:P81))</f>
        <v>-0</v>
      </c>
      <c r="Q82" s="650" t="n">
        <f aca="false">-MIN(Q72,SUM(Q80:Q81))</f>
        <v>-0</v>
      </c>
      <c r="R82" s="650" t="n">
        <f aca="false">-MIN(R72,SUM(R80:R81))</f>
        <v>-0</v>
      </c>
      <c r="S82" s="650" t="n">
        <f aca="false">-MIN(S72,SUM(S80:S81))</f>
        <v>-0</v>
      </c>
      <c r="T82" s="650" t="n">
        <f aca="false">-MIN(T72,SUM(T80:T81))</f>
        <v>-0</v>
      </c>
      <c r="U82" s="650" t="n">
        <f aca="false">-MIN(U72,SUM(U80:U81))</f>
        <v>-0</v>
      </c>
      <c r="V82" s="650" t="n">
        <f aca="false">-MIN(V72,SUM(V80:V81))</f>
        <v>-0</v>
      </c>
      <c r="W82" s="650" t="n">
        <f aca="false">-MIN(W72,SUM(W80:W81))</f>
        <v>-0</v>
      </c>
      <c r="X82" s="650" t="n">
        <f aca="false">-MIN(X72,SUM(X80:X81))</f>
        <v>-0</v>
      </c>
      <c r="Y82" s="650" t="n">
        <f aca="false">-MIN(Y72,SUM(Y80:Y81))</f>
        <v>-0</v>
      </c>
      <c r="Z82" s="650" t="n">
        <f aca="false">-MIN(Z72,SUM(Z80:Z81))</f>
        <v>-0</v>
      </c>
      <c r="AA82" s="651" t="n">
        <f aca="false">SUM(D82:Z82)</f>
        <v>-11754.1054188552</v>
      </c>
      <c r="AB82" s="698" t="n">
        <f aca="false">AB81+1</f>
        <v>15</v>
      </c>
    </row>
    <row r="83" customFormat="false" ht="12.75" hidden="false" customHeight="false" outlineLevel="0" collapsed="false">
      <c r="A83" s="109" t="s">
        <v>660</v>
      </c>
      <c r="B83" s="67"/>
      <c r="C83" s="67"/>
      <c r="D83" s="67"/>
      <c r="E83" s="648" t="n">
        <f aca="false">SUM(E80:E82)</f>
        <v>825.143076156551</v>
      </c>
      <c r="F83" s="648" t="n">
        <f aca="false">SUM(F80:F82)</f>
        <v>6662.84571754275</v>
      </c>
      <c r="G83" s="648" t="n">
        <f aca="false">SUM(G80:G82)</f>
        <v>11754.0769209317</v>
      </c>
      <c r="H83" s="648" t="n">
        <f aca="false">SUM(H80:H82)</f>
        <v>9897.32515113903</v>
      </c>
      <c r="I83" s="648" t="n">
        <f aca="false">SUM(I80:I82)</f>
        <v>6770.16851974792</v>
      </c>
      <c r="J83" s="648" t="n">
        <f aca="false">SUM(J80:J82)</f>
        <v>3547.03086002708</v>
      </c>
      <c r="K83" s="648" t="n">
        <f aca="false">SUM(K80:K82)</f>
        <v>219.898008273805</v>
      </c>
      <c r="L83" s="648" t="n">
        <f aca="false">SUM(L80:L82)</f>
        <v>0</v>
      </c>
      <c r="M83" s="648" t="n">
        <f aca="false">SUM(M80:M82)</f>
        <v>0</v>
      </c>
      <c r="N83" s="648" t="n">
        <f aca="false">SUM(N80:N82)</f>
        <v>0</v>
      </c>
      <c r="O83" s="648" t="n">
        <f aca="false">SUM(O80:O82)</f>
        <v>0</v>
      </c>
      <c r="P83" s="648" t="n">
        <f aca="false">SUM(P80:P82)</f>
        <v>0</v>
      </c>
      <c r="Q83" s="648" t="n">
        <f aca="false">SUM(Q80:Q82)</f>
        <v>0</v>
      </c>
      <c r="R83" s="648" t="n">
        <f aca="false">SUM(R80:R82)</f>
        <v>0</v>
      </c>
      <c r="S83" s="648" t="n">
        <f aca="false">SUM(S80:S82)</f>
        <v>0</v>
      </c>
      <c r="T83" s="648" t="n">
        <f aca="false">SUM(T80:T82)</f>
        <v>0</v>
      </c>
      <c r="U83" s="648" t="n">
        <f aca="false">SUM(U80:U82)</f>
        <v>0</v>
      </c>
      <c r="V83" s="648" t="n">
        <f aca="false">SUM(V80:V82)</f>
        <v>0</v>
      </c>
      <c r="W83" s="648" t="n">
        <f aca="false">SUM(W80:W82)</f>
        <v>0</v>
      </c>
      <c r="X83" s="648" t="n">
        <f aca="false">SUM(X80:X82)</f>
        <v>0</v>
      </c>
      <c r="Y83" s="648" t="n">
        <f aca="false">SUM(Y80:Y82)</f>
        <v>0</v>
      </c>
      <c r="Z83" s="648" t="n">
        <f aca="false">SUM(Z80:Z82)</f>
        <v>0</v>
      </c>
      <c r="AA83" s="649" t="n">
        <f aca="false">SUM(AA80:AA82)</f>
        <v>0</v>
      </c>
      <c r="AB83" s="698" t="n">
        <f aca="false">AB82+1</f>
        <v>16</v>
      </c>
    </row>
    <row r="84" customFormat="false" ht="12.75" hidden="false" customHeight="false" outlineLevel="0" collapsed="false">
      <c r="A84" s="109"/>
      <c r="B84" s="67"/>
      <c r="C84" s="67"/>
      <c r="D84" s="67"/>
      <c r="E84" s="648"/>
      <c r="F84" s="648"/>
      <c r="G84" s="648"/>
      <c r="H84" s="648"/>
      <c r="I84" s="648"/>
      <c r="J84" s="648"/>
      <c r="K84" s="648"/>
      <c r="L84" s="648"/>
      <c r="M84" s="648"/>
      <c r="N84" s="648"/>
      <c r="O84" s="648"/>
      <c r="P84" s="648"/>
      <c r="Q84" s="648"/>
      <c r="R84" s="648"/>
      <c r="S84" s="648"/>
      <c r="T84" s="648"/>
      <c r="U84" s="648"/>
      <c r="V84" s="648"/>
      <c r="W84" s="648"/>
      <c r="X84" s="648"/>
      <c r="Y84" s="648"/>
      <c r="Z84" s="648"/>
      <c r="AA84" s="649"/>
      <c r="AB84" s="698" t="n">
        <f aca="false">AB83+1</f>
        <v>17</v>
      </c>
    </row>
    <row r="85" customFormat="false" ht="12.75" hidden="false" customHeight="false" outlineLevel="0" collapsed="false">
      <c r="A85" s="109" t="s">
        <v>743</v>
      </c>
      <c r="B85" s="67"/>
      <c r="C85" s="67"/>
      <c r="D85" s="67"/>
      <c r="E85" s="648" t="n">
        <f aca="false">-E82</f>
        <v>0</v>
      </c>
      <c r="F85" s="648" t="n">
        <f aca="false">-F82</f>
        <v>0</v>
      </c>
      <c r="G85" s="648" t="n">
        <f aca="false">-G82</f>
        <v>0</v>
      </c>
      <c r="H85" s="648" t="n">
        <f aca="false">-H82</f>
        <v>1856.78026771614</v>
      </c>
      <c r="I85" s="648" t="n">
        <f aca="false">-I82</f>
        <v>3127.15663139111</v>
      </c>
      <c r="J85" s="648" t="n">
        <f aca="false">-J82</f>
        <v>3223.13765972083</v>
      </c>
      <c r="K85" s="648" t="n">
        <f aca="false">-K82</f>
        <v>3327.13285175328</v>
      </c>
      <c r="L85" s="648" t="n">
        <f aca="false">-L82</f>
        <v>219.898008273805</v>
      </c>
      <c r="M85" s="648" t="n">
        <f aca="false">-M82</f>
        <v>0</v>
      </c>
      <c r="N85" s="648" t="n">
        <f aca="false">-N82</f>
        <v>0</v>
      </c>
      <c r="O85" s="648" t="n">
        <f aca="false">-O82</f>
        <v>0</v>
      </c>
      <c r="P85" s="648" t="n">
        <f aca="false">-P82</f>
        <v>0</v>
      </c>
      <c r="Q85" s="648" t="n">
        <f aca="false">-Q82</f>
        <v>0</v>
      </c>
      <c r="R85" s="648" t="n">
        <f aca="false">-R82</f>
        <v>0</v>
      </c>
      <c r="S85" s="648" t="n">
        <f aca="false">-S82</f>
        <v>0</v>
      </c>
      <c r="T85" s="648" t="n">
        <f aca="false">-T82</f>
        <v>0</v>
      </c>
      <c r="U85" s="648" t="n">
        <f aca="false">-U82</f>
        <v>0</v>
      </c>
      <c r="V85" s="648" t="n">
        <f aca="false">-V82</f>
        <v>0</v>
      </c>
      <c r="W85" s="648" t="n">
        <f aca="false">-W82</f>
        <v>0</v>
      </c>
      <c r="X85" s="648" t="n">
        <f aca="false">-X82</f>
        <v>0</v>
      </c>
      <c r="Y85" s="648" t="n">
        <f aca="false">-Y82</f>
        <v>0</v>
      </c>
      <c r="Z85" s="648" t="n">
        <f aca="false">-Z82</f>
        <v>0</v>
      </c>
      <c r="AA85" s="649" t="n">
        <f aca="false">SUM(D85:Z85)</f>
        <v>11754.1054188552</v>
      </c>
      <c r="AB85" s="698" t="n">
        <f aca="false">AB84+1</f>
        <v>18</v>
      </c>
    </row>
    <row r="86" customFormat="false" ht="12.75" hidden="false" customHeight="false" outlineLevel="0" collapsed="false">
      <c r="A86" s="109" t="s">
        <v>744</v>
      </c>
      <c r="B86" s="67"/>
      <c r="C86" s="674" t="n">
        <f aca="false">Assm!$J$34</f>
        <v>0.02</v>
      </c>
      <c r="D86" s="67"/>
      <c r="E86" s="650" t="n">
        <f aca="false">-E85*$C86</f>
        <v>-0</v>
      </c>
      <c r="F86" s="650" t="n">
        <f aca="false">-F85*$C86</f>
        <v>-0</v>
      </c>
      <c r="G86" s="650" t="n">
        <f aca="false">-G85*$C86</f>
        <v>-0</v>
      </c>
      <c r="H86" s="650" t="n">
        <f aca="false">-H85*$C86</f>
        <v>-37.1356053543229</v>
      </c>
      <c r="I86" s="650" t="n">
        <f aca="false">-I85*$C86</f>
        <v>-62.5431326278223</v>
      </c>
      <c r="J86" s="650" t="n">
        <f aca="false">-J85*$C86</f>
        <v>-64.4627531944167</v>
      </c>
      <c r="K86" s="650" t="n">
        <f aca="false">-K85*$C86</f>
        <v>-66.5426570350656</v>
      </c>
      <c r="L86" s="650" t="n">
        <f aca="false">-L85*$C86</f>
        <v>-4.3979601654761</v>
      </c>
      <c r="M86" s="650" t="n">
        <f aca="false">-M85*$C86</f>
        <v>-0</v>
      </c>
      <c r="N86" s="650" t="n">
        <f aca="false">-N85*$C86</f>
        <v>-0</v>
      </c>
      <c r="O86" s="650" t="n">
        <f aca="false">-O85*$C86</f>
        <v>-0</v>
      </c>
      <c r="P86" s="650" t="n">
        <f aca="false">-P85*$C86</f>
        <v>-0</v>
      </c>
      <c r="Q86" s="650" t="n">
        <f aca="false">-Q85*$C86</f>
        <v>-0</v>
      </c>
      <c r="R86" s="650" t="n">
        <f aca="false">-R85*$C86</f>
        <v>-0</v>
      </c>
      <c r="S86" s="650" t="n">
        <f aca="false">-S85*$C86</f>
        <v>-0</v>
      </c>
      <c r="T86" s="650" t="n">
        <f aca="false">-T85*$C86</f>
        <v>-0</v>
      </c>
      <c r="U86" s="650" t="n">
        <f aca="false">-U85*$C86</f>
        <v>-0</v>
      </c>
      <c r="V86" s="650" t="n">
        <f aca="false">-V85*$C86</f>
        <v>-0</v>
      </c>
      <c r="W86" s="650" t="n">
        <f aca="false">-W85*$C86</f>
        <v>-0</v>
      </c>
      <c r="X86" s="650" t="n">
        <f aca="false">-X85*$C86</f>
        <v>-0</v>
      </c>
      <c r="Y86" s="650" t="n">
        <f aca="false">-Y85*$C86</f>
        <v>-0</v>
      </c>
      <c r="Z86" s="650" t="n">
        <f aca="false">-Z85*$C86</f>
        <v>-0</v>
      </c>
      <c r="AA86" s="651" t="n">
        <f aca="false">SUM(D86:Z86)</f>
        <v>-235.082108377103</v>
      </c>
      <c r="AB86" s="698" t="n">
        <f aca="false">AB85+1</f>
        <v>19</v>
      </c>
    </row>
    <row r="87" customFormat="false" ht="13.5" hidden="false" customHeight="false" outlineLevel="0" collapsed="false">
      <c r="A87" s="428" t="s">
        <v>745</v>
      </c>
      <c r="B87" s="429"/>
      <c r="C87" s="429"/>
      <c r="D87" s="429"/>
      <c r="E87" s="704" t="n">
        <f aca="false">SUM(E85:E86)</f>
        <v>0</v>
      </c>
      <c r="F87" s="704" t="n">
        <f aca="false">SUM(F85:F86)</f>
        <v>0</v>
      </c>
      <c r="G87" s="704" t="n">
        <f aca="false">SUM(G85:G86)</f>
        <v>0</v>
      </c>
      <c r="H87" s="704" t="n">
        <f aca="false">SUM(H85:H86)</f>
        <v>1819.64466236182</v>
      </c>
      <c r="I87" s="704" t="n">
        <f aca="false">SUM(I85:I86)</f>
        <v>3064.61349876329</v>
      </c>
      <c r="J87" s="704" t="n">
        <f aca="false">SUM(J85:J86)</f>
        <v>3158.67490652642</v>
      </c>
      <c r="K87" s="704" t="n">
        <f aca="false">SUM(K85:K86)</f>
        <v>3260.59019471821</v>
      </c>
      <c r="L87" s="704" t="n">
        <f aca="false">SUM(L85:L86)</f>
        <v>215.500048108329</v>
      </c>
      <c r="M87" s="704" t="n">
        <f aca="false">SUM(M85:M86)</f>
        <v>0</v>
      </c>
      <c r="N87" s="704" t="n">
        <f aca="false">SUM(N85:N86)</f>
        <v>0</v>
      </c>
      <c r="O87" s="704" t="n">
        <f aca="false">SUM(O85:O86)</f>
        <v>0</v>
      </c>
      <c r="P87" s="704" t="n">
        <f aca="false">SUM(P85:P86)</f>
        <v>0</v>
      </c>
      <c r="Q87" s="704" t="n">
        <f aca="false">SUM(Q85:Q86)</f>
        <v>0</v>
      </c>
      <c r="R87" s="704" t="n">
        <f aca="false">SUM(R85:R86)</f>
        <v>0</v>
      </c>
      <c r="S87" s="704" t="n">
        <f aca="false">SUM(S85:S86)</f>
        <v>0</v>
      </c>
      <c r="T87" s="704" t="n">
        <f aca="false">SUM(T85:T86)</f>
        <v>0</v>
      </c>
      <c r="U87" s="704" t="n">
        <f aca="false">SUM(U85:U86)</f>
        <v>0</v>
      </c>
      <c r="V87" s="704" t="n">
        <f aca="false">SUM(V85:V86)</f>
        <v>0</v>
      </c>
      <c r="W87" s="704" t="n">
        <f aca="false">SUM(W85:W86)</f>
        <v>0</v>
      </c>
      <c r="X87" s="704" t="n">
        <f aca="false">SUM(X85:X86)</f>
        <v>0</v>
      </c>
      <c r="Y87" s="704" t="n">
        <f aca="false">SUM(Y85:Y86)</f>
        <v>0</v>
      </c>
      <c r="Z87" s="704" t="n">
        <f aca="false">SUM(Z85:Z86)</f>
        <v>0</v>
      </c>
      <c r="AA87" s="705" t="n">
        <f aca="false">SUM(D87:Z87)</f>
        <v>11519.0233104781</v>
      </c>
      <c r="AB87" s="698" t="n">
        <f aca="false">AB86+1</f>
        <v>20</v>
      </c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D60" activeCellId="0" sqref="D6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2.85"/>
    <col collapsed="false" customWidth="true" hidden="false" outlineLevel="0" max="4" min="2" style="1" width="12.7"/>
    <col collapsed="false" customWidth="true" hidden="false" outlineLevel="0" max="5" min="5" style="1" width="3.7"/>
    <col collapsed="false" customWidth="true" hidden="false" outlineLevel="0" max="6" min="6" style="1" width="1.7"/>
    <col collapsed="false" customWidth="true" hidden="false" outlineLevel="0" max="7" min="7" style="39" width="33.7"/>
    <col collapsed="false" customWidth="true" hidden="false" outlineLevel="0" max="8" min="8" style="576" width="12.7"/>
    <col collapsed="false" customWidth="true" hidden="false" outlineLevel="0" max="11" min="9" style="1" width="12.7"/>
    <col collapsed="false" customWidth="false" hidden="false" outlineLevel="0" max="257" min="12" style="1" width="9.14"/>
  </cols>
  <sheetData>
    <row r="1" customFormat="false" ht="15.75" hidden="false" customHeight="false" outlineLevel="0" collapsed="false">
      <c r="A1" s="14" t="str">
        <f aca="false">Assm!A1</f>
        <v>GAS ORIENTE BOLIVIANO S.A. (GASBOL) *** DRAFT COPY ***</v>
      </c>
      <c r="B1" s="14"/>
      <c r="C1" s="283"/>
      <c r="D1" s="283"/>
      <c r="E1" s="283"/>
      <c r="F1" s="15"/>
      <c r="J1" s="23"/>
      <c r="R1" s="17"/>
    </row>
    <row r="2" customFormat="false" ht="15.75" hidden="false" customHeight="false" outlineLevel="0" collapsed="false">
      <c r="A2" s="14" t="str">
        <f aca="false">Assm!A2</f>
        <v>369 KM PIPELINE SPUR FOR CUIABA POWER PLANT (BOLIVIA)</v>
      </c>
      <c r="B2" s="14"/>
      <c r="C2" s="283"/>
      <c r="D2" s="283"/>
      <c r="E2" s="283"/>
      <c r="F2" s="15"/>
      <c r="J2" s="23"/>
      <c r="R2" s="17"/>
    </row>
    <row r="3" customFormat="false" ht="15.75" hidden="false" customHeight="false" outlineLevel="0" collapsed="false">
      <c r="A3" s="18" t="str">
        <f aca="false">Assm!A3</f>
        <v>ENRON INTERNATIONAL</v>
      </c>
      <c r="B3" s="18"/>
      <c r="C3" s="18"/>
      <c r="D3" s="18"/>
      <c r="E3" s="18"/>
      <c r="F3" s="15"/>
      <c r="J3" s="23"/>
      <c r="S3" s="20"/>
      <c r="T3" s="20"/>
    </row>
    <row r="4" customFormat="false" ht="15.75" hidden="false" customHeight="false" outlineLevel="0" collapsed="false">
      <c r="A4" s="21" t="s">
        <v>746</v>
      </c>
      <c r="B4" s="21"/>
      <c r="C4" s="21"/>
      <c r="D4" s="21"/>
      <c r="E4" s="21"/>
      <c r="F4" s="15"/>
      <c r="J4" s="23"/>
    </row>
    <row r="5" customFormat="false" ht="13.5" hidden="false" customHeight="false" outlineLevel="0" collapsed="false"/>
    <row r="6" customFormat="false" ht="12.75" hidden="false" customHeight="false" outlineLevel="0" collapsed="false">
      <c r="A6" s="580" t="s">
        <v>747</v>
      </c>
      <c r="B6" s="25"/>
      <c r="C6" s="706"/>
      <c r="D6" s="707"/>
      <c r="F6" s="458" t="s">
        <v>748</v>
      </c>
      <c r="G6" s="577"/>
      <c r="H6" s="577"/>
      <c r="I6" s="577"/>
      <c r="J6" s="577"/>
      <c r="K6" s="28"/>
    </row>
    <row r="7" customFormat="false" ht="12.75" hidden="false" customHeight="false" outlineLevel="0" collapsed="false">
      <c r="A7" s="186"/>
      <c r="B7" s="177"/>
      <c r="C7" s="708" t="s">
        <v>749</v>
      </c>
      <c r="D7" s="709" t="s">
        <v>749</v>
      </c>
      <c r="F7" s="460"/>
      <c r="G7" s="47"/>
      <c r="H7" s="710"/>
      <c r="I7" s="710"/>
      <c r="J7" s="710"/>
      <c r="K7" s="711"/>
    </row>
    <row r="8" customFormat="false" ht="12.75" hidden="false" customHeight="false" outlineLevel="0" collapsed="false">
      <c r="A8" s="186"/>
      <c r="B8" s="177"/>
      <c r="C8" s="712" t="s">
        <v>750</v>
      </c>
      <c r="D8" s="713" t="s">
        <v>751</v>
      </c>
      <c r="F8" s="97" t="s">
        <v>737</v>
      </c>
      <c r="H8" s="714" t="s">
        <v>752</v>
      </c>
      <c r="I8" s="714" t="s">
        <v>753</v>
      </c>
      <c r="J8" s="714" t="s">
        <v>754</v>
      </c>
      <c r="K8" s="715" t="s">
        <v>755</v>
      </c>
    </row>
    <row r="9" customFormat="false" ht="12.75" hidden="false" customHeight="false" outlineLevel="0" collapsed="false">
      <c r="A9" s="37" t="s">
        <v>756</v>
      </c>
      <c r="B9" s="39"/>
      <c r="C9" s="99" t="n">
        <v>1396.999</v>
      </c>
      <c r="D9" s="71" t="n">
        <v>1396.999</v>
      </c>
      <c r="F9" s="37" t="s">
        <v>757</v>
      </c>
      <c r="H9" s="716" t="n">
        <f aca="false">Assm!$J$16</f>
        <v>0.149425287356322</v>
      </c>
      <c r="I9" s="717" t="n">
        <v>0</v>
      </c>
      <c r="J9" s="176" t="n">
        <f aca="false">D13</f>
        <v>39211.62</v>
      </c>
      <c r="K9" s="275" t="n">
        <f aca="false">J9*I9*H9</f>
        <v>0</v>
      </c>
    </row>
    <row r="10" customFormat="false" ht="12.75" hidden="false" customHeight="false" outlineLevel="0" collapsed="false">
      <c r="A10" s="37" t="s">
        <v>758</v>
      </c>
      <c r="B10" s="39"/>
      <c r="C10" s="99" t="n">
        <v>1625.069</v>
      </c>
      <c r="D10" s="71" t="n">
        <v>1625.069</v>
      </c>
      <c r="F10" s="37" t="s">
        <v>759</v>
      </c>
      <c r="H10" s="716" t="n">
        <f aca="false">Assm!$J$16</f>
        <v>0.149425287356322</v>
      </c>
      <c r="I10" s="717" t="n">
        <v>1</v>
      </c>
      <c r="J10" s="176" t="n">
        <f aca="false">D14</f>
        <v>94.758</v>
      </c>
      <c r="K10" s="275" t="n">
        <f aca="false">J10*I10*H10</f>
        <v>14.1592413793103</v>
      </c>
    </row>
    <row r="11" customFormat="false" ht="12.75" hidden="false" customHeight="false" outlineLevel="0" collapsed="false">
      <c r="A11" s="37" t="s">
        <v>760</v>
      </c>
      <c r="B11" s="39"/>
      <c r="C11" s="99" t="n">
        <v>32090.624</v>
      </c>
      <c r="D11" s="71" t="n">
        <v>32090.624</v>
      </c>
      <c r="F11" s="37" t="s">
        <v>761</v>
      </c>
      <c r="H11" s="716" t="n">
        <f aca="false">Assm!$J$16</f>
        <v>0.149425287356322</v>
      </c>
      <c r="I11" s="717" t="n">
        <v>1</v>
      </c>
      <c r="J11" s="176" t="n">
        <f aca="false">D15</f>
        <v>712.037</v>
      </c>
      <c r="K11" s="275" t="n">
        <f aca="false">J11*I11*H11</f>
        <v>106.396333333333</v>
      </c>
    </row>
    <row r="12" customFormat="false" ht="12.75" hidden="false" customHeight="false" outlineLevel="0" collapsed="false">
      <c r="A12" s="37" t="s">
        <v>762</v>
      </c>
      <c r="B12" s="39"/>
      <c r="C12" s="99" t="n">
        <v>1782.225</v>
      </c>
      <c r="D12" s="71" t="n">
        <v>1782.225</v>
      </c>
      <c r="F12" s="37" t="s">
        <v>763</v>
      </c>
      <c r="H12" s="716" t="n">
        <f aca="false">Assm!$J$16</f>
        <v>0.149425287356322</v>
      </c>
      <c r="I12" s="717" t="n">
        <v>1</v>
      </c>
      <c r="J12" s="176" t="n">
        <f aca="false">D16</f>
        <v>1063.505</v>
      </c>
      <c r="K12" s="275" t="n">
        <f aca="false">J12*I12*H12</f>
        <v>158.914540229885</v>
      </c>
    </row>
    <row r="13" customFormat="false" ht="12.75" hidden="false" customHeight="false" outlineLevel="0" collapsed="false">
      <c r="A13" s="37" t="s">
        <v>764</v>
      </c>
      <c r="B13" s="39"/>
      <c r="C13" s="99" t="n">
        <v>39211.62</v>
      </c>
      <c r="D13" s="71" t="n">
        <v>39211.62</v>
      </c>
      <c r="F13" s="37" t="s">
        <v>765</v>
      </c>
      <c r="H13" s="716" t="n">
        <f aca="false">Assm!$J$16</f>
        <v>0.149425287356322</v>
      </c>
      <c r="I13" s="717" t="n">
        <v>1</v>
      </c>
      <c r="J13" s="176" t="n">
        <f aca="false">D17</f>
        <v>8.406</v>
      </c>
      <c r="K13" s="718" t="n">
        <f aca="false">J13*I13*H13</f>
        <v>1.25606896551724</v>
      </c>
    </row>
    <row r="14" customFormat="false" ht="12.75" hidden="false" customHeight="false" outlineLevel="0" collapsed="false">
      <c r="A14" s="37" t="s">
        <v>759</v>
      </c>
      <c r="B14" s="39"/>
      <c r="C14" s="99" t="n">
        <v>94.758</v>
      </c>
      <c r="D14" s="71" t="n">
        <v>94.758</v>
      </c>
      <c r="F14" s="37"/>
      <c r="G14" s="38" t="s">
        <v>766</v>
      </c>
      <c r="H14" s="47"/>
      <c r="I14" s="47"/>
      <c r="J14" s="176"/>
      <c r="K14" s="719" t="n">
        <f aca="false">SUM(K9:K13)</f>
        <v>280.726183908046</v>
      </c>
    </row>
    <row r="15" customFormat="false" ht="12.75" hidden="false" customHeight="false" outlineLevel="0" collapsed="false">
      <c r="A15" s="37" t="s">
        <v>761</v>
      </c>
      <c r="B15" s="39"/>
      <c r="C15" s="99" t="n">
        <v>712.037</v>
      </c>
      <c r="D15" s="71" t="n">
        <v>712.037</v>
      </c>
      <c r="F15" s="37"/>
      <c r="H15" s="47"/>
      <c r="I15" s="39"/>
      <c r="J15" s="39"/>
      <c r="K15" s="44"/>
    </row>
    <row r="16" customFormat="false" ht="12.75" hidden="false" customHeight="false" outlineLevel="0" collapsed="false">
      <c r="A16" s="37" t="s">
        <v>763</v>
      </c>
      <c r="B16" s="39"/>
      <c r="C16" s="99" t="n">
        <v>1063.505</v>
      </c>
      <c r="D16" s="71" t="n">
        <v>1063.505</v>
      </c>
      <c r="F16" s="97" t="s">
        <v>767</v>
      </c>
      <c r="H16" s="47"/>
      <c r="I16" s="39"/>
      <c r="J16" s="61"/>
      <c r="K16" s="64"/>
    </row>
    <row r="17" customFormat="false" ht="12.75" hidden="false" customHeight="false" outlineLevel="0" collapsed="false">
      <c r="A17" s="37" t="s">
        <v>765</v>
      </c>
      <c r="B17" s="39"/>
      <c r="C17" s="99" t="n">
        <v>8.406</v>
      </c>
      <c r="D17" s="71" t="n">
        <v>8.406</v>
      </c>
      <c r="F17" s="37" t="s">
        <v>768</v>
      </c>
      <c r="H17" s="716" t="n">
        <f aca="false">Assm!$J$16</f>
        <v>0.149425287356322</v>
      </c>
      <c r="I17" s="720" t="n">
        <v>1</v>
      </c>
      <c r="J17" s="61" t="n">
        <f aca="false">$D$11</f>
        <v>32090.624</v>
      </c>
      <c r="K17" s="275" t="n">
        <f aca="false">J17*I17*H17</f>
        <v>4795.15071264368</v>
      </c>
    </row>
    <row r="18" customFormat="false" ht="12.75" hidden="false" customHeight="false" outlineLevel="0" collapsed="false">
      <c r="A18" s="37" t="s">
        <v>769</v>
      </c>
      <c r="B18" s="39"/>
      <c r="C18" s="435" t="n">
        <v>6230.662</v>
      </c>
      <c r="D18" s="112" t="n">
        <v>6230.662</v>
      </c>
      <c r="F18" s="37" t="s">
        <v>770</v>
      </c>
      <c r="H18" s="716" t="n">
        <f aca="false">Assm!$J$16</f>
        <v>0.149425287356322</v>
      </c>
      <c r="I18" s="720" t="n">
        <v>1</v>
      </c>
      <c r="J18" s="61" t="n">
        <f aca="false">$D$12</f>
        <v>1782.225</v>
      </c>
      <c r="K18" s="275" t="n">
        <f aca="false">J18*I18*H18</f>
        <v>266.309482758621</v>
      </c>
    </row>
    <row r="19" customFormat="false" ht="12.75" hidden="false" customHeight="false" outlineLevel="0" collapsed="false">
      <c r="A19" s="37" t="s">
        <v>771</v>
      </c>
      <c r="B19" s="39"/>
      <c r="C19" s="61" t="n">
        <f aca="false">SUM(C9:C18)</f>
        <v>84215.905</v>
      </c>
      <c r="D19" s="64" t="n">
        <f aca="false">SUM(D9:D18)</f>
        <v>84215.905</v>
      </c>
      <c r="F19" s="37" t="s">
        <v>772</v>
      </c>
      <c r="H19" s="716" t="n">
        <f aca="false">Assm!$J$16</f>
        <v>0.149425287356322</v>
      </c>
      <c r="I19" s="720" t="n">
        <v>1</v>
      </c>
      <c r="J19" s="61" t="n">
        <f aca="false">K39</f>
        <v>3698.9151108</v>
      </c>
      <c r="K19" s="718" t="n">
        <f aca="false">J19*I19*H19</f>
        <v>552.711453337931</v>
      </c>
    </row>
    <row r="20" customFormat="false" ht="12.75" hidden="false" customHeight="false" outlineLevel="0" collapsed="false">
      <c r="A20" s="37" t="s">
        <v>773</v>
      </c>
      <c r="B20" s="39"/>
      <c r="C20" s="435" t="n">
        <f aca="false">7949.17+833.953</f>
        <v>8783.123</v>
      </c>
      <c r="D20" s="77" t="n">
        <f aca="false">K41</f>
        <v>9593.81294344828</v>
      </c>
      <c r="F20" s="37"/>
      <c r="G20" s="38" t="s">
        <v>774</v>
      </c>
      <c r="H20" s="716"/>
      <c r="I20" s="716"/>
      <c r="J20" s="61"/>
      <c r="K20" s="721" t="n">
        <f aca="false">SUM(K17:K19)</f>
        <v>5614.17164874023</v>
      </c>
    </row>
    <row r="21" customFormat="false" ht="13.5" hidden="false" customHeight="false" outlineLevel="0" collapsed="false">
      <c r="A21" s="179" t="s">
        <v>775</v>
      </c>
      <c r="B21" s="50"/>
      <c r="C21" s="722" t="n">
        <f aca="false">SUM(C19:C20)</f>
        <v>92999.028</v>
      </c>
      <c r="D21" s="723" t="n">
        <f aca="false">SUM(D19:D20)</f>
        <v>93809.7179434483</v>
      </c>
      <c r="F21" s="37"/>
      <c r="H21" s="716"/>
      <c r="I21" s="716"/>
      <c r="J21" s="39"/>
      <c r="K21" s="44"/>
    </row>
    <row r="22" customFormat="false" ht="13.5" hidden="false" customHeight="false" outlineLevel="0" collapsed="false">
      <c r="F22" s="97" t="s">
        <v>776</v>
      </c>
      <c r="H22" s="47"/>
      <c r="I22" s="39"/>
      <c r="J22" s="61"/>
      <c r="K22" s="64"/>
    </row>
    <row r="23" customFormat="false" ht="12.75" hidden="false" customHeight="false" outlineLevel="0" collapsed="false">
      <c r="A23" s="580" t="s">
        <v>777</v>
      </c>
      <c r="B23" s="25"/>
      <c r="C23" s="706"/>
      <c r="D23" s="707"/>
      <c r="F23" s="724" t="s">
        <v>778</v>
      </c>
      <c r="H23" s="47"/>
      <c r="I23" s="39"/>
      <c r="J23" s="61"/>
      <c r="K23" s="64"/>
    </row>
    <row r="24" customFormat="false" ht="12.75" hidden="false" customHeight="false" outlineLevel="0" collapsed="false">
      <c r="A24" s="186"/>
      <c r="B24" s="177"/>
      <c r="C24" s="85"/>
      <c r="D24" s="725"/>
      <c r="F24" s="37"/>
      <c r="G24" s="39" t="s">
        <v>768</v>
      </c>
      <c r="H24" s="716" t="n">
        <f aca="false">Assm!$J$22</f>
        <v>0.065</v>
      </c>
      <c r="I24" s="717" t="n">
        <v>1</v>
      </c>
      <c r="J24" s="61" t="n">
        <f aca="false">$D$11</f>
        <v>32090.624</v>
      </c>
      <c r="K24" s="64" t="n">
        <f aca="false">J24*I24*H24</f>
        <v>2085.89056</v>
      </c>
    </row>
    <row r="25" customFormat="false" ht="12.75" hidden="false" customHeight="false" outlineLevel="0" collapsed="false">
      <c r="A25" s="37" t="s">
        <v>779</v>
      </c>
      <c r="B25" s="39"/>
      <c r="C25" s="85"/>
      <c r="D25" s="71" t="n">
        <v>10.337</v>
      </c>
      <c r="F25" s="37"/>
      <c r="G25" s="39" t="s">
        <v>770</v>
      </c>
      <c r="H25" s="716" t="n">
        <f aca="false">Assm!$J$22</f>
        <v>0.065</v>
      </c>
      <c r="I25" s="717" t="n">
        <v>1</v>
      </c>
      <c r="J25" s="61" t="n">
        <f aca="false">$D$12</f>
        <v>1782.225</v>
      </c>
      <c r="K25" s="206" t="n">
        <f aca="false">J25*I25*H25</f>
        <v>115.844625</v>
      </c>
    </row>
    <row r="26" customFormat="false" ht="12.75" hidden="false" customHeight="false" outlineLevel="0" collapsed="false">
      <c r="A26" s="37" t="s">
        <v>780</v>
      </c>
      <c r="B26" s="39"/>
      <c r="C26" s="85"/>
      <c r="D26" s="71" t="n">
        <v>94.846</v>
      </c>
      <c r="F26" s="37"/>
      <c r="G26" s="39" t="s">
        <v>781</v>
      </c>
      <c r="H26" s="162"/>
      <c r="I26" s="726"/>
      <c r="J26" s="61"/>
      <c r="K26" s="64" t="n">
        <f aca="false">SUM(K24:K25)</f>
        <v>2201.735185</v>
      </c>
    </row>
    <row r="27" customFormat="false" ht="12.75" hidden="false" customHeight="false" outlineLevel="0" collapsed="false">
      <c r="A27" s="37" t="s">
        <v>782</v>
      </c>
      <c r="B27" s="39"/>
      <c r="C27" s="85"/>
      <c r="D27" s="71" t="n">
        <v>180</v>
      </c>
      <c r="F27" s="724" t="s">
        <v>113</v>
      </c>
      <c r="H27" s="162"/>
      <c r="I27" s="726"/>
      <c r="J27" s="61"/>
      <c r="K27" s="64"/>
    </row>
    <row r="28" customFormat="false" ht="12.75" hidden="false" customHeight="false" outlineLevel="0" collapsed="false">
      <c r="A28" s="37" t="s">
        <v>783</v>
      </c>
      <c r="B28" s="39"/>
      <c r="C28" s="85"/>
      <c r="D28" s="71" t="n">
        <v>39.902</v>
      </c>
      <c r="F28" s="37"/>
      <c r="G28" s="39" t="s">
        <v>768</v>
      </c>
      <c r="H28" s="716" t="n">
        <f aca="false">Assm!$J$19</f>
        <v>0.02</v>
      </c>
      <c r="I28" s="717" t="n">
        <v>1</v>
      </c>
      <c r="J28" s="61" t="n">
        <f aca="false">$D$11</f>
        <v>32090.624</v>
      </c>
      <c r="K28" s="64" t="n">
        <f aca="false">J28*I28*H28</f>
        <v>641.81248</v>
      </c>
    </row>
    <row r="29" customFormat="false" ht="12.75" hidden="false" customHeight="false" outlineLevel="0" collapsed="false">
      <c r="A29" s="37" t="s">
        <v>784</v>
      </c>
      <c r="B29" s="39"/>
      <c r="C29" s="85"/>
      <c r="D29" s="71" t="n">
        <v>35.103</v>
      </c>
      <c r="F29" s="37"/>
      <c r="G29" s="39" t="s">
        <v>770</v>
      </c>
      <c r="H29" s="716" t="n">
        <f aca="false">Assm!$J$19</f>
        <v>0.02</v>
      </c>
      <c r="I29" s="717" t="n">
        <v>1</v>
      </c>
      <c r="J29" s="61" t="n">
        <f aca="false">$D$12</f>
        <v>1782.225</v>
      </c>
      <c r="K29" s="206" t="n">
        <f aca="false">J29*I29*H29</f>
        <v>35.6445</v>
      </c>
    </row>
    <row r="30" customFormat="false" ht="12.75" hidden="false" customHeight="false" outlineLevel="0" collapsed="false">
      <c r="A30" s="37" t="s">
        <v>785</v>
      </c>
      <c r="B30" s="39"/>
      <c r="C30" s="85"/>
      <c r="D30" s="71" t="n">
        <v>8.516</v>
      </c>
      <c r="F30" s="37"/>
      <c r="G30" s="39" t="s">
        <v>781</v>
      </c>
      <c r="H30" s="162"/>
      <c r="I30" s="726"/>
      <c r="J30" s="61"/>
      <c r="K30" s="64" t="n">
        <f aca="false">SUM(K28:K29)</f>
        <v>677.45698</v>
      </c>
    </row>
    <row r="31" customFormat="false" ht="12.75" hidden="false" customHeight="false" outlineLevel="0" collapsed="false">
      <c r="A31" s="37" t="s">
        <v>786</v>
      </c>
      <c r="B31" s="39"/>
      <c r="C31" s="85"/>
      <c r="D31" s="71" t="n">
        <v>0.899</v>
      </c>
      <c r="F31" s="724" t="s">
        <v>115</v>
      </c>
      <c r="H31" s="162"/>
      <c r="I31" s="726"/>
      <c r="J31" s="61"/>
      <c r="K31" s="64"/>
    </row>
    <row r="32" customFormat="false" ht="12.75" hidden="false" customHeight="false" outlineLevel="0" collapsed="false">
      <c r="A32" s="37" t="s">
        <v>787</v>
      </c>
      <c r="B32" s="39"/>
      <c r="C32" s="85"/>
      <c r="D32" s="71" t="n">
        <v>1.777</v>
      </c>
      <c r="F32" s="37"/>
      <c r="G32" s="39" t="s">
        <v>768</v>
      </c>
      <c r="H32" s="716" t="n">
        <f aca="false">Assm!$J$20</f>
        <v>0.0192</v>
      </c>
      <c r="I32" s="717" t="n">
        <v>1</v>
      </c>
      <c r="J32" s="61" t="n">
        <f aca="false">$D$11</f>
        <v>32090.624</v>
      </c>
      <c r="K32" s="64" t="n">
        <f aca="false">J32*I32*H32</f>
        <v>616.1399808</v>
      </c>
    </row>
    <row r="33" customFormat="false" ht="12.75" hidden="false" customHeight="false" outlineLevel="0" collapsed="false">
      <c r="A33" s="37" t="s">
        <v>788</v>
      </c>
      <c r="B33" s="39"/>
      <c r="C33" s="85"/>
      <c r="D33" s="71" t="n">
        <v>9.867</v>
      </c>
      <c r="F33" s="37"/>
      <c r="G33" s="39" t="s">
        <v>770</v>
      </c>
      <c r="H33" s="716" t="n">
        <f aca="false">Assm!$J$20</f>
        <v>0.0192</v>
      </c>
      <c r="I33" s="717" t="n">
        <v>1</v>
      </c>
      <c r="J33" s="61" t="n">
        <f aca="false">$D$12</f>
        <v>1782.225</v>
      </c>
      <c r="K33" s="206" t="n">
        <f aca="false">J33*I33*H33</f>
        <v>34.21872</v>
      </c>
    </row>
    <row r="34" customFormat="false" ht="12.75" hidden="false" customHeight="false" outlineLevel="0" collapsed="false">
      <c r="A34" s="37" t="s">
        <v>789</v>
      </c>
      <c r="B34" s="39"/>
      <c r="C34" s="85"/>
      <c r="D34" s="71" t="n">
        <v>3.632</v>
      </c>
      <c r="F34" s="37"/>
      <c r="G34" s="39" t="s">
        <v>781</v>
      </c>
      <c r="H34" s="162"/>
      <c r="I34" s="726"/>
      <c r="J34" s="61"/>
      <c r="K34" s="64" t="n">
        <f aca="false">SUM(K32:K33)</f>
        <v>650.3587008</v>
      </c>
    </row>
    <row r="35" customFormat="false" ht="12.75" hidden="false" customHeight="false" outlineLevel="0" collapsed="false">
      <c r="A35" s="37" t="s">
        <v>790</v>
      </c>
      <c r="B35" s="39"/>
      <c r="C35" s="85"/>
      <c r="D35" s="71" t="n">
        <v>2.563</v>
      </c>
      <c r="F35" s="724" t="s">
        <v>118</v>
      </c>
      <c r="H35" s="162"/>
      <c r="I35" s="726"/>
      <c r="J35" s="61"/>
      <c r="K35" s="64"/>
    </row>
    <row r="36" customFormat="false" ht="12.75" hidden="false" customHeight="false" outlineLevel="0" collapsed="false">
      <c r="A36" s="37" t="s">
        <v>791</v>
      </c>
      <c r="B36" s="39"/>
      <c r="C36" s="85"/>
      <c r="D36" s="71" t="n">
        <v>2.879</v>
      </c>
      <c r="F36" s="37"/>
      <c r="G36" s="39" t="s">
        <v>768</v>
      </c>
      <c r="H36" s="716" t="n">
        <f aca="false">Assm!$J$21</f>
        <v>0.005</v>
      </c>
      <c r="I36" s="717" t="n">
        <v>1</v>
      </c>
      <c r="J36" s="61" t="n">
        <f aca="false">$D$11</f>
        <v>32090.624</v>
      </c>
      <c r="K36" s="64" t="n">
        <f aca="false">J36*I36*H36</f>
        <v>160.45312</v>
      </c>
    </row>
    <row r="37" customFormat="false" ht="12.75" hidden="false" customHeight="false" outlineLevel="0" collapsed="false">
      <c r="A37" s="37" t="s">
        <v>792</v>
      </c>
      <c r="B37" s="39"/>
      <c r="C37" s="85"/>
      <c r="D37" s="71" t="n">
        <v>2.229</v>
      </c>
      <c r="F37" s="37"/>
      <c r="G37" s="39" t="s">
        <v>770</v>
      </c>
      <c r="H37" s="716" t="n">
        <f aca="false">Assm!$J$21</f>
        <v>0.005</v>
      </c>
      <c r="I37" s="717" t="n">
        <v>1</v>
      </c>
      <c r="J37" s="61" t="n">
        <f aca="false">$D$12</f>
        <v>1782.225</v>
      </c>
      <c r="K37" s="206" t="n">
        <f aca="false">J37*I37*H37</f>
        <v>8.911125</v>
      </c>
    </row>
    <row r="38" customFormat="false" ht="12.75" hidden="false" customHeight="false" outlineLevel="0" collapsed="false">
      <c r="A38" s="37" t="s">
        <v>793</v>
      </c>
      <c r="B38" s="39"/>
      <c r="C38" s="85"/>
      <c r="D38" s="71" t="n">
        <v>1.839</v>
      </c>
      <c r="F38" s="37"/>
      <c r="G38" s="39" t="s">
        <v>781</v>
      </c>
      <c r="H38" s="162"/>
      <c r="I38" s="726"/>
      <c r="J38" s="61"/>
      <c r="K38" s="64" t="n">
        <f aca="false">SUM(K36:K37)</f>
        <v>169.364245</v>
      </c>
    </row>
    <row r="39" customFormat="false" ht="12.75" hidden="false" customHeight="false" outlineLevel="0" collapsed="false">
      <c r="A39" s="37" t="s">
        <v>794</v>
      </c>
      <c r="B39" s="39"/>
      <c r="C39" s="85"/>
      <c r="D39" s="71" t="n">
        <v>14.18</v>
      </c>
      <c r="F39" s="37"/>
      <c r="G39" s="38" t="s">
        <v>795</v>
      </c>
      <c r="H39" s="162"/>
      <c r="I39" s="726"/>
      <c r="J39" s="61"/>
      <c r="K39" s="721" t="n">
        <f aca="false">K37+K36+K33+K32+K29+K28+K25+K24</f>
        <v>3698.9151108</v>
      </c>
    </row>
    <row r="40" customFormat="false" ht="12.75" hidden="false" customHeight="false" outlineLevel="0" collapsed="false">
      <c r="A40" s="37" t="s">
        <v>796</v>
      </c>
      <c r="B40" s="39"/>
      <c r="C40" s="85"/>
      <c r="D40" s="71" t="n">
        <v>173.998</v>
      </c>
      <c r="F40" s="37"/>
      <c r="H40" s="47"/>
      <c r="I40" s="39"/>
      <c r="J40" s="39"/>
      <c r="K40" s="44"/>
    </row>
    <row r="41" customFormat="false" ht="13.5" hidden="false" customHeight="false" outlineLevel="0" collapsed="false">
      <c r="A41" s="37" t="s">
        <v>797</v>
      </c>
      <c r="B41" s="39"/>
      <c r="C41" s="85"/>
      <c r="D41" s="71" t="n">
        <v>957</v>
      </c>
      <c r="F41" s="727" t="s">
        <v>798</v>
      </c>
      <c r="G41" s="728"/>
      <c r="H41" s="729"/>
      <c r="I41" s="728"/>
      <c r="J41" s="728"/>
      <c r="K41" s="730" t="n">
        <f aca="false">SUM(K14,K20,K39)</f>
        <v>9593.81294344828</v>
      </c>
    </row>
    <row r="42" customFormat="false" ht="12.75" hidden="false" customHeight="false" outlineLevel="0" collapsed="false">
      <c r="A42" s="37" t="s">
        <v>799</v>
      </c>
      <c r="B42" s="39"/>
      <c r="C42" s="85"/>
      <c r="D42" s="71" t="n">
        <v>1740</v>
      </c>
    </row>
    <row r="43" customFormat="false" ht="12.75" hidden="false" customHeight="false" outlineLevel="0" collapsed="false">
      <c r="A43" s="37" t="s">
        <v>800</v>
      </c>
      <c r="B43" s="39"/>
      <c r="C43" s="85"/>
      <c r="D43" s="71" t="n">
        <v>1809.6</v>
      </c>
    </row>
    <row r="44" customFormat="false" ht="12.75" hidden="false" customHeight="false" outlineLevel="0" collapsed="false">
      <c r="A44" s="37" t="s">
        <v>801</v>
      </c>
      <c r="B44" s="39"/>
      <c r="C44" s="85"/>
      <c r="D44" s="71" t="n">
        <v>352.632</v>
      </c>
    </row>
    <row r="45" customFormat="false" ht="12.75" hidden="false" customHeight="false" outlineLevel="0" collapsed="false">
      <c r="A45" s="37" t="s">
        <v>802</v>
      </c>
      <c r="B45" s="39"/>
      <c r="C45" s="85"/>
      <c r="D45" s="71" t="n">
        <v>180.138</v>
      </c>
    </row>
    <row r="46" customFormat="false" ht="12.75" hidden="false" customHeight="false" outlineLevel="0" collapsed="false">
      <c r="A46" s="37" t="s">
        <v>803</v>
      </c>
      <c r="B46" s="39"/>
      <c r="C46" s="85"/>
      <c r="D46" s="71" t="n">
        <v>629.3</v>
      </c>
    </row>
    <row r="47" customFormat="false" ht="12.75" hidden="false" customHeight="false" outlineLevel="0" collapsed="false">
      <c r="A47" s="37" t="s">
        <v>804</v>
      </c>
      <c r="B47" s="39"/>
      <c r="C47" s="85"/>
      <c r="D47" s="112" t="n">
        <v>-77.418</v>
      </c>
    </row>
    <row r="48" customFormat="false" ht="13.5" hidden="false" customHeight="false" outlineLevel="0" collapsed="false">
      <c r="A48" s="179" t="s">
        <v>805</v>
      </c>
      <c r="B48" s="50"/>
      <c r="C48" s="731"/>
      <c r="D48" s="723" t="n">
        <f aca="false">SUM(D25:D47)</f>
        <v>6173.819</v>
      </c>
    </row>
    <row r="49" customFormat="false" ht="13.5" hidden="false" customHeight="false" outlineLevel="0" collapsed="false"/>
    <row r="50" customFormat="false" ht="12.75" hidden="false" customHeight="false" outlineLevel="0" collapsed="false">
      <c r="A50" s="580" t="s">
        <v>60</v>
      </c>
      <c r="B50" s="25"/>
      <c r="C50" s="706"/>
      <c r="D50" s="707"/>
    </row>
    <row r="51" customFormat="false" ht="12.75" hidden="false" customHeight="false" outlineLevel="0" collapsed="false">
      <c r="A51" s="186"/>
      <c r="B51" s="732" t="s">
        <v>806</v>
      </c>
      <c r="C51" s="733" t="s">
        <v>807</v>
      </c>
      <c r="D51" s="734" t="s">
        <v>808</v>
      </c>
    </row>
    <row r="52" customFormat="false" ht="12.75" hidden="false" customHeight="false" outlineLevel="0" collapsed="false">
      <c r="A52" s="37"/>
      <c r="B52" s="99" t="n">
        <v>0</v>
      </c>
      <c r="C52" s="735"/>
      <c r="D52" s="45" t="n">
        <f aca="false">B52</f>
        <v>0</v>
      </c>
    </row>
    <row r="53" customFormat="false" ht="12.75" hidden="false" customHeight="false" outlineLevel="0" collapsed="false">
      <c r="A53" s="37"/>
      <c r="B53" s="435" t="n">
        <v>0</v>
      </c>
      <c r="C53" s="234" t="n">
        <v>0.58</v>
      </c>
      <c r="D53" s="77" t="n">
        <f aca="false">B53*C53</f>
        <v>0</v>
      </c>
    </row>
    <row r="54" customFormat="false" ht="13.5" hidden="false" customHeight="false" outlineLevel="0" collapsed="false">
      <c r="A54" s="179" t="s">
        <v>809</v>
      </c>
      <c r="B54" s="722" t="n">
        <f aca="false">SUM(B52:B53)</f>
        <v>0</v>
      </c>
      <c r="C54" s="731"/>
      <c r="D54" s="723" t="n">
        <f aca="false">SUM(D52:D53)</f>
        <v>0</v>
      </c>
    </row>
    <row r="55" customFormat="false" ht="13.5" hidden="false" customHeight="false" outlineLevel="0" collapsed="false"/>
    <row r="56" customFormat="false" ht="12.75" hidden="false" customHeight="false" outlineLevel="0" collapsed="false">
      <c r="A56" s="580" t="s">
        <v>810</v>
      </c>
      <c r="B56" s="25"/>
      <c r="C56" s="706"/>
      <c r="D56" s="707"/>
    </row>
    <row r="57" customFormat="false" ht="12.75" hidden="false" customHeight="false" outlineLevel="0" collapsed="false">
      <c r="A57" s="186"/>
      <c r="B57" s="177"/>
      <c r="C57" s="85"/>
      <c r="D57" s="725"/>
    </row>
    <row r="58" customFormat="false" ht="12.75" hidden="false" customHeight="false" outlineLevel="0" collapsed="false">
      <c r="A58" s="37" t="s">
        <v>811</v>
      </c>
      <c r="B58" s="39"/>
      <c r="D58" s="71" t="n">
        <v>0</v>
      </c>
      <c r="F58" s="23"/>
      <c r="G58" s="23"/>
    </row>
    <row r="59" customFormat="false" ht="12.75" hidden="false" customHeight="false" outlineLevel="0" collapsed="false">
      <c r="A59" s="37" t="s">
        <v>812</v>
      </c>
      <c r="B59" s="39"/>
      <c r="C59" s="736"/>
      <c r="D59" s="737" t="n">
        <f aca="false">[1]RAROC!$D$119</f>
        <v>7914</v>
      </c>
    </row>
    <row r="60" customFormat="false" ht="13.5" hidden="false" customHeight="false" outlineLevel="0" collapsed="false">
      <c r="A60" s="179" t="s">
        <v>813</v>
      </c>
      <c r="B60" s="50"/>
      <c r="C60" s="731"/>
      <c r="D60" s="723" t="n">
        <f aca="false">SUM(D58:D59)</f>
        <v>7914</v>
      </c>
    </row>
    <row r="62" customFormat="false" ht="12.75" hidden="false" customHeight="false" outlineLevel="0" collapsed="false">
      <c r="C62" s="738" t="s">
        <v>814</v>
      </c>
      <c r="D62" s="739" t="n">
        <v>2678</v>
      </c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7" topLeftCell="D8" activePane="bottomRight" state="frozen"/>
      <selection pane="topLeft" activeCell="A1" activeCellId="0" sqref="A1"/>
      <selection pane="topRight" activeCell="D1" activeCellId="0" sqref="D1"/>
      <selection pane="bottomLeft" activeCell="A8" activeCellId="0" sqref="A8"/>
      <selection pane="bottomRight" activeCell="S76" activeCellId="0" sqref="S7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25.7"/>
    <col collapsed="false" customWidth="true" hidden="false" outlineLevel="0" max="3" min="3" style="1" width="10.71"/>
    <col collapsed="false" customWidth="true" hidden="false" outlineLevel="0" max="4" min="4" style="1" width="2.7"/>
    <col collapsed="false" customWidth="true" hidden="false" outlineLevel="0" max="40" min="5" style="1" width="9.7"/>
    <col collapsed="false" customWidth="true" hidden="false" outlineLevel="0" max="41" min="41" style="1" width="1.7"/>
    <col collapsed="false" customWidth="true" hidden="false" outlineLevel="0" max="42" min="42" style="1" width="10.71"/>
    <col collapsed="false" customWidth="false" hidden="false" outlineLevel="0" max="45" min="43" style="1" width="9.14"/>
    <col collapsed="false" customWidth="true" hidden="false" outlineLevel="0" max="52" min="46" style="1" width="10.71"/>
    <col collapsed="false" customWidth="false" hidden="false" outlineLevel="0" max="257" min="53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5"/>
      <c r="F1" s="415"/>
      <c r="G1" s="415"/>
      <c r="H1" s="416"/>
      <c r="I1" s="415"/>
      <c r="J1" s="415"/>
      <c r="K1" s="417"/>
      <c r="L1" s="415"/>
      <c r="M1" s="415"/>
      <c r="N1" s="415"/>
      <c r="O1" s="415"/>
      <c r="P1" s="415"/>
      <c r="Q1" s="415"/>
      <c r="R1" s="415"/>
      <c r="S1" s="418"/>
      <c r="T1" s="415"/>
      <c r="U1" s="415"/>
      <c r="V1" s="415"/>
      <c r="W1" s="415"/>
      <c r="X1" s="415"/>
      <c r="Y1" s="415"/>
      <c r="Z1" s="116"/>
      <c r="AA1" s="116"/>
      <c r="AB1" s="67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5"/>
      <c r="F2" s="415"/>
      <c r="G2" s="415"/>
      <c r="H2" s="416"/>
      <c r="I2" s="415"/>
      <c r="J2" s="415"/>
      <c r="K2" s="417"/>
      <c r="L2" s="415"/>
      <c r="M2" s="415"/>
      <c r="N2" s="415"/>
      <c r="O2" s="415"/>
      <c r="P2" s="415"/>
      <c r="Q2" s="415"/>
      <c r="R2" s="415"/>
      <c r="S2" s="418"/>
      <c r="T2" s="415"/>
      <c r="U2" s="415"/>
      <c r="V2" s="415"/>
      <c r="W2" s="415"/>
      <c r="X2" s="415"/>
      <c r="Y2" s="415"/>
      <c r="Z2" s="116"/>
      <c r="AA2" s="116"/>
      <c r="AB2" s="67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15"/>
      <c r="F3" s="421"/>
      <c r="G3" s="415"/>
      <c r="H3" s="416"/>
      <c r="I3" s="415"/>
      <c r="J3" s="415"/>
      <c r="K3" s="417"/>
      <c r="L3" s="415"/>
      <c r="M3" s="415"/>
      <c r="N3" s="415"/>
      <c r="O3" s="415"/>
      <c r="P3" s="415"/>
      <c r="Q3" s="415"/>
      <c r="R3" s="415"/>
      <c r="S3" s="415"/>
      <c r="T3" s="422"/>
      <c r="U3" s="422"/>
      <c r="V3" s="415"/>
      <c r="W3" s="415"/>
      <c r="X3" s="415"/>
      <c r="Y3" s="415"/>
      <c r="Z3" s="116"/>
      <c r="AA3" s="116"/>
      <c r="AB3" s="67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815</v>
      </c>
      <c r="B4" s="21"/>
      <c r="C4" s="633"/>
      <c r="D4" s="67"/>
      <c r="E4" s="415"/>
      <c r="F4" s="421"/>
      <c r="G4" s="415"/>
      <c r="H4" s="416"/>
      <c r="I4" s="415"/>
      <c r="J4" s="415"/>
      <c r="K4" s="417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740"/>
      <c r="Z4" s="116"/>
      <c r="AA4" s="116"/>
      <c r="AB4" s="67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741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116"/>
      <c r="F5" s="116"/>
      <c r="G5" s="116"/>
      <c r="H5" s="116"/>
      <c r="I5" s="116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116"/>
      <c r="AB5" s="67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742" t="s">
        <v>312</v>
      </c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816</v>
      </c>
      <c r="B6" s="743"/>
      <c r="C6" s="743"/>
      <c r="D6" s="743"/>
      <c r="E6" s="744" t="n">
        <v>1</v>
      </c>
      <c r="F6" s="743" t="n">
        <f aca="false">E6+1</f>
        <v>2</v>
      </c>
      <c r="G6" s="743" t="n">
        <f aca="false">F6+1</f>
        <v>3</v>
      </c>
      <c r="H6" s="743" t="n">
        <f aca="false">G6+1</f>
        <v>4</v>
      </c>
      <c r="I6" s="743" t="n">
        <f aca="false">H6+1</f>
        <v>5</v>
      </c>
      <c r="J6" s="743" t="n">
        <f aca="false">I6+1</f>
        <v>6</v>
      </c>
      <c r="K6" s="743" t="n">
        <f aca="false">J6+1</f>
        <v>7</v>
      </c>
      <c r="L6" s="743" t="n">
        <f aca="false">K6+1</f>
        <v>8</v>
      </c>
      <c r="M6" s="743" t="n">
        <f aca="false">L6+1</f>
        <v>9</v>
      </c>
      <c r="N6" s="743" t="n">
        <f aca="false">M6+1</f>
        <v>10</v>
      </c>
      <c r="O6" s="743" t="n">
        <f aca="false">N6+1</f>
        <v>11</v>
      </c>
      <c r="P6" s="743" t="n">
        <f aca="false">O6+1</f>
        <v>12</v>
      </c>
      <c r="Q6" s="743" t="n">
        <f aca="false">P6+1</f>
        <v>13</v>
      </c>
      <c r="R6" s="743" t="n">
        <f aca="false">Q6+1</f>
        <v>14</v>
      </c>
      <c r="S6" s="743" t="n">
        <f aca="false">R6+1</f>
        <v>15</v>
      </c>
      <c r="T6" s="743" t="n">
        <f aca="false">S6+1</f>
        <v>16</v>
      </c>
      <c r="U6" s="743" t="n">
        <f aca="false">T6+1</f>
        <v>17</v>
      </c>
      <c r="V6" s="743" t="n">
        <f aca="false">U6+1</f>
        <v>18</v>
      </c>
      <c r="W6" s="743" t="n">
        <f aca="false">V6+1</f>
        <v>19</v>
      </c>
      <c r="X6" s="743" t="n">
        <f aca="false">W6+1</f>
        <v>20</v>
      </c>
      <c r="Y6" s="743" t="n">
        <f aca="false">X6+1</f>
        <v>21</v>
      </c>
      <c r="Z6" s="743" t="n">
        <f aca="false">Y6+1</f>
        <v>22</v>
      </c>
      <c r="AA6" s="743" t="n">
        <f aca="false">Z6+1</f>
        <v>23</v>
      </c>
      <c r="AB6" s="743" t="n">
        <f aca="false">AA6+1</f>
        <v>24</v>
      </c>
      <c r="AC6" s="743" t="n">
        <f aca="false">AB6+1</f>
        <v>25</v>
      </c>
      <c r="AD6" s="743" t="n">
        <f aca="false">AC6+1</f>
        <v>26</v>
      </c>
      <c r="AE6" s="743" t="n">
        <f aca="false">AD6+1</f>
        <v>27</v>
      </c>
      <c r="AF6" s="743" t="n">
        <f aca="false">AE6+1</f>
        <v>28</v>
      </c>
      <c r="AG6" s="743" t="n">
        <f aca="false">AF6+1</f>
        <v>29</v>
      </c>
      <c r="AH6" s="743" t="n">
        <f aca="false">AG6+1</f>
        <v>30</v>
      </c>
      <c r="AI6" s="743" t="n">
        <f aca="false">AH6+1</f>
        <v>31</v>
      </c>
      <c r="AJ6" s="743" t="n">
        <f aca="false">AI6+1</f>
        <v>32</v>
      </c>
      <c r="AK6" s="743" t="n">
        <f aca="false">AJ6+1</f>
        <v>33</v>
      </c>
      <c r="AL6" s="743" t="n">
        <f aca="false">AK6+1</f>
        <v>34</v>
      </c>
      <c r="AM6" s="743" t="n">
        <f aca="false">AL6+1</f>
        <v>35</v>
      </c>
      <c r="AN6" s="743" t="n">
        <f aca="false">AM6+1</f>
        <v>36</v>
      </c>
      <c r="AO6" s="745"/>
      <c r="AP6" s="746"/>
      <c r="AQ6" s="747" t="s">
        <v>817</v>
      </c>
      <c r="AR6" s="742"/>
      <c r="AS6" s="742"/>
      <c r="AT6" s="742"/>
      <c r="AU6" s="742"/>
      <c r="AV6" s="742"/>
      <c r="AW6" s="742"/>
      <c r="AX6" s="742"/>
      <c r="AY6" s="742"/>
      <c r="AZ6" s="742"/>
      <c r="BA6" s="742"/>
      <c r="BB6" s="742"/>
      <c r="BC6" s="742"/>
      <c r="BD6" s="742"/>
      <c r="BE6" s="742"/>
      <c r="BF6" s="742"/>
      <c r="BG6" s="742"/>
      <c r="BH6" s="742"/>
      <c r="BI6" s="742"/>
      <c r="BJ6" s="742"/>
      <c r="BK6" s="742"/>
      <c r="BL6" s="742"/>
      <c r="BM6" s="742"/>
      <c r="BN6" s="742"/>
      <c r="BO6" s="742"/>
      <c r="BP6" s="742"/>
      <c r="BQ6" s="742"/>
      <c r="BR6" s="742"/>
      <c r="BS6" s="742"/>
      <c r="BT6" s="742"/>
      <c r="BU6" s="742"/>
      <c r="BV6" s="742"/>
      <c r="BW6" s="742"/>
      <c r="BX6" s="742"/>
      <c r="BY6" s="742"/>
      <c r="BZ6" s="742"/>
      <c r="CA6" s="742"/>
      <c r="CB6" s="742"/>
      <c r="CC6" s="742"/>
      <c r="CD6" s="742"/>
      <c r="CE6" s="742"/>
      <c r="CF6" s="742"/>
      <c r="CG6" s="742"/>
      <c r="CH6" s="742"/>
      <c r="CI6" s="742"/>
      <c r="CJ6" s="742"/>
      <c r="CK6" s="742"/>
      <c r="CL6" s="742"/>
      <c r="CM6" s="742"/>
      <c r="CN6" s="742"/>
      <c r="CO6" s="742"/>
      <c r="CP6" s="742"/>
      <c r="CQ6" s="742"/>
      <c r="CR6" s="742"/>
      <c r="CS6" s="742"/>
      <c r="CT6" s="742"/>
      <c r="CU6" s="742"/>
      <c r="CV6" s="742"/>
      <c r="CW6" s="742"/>
      <c r="CX6" s="742"/>
      <c r="CY6" s="742"/>
      <c r="CZ6" s="742"/>
      <c r="DA6" s="742"/>
      <c r="DB6" s="742"/>
      <c r="DC6" s="742"/>
      <c r="DD6" s="742"/>
      <c r="DE6" s="742"/>
      <c r="DF6" s="742"/>
      <c r="DG6" s="742"/>
      <c r="DH6" s="742"/>
      <c r="DI6" s="742"/>
      <c r="DJ6" s="742"/>
      <c r="DK6" s="742"/>
      <c r="DL6" s="742"/>
      <c r="DM6" s="742"/>
      <c r="DN6" s="742"/>
      <c r="DO6" s="742"/>
      <c r="DP6" s="742"/>
      <c r="DQ6" s="742"/>
      <c r="DR6" s="742"/>
      <c r="DS6" s="742"/>
      <c r="DT6" s="742"/>
      <c r="DU6" s="742"/>
      <c r="DV6" s="742"/>
      <c r="DW6" s="742"/>
      <c r="DX6" s="742"/>
      <c r="DY6" s="742"/>
      <c r="DZ6" s="742"/>
      <c r="EA6" s="742"/>
      <c r="EB6" s="742"/>
      <c r="EC6" s="742"/>
      <c r="ED6" s="742"/>
      <c r="EE6" s="742"/>
      <c r="EF6" s="742"/>
      <c r="EG6" s="742"/>
      <c r="EH6" s="742"/>
      <c r="EI6" s="742"/>
      <c r="EJ6" s="742"/>
      <c r="EK6" s="742"/>
      <c r="EL6" s="742"/>
      <c r="EM6" s="742"/>
      <c r="EN6" s="742"/>
      <c r="EO6" s="742"/>
      <c r="EP6" s="742"/>
      <c r="EQ6" s="742"/>
      <c r="ER6" s="742"/>
      <c r="ES6" s="742"/>
      <c r="ET6" s="742"/>
      <c r="EU6" s="742"/>
      <c r="EV6" s="742"/>
      <c r="EW6" s="742"/>
      <c r="EX6" s="742"/>
      <c r="EY6" s="742"/>
      <c r="EZ6" s="742"/>
      <c r="FA6" s="742"/>
      <c r="FB6" s="742"/>
      <c r="FC6" s="742"/>
      <c r="FD6" s="742"/>
      <c r="FE6" s="742"/>
      <c r="FF6" s="742"/>
      <c r="FG6" s="742"/>
      <c r="FH6" s="742"/>
      <c r="FI6" s="742"/>
      <c r="FJ6" s="742"/>
      <c r="FK6" s="742"/>
      <c r="FL6" s="742"/>
      <c r="FM6" s="742"/>
      <c r="FN6" s="742"/>
      <c r="FO6" s="742"/>
      <c r="FP6" s="742"/>
      <c r="FQ6" s="742"/>
      <c r="FR6" s="742"/>
      <c r="FS6" s="742"/>
      <c r="FT6" s="742"/>
      <c r="FU6" s="742"/>
      <c r="FV6" s="742"/>
      <c r="FW6" s="742"/>
      <c r="FX6" s="742"/>
      <c r="FY6" s="742"/>
      <c r="FZ6" s="742"/>
      <c r="GA6" s="742"/>
      <c r="GB6" s="742"/>
      <c r="GC6" s="742"/>
      <c r="GD6" s="742"/>
      <c r="GE6" s="742"/>
      <c r="GF6" s="742"/>
      <c r="GG6" s="742"/>
      <c r="GH6" s="742"/>
      <c r="GI6" s="742"/>
      <c r="GJ6" s="742"/>
      <c r="GK6" s="742"/>
      <c r="GL6" s="742"/>
      <c r="GM6" s="742"/>
      <c r="GN6" s="742"/>
      <c r="GO6" s="742"/>
      <c r="GP6" s="742"/>
      <c r="GQ6" s="742"/>
      <c r="GR6" s="742"/>
      <c r="GS6" s="742"/>
      <c r="GT6" s="742"/>
      <c r="GU6" s="742"/>
      <c r="GV6" s="742"/>
      <c r="GW6" s="742"/>
      <c r="GX6" s="742"/>
      <c r="GY6" s="742"/>
      <c r="GZ6" s="742"/>
      <c r="HA6" s="742"/>
      <c r="HB6" s="742"/>
      <c r="HC6" s="742"/>
      <c r="HD6" s="742"/>
      <c r="HE6" s="742"/>
      <c r="HF6" s="742"/>
      <c r="HG6" s="742"/>
      <c r="HH6" s="742"/>
      <c r="HI6" s="742"/>
      <c r="HJ6" s="742"/>
      <c r="HK6" s="742"/>
      <c r="HL6" s="742"/>
      <c r="HM6" s="742"/>
      <c r="HN6" s="742"/>
      <c r="HO6" s="742"/>
      <c r="HP6" s="742"/>
      <c r="HQ6" s="742"/>
      <c r="HR6" s="742"/>
      <c r="HS6" s="742"/>
      <c r="HT6" s="742"/>
      <c r="HU6" s="742"/>
      <c r="HV6" s="742"/>
      <c r="HW6" s="742"/>
      <c r="HX6" s="742"/>
      <c r="HY6" s="742"/>
      <c r="HZ6" s="742"/>
      <c r="IA6" s="742"/>
      <c r="IB6" s="742"/>
      <c r="IC6" s="742"/>
      <c r="ID6" s="742"/>
      <c r="IE6" s="742"/>
      <c r="IF6" s="742"/>
      <c r="IG6" s="742"/>
      <c r="IH6" s="742"/>
      <c r="II6" s="742"/>
      <c r="IJ6" s="742"/>
      <c r="IK6" s="742"/>
      <c r="IL6" s="742"/>
      <c r="IM6" s="742"/>
      <c r="IN6" s="742"/>
      <c r="IO6" s="742"/>
      <c r="IP6" s="742"/>
      <c r="IQ6" s="742"/>
      <c r="IR6" s="742"/>
      <c r="IS6" s="742"/>
      <c r="IT6" s="742"/>
      <c r="IU6" s="742"/>
      <c r="IV6" s="742"/>
      <c r="IW6" s="742"/>
    </row>
    <row r="7" customFormat="false" ht="13.5" hidden="false" customHeight="false" outlineLevel="0" collapsed="false">
      <c r="A7" s="179" t="s">
        <v>818</v>
      </c>
      <c r="B7" s="748"/>
      <c r="C7" s="748"/>
      <c r="D7" s="748"/>
      <c r="E7" s="749" t="n">
        <f aca="false">IDC!E7</f>
        <v>35886</v>
      </c>
      <c r="F7" s="749" t="n">
        <f aca="false">IDC!F7</f>
        <v>35916</v>
      </c>
      <c r="G7" s="749" t="n">
        <f aca="false">IDC!G7</f>
        <v>35947</v>
      </c>
      <c r="H7" s="749" t="n">
        <f aca="false">IDC!H7</f>
        <v>35977</v>
      </c>
      <c r="I7" s="749" t="n">
        <f aca="false">IDC!I7</f>
        <v>36008</v>
      </c>
      <c r="J7" s="749" t="n">
        <f aca="false">IDC!J7</f>
        <v>36039</v>
      </c>
      <c r="K7" s="749" t="n">
        <f aca="false">IDC!K7</f>
        <v>36069</v>
      </c>
      <c r="L7" s="749" t="n">
        <f aca="false">IDC!L7</f>
        <v>36100</v>
      </c>
      <c r="M7" s="749" t="n">
        <f aca="false">IDC!M7</f>
        <v>36130</v>
      </c>
      <c r="N7" s="749" t="n">
        <f aca="false">IDC!N7</f>
        <v>36161</v>
      </c>
      <c r="O7" s="749" t="n">
        <f aca="false">IDC!O7</f>
        <v>36192</v>
      </c>
      <c r="P7" s="749" t="n">
        <f aca="false">IDC!P7</f>
        <v>36220</v>
      </c>
      <c r="Q7" s="749" t="n">
        <f aca="false">IDC!Q7</f>
        <v>36251</v>
      </c>
      <c r="R7" s="749" t="n">
        <f aca="false">IDC!R7</f>
        <v>36281</v>
      </c>
      <c r="S7" s="749" t="n">
        <f aca="false">IDC!S7</f>
        <v>36312</v>
      </c>
      <c r="T7" s="749" t="n">
        <f aca="false">IDC!T7</f>
        <v>36342</v>
      </c>
      <c r="U7" s="749" t="n">
        <f aca="false">IDC!U7</f>
        <v>36373</v>
      </c>
      <c r="V7" s="749" t="n">
        <f aca="false">IDC!V7</f>
        <v>36404</v>
      </c>
      <c r="W7" s="749" t="n">
        <f aca="false">IDC!W7</f>
        <v>36434</v>
      </c>
      <c r="X7" s="749" t="n">
        <f aca="false">IDC!X7</f>
        <v>36465</v>
      </c>
      <c r="Y7" s="749" t="n">
        <f aca="false">IDC!Y7</f>
        <v>36495</v>
      </c>
      <c r="Z7" s="749" t="n">
        <f aca="false">IDC!Z7</f>
        <v>36526</v>
      </c>
      <c r="AA7" s="749" t="n">
        <f aca="false">IDC!AA7</f>
        <v>36557</v>
      </c>
      <c r="AB7" s="749" t="n">
        <f aca="false">IDC!AB7</f>
        <v>36586</v>
      </c>
      <c r="AC7" s="749" t="n">
        <f aca="false">IDC!AC7</f>
        <v>36617</v>
      </c>
      <c r="AD7" s="749" t="n">
        <f aca="false">IDC!AD7</f>
        <v>36647</v>
      </c>
      <c r="AE7" s="749" t="n">
        <f aca="false">IDC!AE7</f>
        <v>36678</v>
      </c>
      <c r="AF7" s="749" t="n">
        <f aca="false">IDC!AF7</f>
        <v>36708</v>
      </c>
      <c r="AG7" s="749" t="n">
        <f aca="false">IDC!AG7</f>
        <v>36739</v>
      </c>
      <c r="AH7" s="749" t="n">
        <f aca="false">IDC!AH7</f>
        <v>36770</v>
      </c>
      <c r="AI7" s="749" t="n">
        <f aca="false">IDC!AI7</f>
        <v>36800</v>
      </c>
      <c r="AJ7" s="749" t="n">
        <f aca="false">IDC!AJ7</f>
        <v>36831</v>
      </c>
      <c r="AK7" s="749" t="n">
        <f aca="false">IDC!AK7</f>
        <v>36861</v>
      </c>
      <c r="AL7" s="749" t="n">
        <f aca="false">IDC!AL7</f>
        <v>36892</v>
      </c>
      <c r="AM7" s="749" t="n">
        <f aca="false">IDC!AM7</f>
        <v>36923</v>
      </c>
      <c r="AN7" s="749" t="n">
        <f aca="false">IDC!AN7</f>
        <v>36951</v>
      </c>
      <c r="AO7" s="750"/>
      <c r="AP7" s="431" t="s">
        <v>316</v>
      </c>
      <c r="AQ7" s="751" t="n">
        <v>1</v>
      </c>
      <c r="AR7" s="742"/>
      <c r="AS7" s="742"/>
      <c r="AT7" s="742"/>
      <c r="AU7" s="742"/>
      <c r="AV7" s="742"/>
      <c r="AW7" s="742"/>
      <c r="AX7" s="742"/>
      <c r="AY7" s="742"/>
      <c r="AZ7" s="742"/>
      <c r="BA7" s="742"/>
      <c r="BB7" s="742"/>
      <c r="BC7" s="742"/>
      <c r="BD7" s="742"/>
      <c r="BE7" s="742"/>
      <c r="BF7" s="742"/>
      <c r="BG7" s="742"/>
      <c r="BH7" s="742"/>
      <c r="BI7" s="742"/>
      <c r="BJ7" s="742"/>
      <c r="BK7" s="742"/>
      <c r="BL7" s="742"/>
      <c r="BM7" s="742"/>
      <c r="BN7" s="742"/>
      <c r="BO7" s="742"/>
      <c r="BP7" s="742"/>
      <c r="BQ7" s="742"/>
      <c r="BR7" s="742"/>
      <c r="BS7" s="742"/>
      <c r="BT7" s="742"/>
      <c r="BU7" s="742"/>
      <c r="BV7" s="742"/>
      <c r="BW7" s="742"/>
      <c r="BX7" s="742"/>
      <c r="BY7" s="742"/>
      <c r="BZ7" s="742"/>
      <c r="CA7" s="742"/>
      <c r="CB7" s="742"/>
      <c r="CC7" s="742"/>
      <c r="CD7" s="742"/>
      <c r="CE7" s="742"/>
      <c r="CF7" s="742"/>
      <c r="CG7" s="742"/>
      <c r="CH7" s="742"/>
      <c r="CI7" s="742"/>
      <c r="CJ7" s="742"/>
      <c r="CK7" s="742"/>
      <c r="CL7" s="742"/>
      <c r="CM7" s="742"/>
      <c r="CN7" s="742"/>
      <c r="CO7" s="742"/>
      <c r="CP7" s="742"/>
      <c r="CQ7" s="742"/>
      <c r="CR7" s="742"/>
      <c r="CS7" s="742"/>
      <c r="CT7" s="742"/>
      <c r="CU7" s="742"/>
      <c r="CV7" s="742"/>
      <c r="CW7" s="742"/>
      <c r="CX7" s="742"/>
      <c r="CY7" s="742"/>
      <c r="CZ7" s="742"/>
      <c r="DA7" s="742"/>
      <c r="DB7" s="742"/>
      <c r="DC7" s="742"/>
      <c r="DD7" s="742"/>
      <c r="DE7" s="742"/>
      <c r="DF7" s="742"/>
      <c r="DG7" s="742"/>
      <c r="DH7" s="742"/>
      <c r="DI7" s="742"/>
      <c r="DJ7" s="742"/>
      <c r="DK7" s="742"/>
      <c r="DL7" s="742"/>
      <c r="DM7" s="742"/>
      <c r="DN7" s="742"/>
      <c r="DO7" s="742"/>
      <c r="DP7" s="742"/>
      <c r="DQ7" s="742"/>
      <c r="DR7" s="742"/>
      <c r="DS7" s="742"/>
      <c r="DT7" s="742"/>
      <c r="DU7" s="742"/>
      <c r="DV7" s="742"/>
      <c r="DW7" s="742"/>
      <c r="DX7" s="742"/>
      <c r="DY7" s="742"/>
      <c r="DZ7" s="742"/>
      <c r="EA7" s="742"/>
      <c r="EB7" s="742"/>
      <c r="EC7" s="742"/>
      <c r="ED7" s="742"/>
      <c r="EE7" s="742"/>
      <c r="EF7" s="742"/>
      <c r="EG7" s="742"/>
      <c r="EH7" s="742"/>
      <c r="EI7" s="742"/>
      <c r="EJ7" s="742"/>
      <c r="EK7" s="742"/>
      <c r="EL7" s="742"/>
      <c r="EM7" s="742"/>
      <c r="EN7" s="742"/>
      <c r="EO7" s="742"/>
      <c r="EP7" s="742"/>
      <c r="EQ7" s="742"/>
      <c r="ER7" s="742"/>
      <c r="ES7" s="742"/>
      <c r="ET7" s="742"/>
      <c r="EU7" s="742"/>
      <c r="EV7" s="742"/>
      <c r="EW7" s="742"/>
      <c r="EX7" s="742"/>
      <c r="EY7" s="742"/>
      <c r="EZ7" s="742"/>
      <c r="FA7" s="742"/>
      <c r="FB7" s="742"/>
      <c r="FC7" s="742"/>
      <c r="FD7" s="742"/>
      <c r="FE7" s="742"/>
      <c r="FF7" s="742"/>
      <c r="FG7" s="742"/>
      <c r="FH7" s="742"/>
      <c r="FI7" s="742"/>
      <c r="FJ7" s="742"/>
      <c r="FK7" s="742"/>
      <c r="FL7" s="742"/>
      <c r="FM7" s="742"/>
      <c r="FN7" s="742"/>
      <c r="FO7" s="742"/>
      <c r="FP7" s="742"/>
      <c r="FQ7" s="742"/>
      <c r="FR7" s="742"/>
      <c r="FS7" s="742"/>
      <c r="FT7" s="742"/>
      <c r="FU7" s="742"/>
      <c r="FV7" s="742"/>
      <c r="FW7" s="742"/>
      <c r="FX7" s="742"/>
      <c r="FY7" s="742"/>
      <c r="FZ7" s="742"/>
      <c r="GA7" s="742"/>
      <c r="GB7" s="742"/>
      <c r="GC7" s="742"/>
      <c r="GD7" s="742"/>
      <c r="GE7" s="742"/>
      <c r="GF7" s="742"/>
      <c r="GG7" s="742"/>
      <c r="GH7" s="742"/>
      <c r="GI7" s="742"/>
      <c r="GJ7" s="742"/>
      <c r="GK7" s="742"/>
      <c r="GL7" s="742"/>
      <c r="GM7" s="742"/>
      <c r="GN7" s="742"/>
      <c r="GO7" s="742"/>
      <c r="GP7" s="742"/>
      <c r="GQ7" s="742"/>
      <c r="GR7" s="742"/>
      <c r="GS7" s="742"/>
      <c r="GT7" s="742"/>
      <c r="GU7" s="742"/>
      <c r="GV7" s="742"/>
      <c r="GW7" s="742"/>
      <c r="GX7" s="742"/>
      <c r="GY7" s="742"/>
      <c r="GZ7" s="742"/>
      <c r="HA7" s="742"/>
      <c r="HB7" s="742"/>
      <c r="HC7" s="742"/>
      <c r="HD7" s="742"/>
      <c r="HE7" s="742"/>
      <c r="HF7" s="742"/>
      <c r="HG7" s="742"/>
      <c r="HH7" s="742"/>
      <c r="HI7" s="742"/>
      <c r="HJ7" s="742"/>
      <c r="HK7" s="742"/>
      <c r="HL7" s="742"/>
      <c r="HM7" s="742"/>
      <c r="HN7" s="742"/>
      <c r="HO7" s="742"/>
      <c r="HP7" s="742"/>
      <c r="HQ7" s="742"/>
      <c r="HR7" s="742"/>
      <c r="HS7" s="742"/>
      <c r="HT7" s="742"/>
      <c r="HU7" s="742"/>
      <c r="HV7" s="742"/>
      <c r="HW7" s="742"/>
      <c r="HX7" s="742"/>
      <c r="HY7" s="742"/>
      <c r="HZ7" s="742"/>
      <c r="IA7" s="742"/>
      <c r="IB7" s="742"/>
      <c r="IC7" s="742"/>
      <c r="ID7" s="742"/>
      <c r="IE7" s="742"/>
      <c r="IF7" s="742"/>
      <c r="IG7" s="742"/>
      <c r="IH7" s="742"/>
      <c r="II7" s="742"/>
      <c r="IJ7" s="742"/>
      <c r="IK7" s="742"/>
      <c r="IL7" s="742"/>
      <c r="IM7" s="742"/>
      <c r="IN7" s="742"/>
      <c r="IO7" s="742"/>
      <c r="IP7" s="742"/>
      <c r="IQ7" s="742"/>
      <c r="IR7" s="742"/>
      <c r="IS7" s="742"/>
      <c r="IT7" s="742"/>
      <c r="IU7" s="742"/>
      <c r="IV7" s="742"/>
      <c r="IW7" s="742"/>
    </row>
    <row r="8" customFormat="false" ht="12.75" hidden="false" customHeight="false" outlineLevel="0" collapsed="false">
      <c r="A8" s="752"/>
      <c r="B8" s="114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753"/>
      <c r="AQ8" s="754" t="n">
        <f aca="false">AQ7+1</f>
        <v>2</v>
      </c>
      <c r="AR8" s="742"/>
      <c r="AS8" s="742"/>
      <c r="AT8" s="742"/>
      <c r="AU8" s="742"/>
      <c r="AV8" s="742"/>
      <c r="AW8" s="742"/>
      <c r="AX8" s="742"/>
      <c r="AY8" s="742"/>
      <c r="AZ8" s="742"/>
      <c r="BA8" s="742"/>
      <c r="BB8" s="742"/>
      <c r="BC8" s="742"/>
      <c r="BD8" s="742"/>
      <c r="BE8" s="742"/>
      <c r="BF8" s="742"/>
      <c r="BG8" s="742"/>
      <c r="BH8" s="742"/>
      <c r="BI8" s="742"/>
      <c r="BJ8" s="742"/>
      <c r="BK8" s="742"/>
      <c r="BL8" s="742"/>
      <c r="BM8" s="742"/>
      <c r="BN8" s="742"/>
      <c r="BO8" s="742"/>
      <c r="BP8" s="742"/>
      <c r="BQ8" s="742"/>
      <c r="BR8" s="742"/>
      <c r="BS8" s="742"/>
      <c r="BT8" s="742"/>
      <c r="BU8" s="742"/>
      <c r="BV8" s="742"/>
      <c r="BW8" s="742"/>
      <c r="BX8" s="742"/>
      <c r="BY8" s="742"/>
      <c r="BZ8" s="742"/>
      <c r="CA8" s="742"/>
      <c r="CB8" s="742"/>
      <c r="CC8" s="742"/>
      <c r="CD8" s="742"/>
      <c r="CE8" s="742"/>
      <c r="CF8" s="742"/>
      <c r="CG8" s="742"/>
      <c r="CH8" s="742"/>
      <c r="CI8" s="742"/>
      <c r="CJ8" s="742"/>
      <c r="CK8" s="742"/>
      <c r="CL8" s="742"/>
      <c r="CM8" s="742"/>
      <c r="CN8" s="742"/>
      <c r="CO8" s="742"/>
      <c r="CP8" s="742"/>
      <c r="CQ8" s="742"/>
      <c r="CR8" s="742"/>
      <c r="CS8" s="742"/>
      <c r="CT8" s="742"/>
      <c r="CU8" s="742"/>
      <c r="CV8" s="742"/>
      <c r="CW8" s="742"/>
      <c r="CX8" s="742"/>
      <c r="CY8" s="742"/>
      <c r="CZ8" s="742"/>
      <c r="DA8" s="742"/>
      <c r="DB8" s="742"/>
      <c r="DC8" s="742"/>
      <c r="DD8" s="742"/>
      <c r="DE8" s="742"/>
      <c r="DF8" s="742"/>
      <c r="DG8" s="742"/>
      <c r="DH8" s="742"/>
      <c r="DI8" s="742"/>
      <c r="DJ8" s="742"/>
      <c r="DK8" s="742"/>
      <c r="DL8" s="742"/>
      <c r="DM8" s="742"/>
      <c r="DN8" s="742"/>
      <c r="DO8" s="742"/>
      <c r="DP8" s="742"/>
      <c r="DQ8" s="742"/>
      <c r="DR8" s="742"/>
      <c r="DS8" s="742"/>
      <c r="DT8" s="742"/>
      <c r="DU8" s="742"/>
      <c r="DV8" s="742"/>
      <c r="DW8" s="742"/>
      <c r="DX8" s="742"/>
      <c r="DY8" s="742"/>
      <c r="DZ8" s="742"/>
      <c r="EA8" s="742"/>
      <c r="EB8" s="742"/>
      <c r="EC8" s="742"/>
      <c r="ED8" s="742"/>
      <c r="EE8" s="742"/>
      <c r="EF8" s="742"/>
      <c r="EG8" s="742"/>
      <c r="EH8" s="742"/>
      <c r="EI8" s="742"/>
      <c r="EJ8" s="742"/>
      <c r="EK8" s="742"/>
      <c r="EL8" s="742"/>
      <c r="EM8" s="742"/>
      <c r="EN8" s="742"/>
      <c r="EO8" s="742"/>
      <c r="EP8" s="742"/>
      <c r="EQ8" s="742"/>
      <c r="ER8" s="742"/>
      <c r="ES8" s="742"/>
      <c r="ET8" s="742"/>
      <c r="EU8" s="742"/>
      <c r="EV8" s="742"/>
      <c r="EW8" s="742"/>
      <c r="EX8" s="742"/>
      <c r="EY8" s="742"/>
      <c r="EZ8" s="742"/>
      <c r="FA8" s="742"/>
      <c r="FB8" s="742"/>
      <c r="FC8" s="742"/>
      <c r="FD8" s="742"/>
      <c r="FE8" s="742"/>
      <c r="FF8" s="742"/>
      <c r="FG8" s="742"/>
      <c r="FH8" s="742"/>
      <c r="FI8" s="742"/>
      <c r="FJ8" s="742"/>
      <c r="FK8" s="742"/>
      <c r="FL8" s="742"/>
      <c r="FM8" s="742"/>
      <c r="FN8" s="742"/>
      <c r="FO8" s="742"/>
      <c r="FP8" s="742"/>
      <c r="FQ8" s="742"/>
      <c r="FR8" s="742"/>
      <c r="FS8" s="742"/>
      <c r="FT8" s="742"/>
      <c r="FU8" s="742"/>
      <c r="FV8" s="742"/>
      <c r="FW8" s="742"/>
      <c r="FX8" s="742"/>
      <c r="FY8" s="742"/>
      <c r="FZ8" s="742"/>
      <c r="GA8" s="742"/>
      <c r="GB8" s="742"/>
      <c r="GC8" s="742"/>
      <c r="GD8" s="742"/>
      <c r="GE8" s="742"/>
      <c r="GF8" s="742"/>
      <c r="GG8" s="742"/>
      <c r="GH8" s="742"/>
      <c r="GI8" s="742"/>
      <c r="GJ8" s="742"/>
      <c r="GK8" s="742"/>
      <c r="GL8" s="742"/>
      <c r="GM8" s="742"/>
      <c r="GN8" s="742"/>
      <c r="GO8" s="742"/>
      <c r="GP8" s="742"/>
      <c r="GQ8" s="742"/>
      <c r="GR8" s="742"/>
      <c r="GS8" s="742"/>
      <c r="GT8" s="742"/>
      <c r="GU8" s="742"/>
      <c r="GV8" s="742"/>
      <c r="GW8" s="742"/>
      <c r="GX8" s="742"/>
      <c r="GY8" s="742"/>
      <c r="GZ8" s="742"/>
      <c r="HA8" s="742"/>
      <c r="HB8" s="742"/>
      <c r="HC8" s="742"/>
      <c r="HD8" s="742"/>
      <c r="HE8" s="742"/>
      <c r="HF8" s="742"/>
      <c r="HG8" s="742"/>
      <c r="HH8" s="742"/>
      <c r="HI8" s="742"/>
      <c r="HJ8" s="742"/>
      <c r="HK8" s="742"/>
      <c r="HL8" s="742"/>
      <c r="HM8" s="742"/>
      <c r="HN8" s="742"/>
      <c r="HO8" s="742"/>
      <c r="HP8" s="742"/>
      <c r="HQ8" s="742"/>
      <c r="HR8" s="742"/>
      <c r="HS8" s="742"/>
      <c r="HT8" s="742"/>
      <c r="HU8" s="742"/>
      <c r="HV8" s="742"/>
      <c r="HW8" s="742"/>
      <c r="HX8" s="742"/>
      <c r="HY8" s="742"/>
      <c r="HZ8" s="742"/>
      <c r="IA8" s="742"/>
      <c r="IB8" s="742"/>
      <c r="IC8" s="742"/>
      <c r="ID8" s="742"/>
      <c r="IE8" s="742"/>
      <c r="IF8" s="742"/>
      <c r="IG8" s="742"/>
      <c r="IH8" s="742"/>
      <c r="II8" s="742"/>
      <c r="IJ8" s="742"/>
      <c r="IK8" s="742"/>
      <c r="IL8" s="742"/>
      <c r="IM8" s="742"/>
      <c r="IN8" s="742"/>
      <c r="IO8" s="742"/>
      <c r="IP8" s="742"/>
      <c r="IQ8" s="742"/>
      <c r="IR8" s="742"/>
      <c r="IS8" s="742"/>
      <c r="IT8" s="742"/>
      <c r="IU8" s="742"/>
      <c r="IV8" s="742"/>
      <c r="IW8" s="742"/>
    </row>
    <row r="9" customFormat="false" ht="12.75" hidden="false" customHeight="false" outlineLevel="0" collapsed="false">
      <c r="A9" s="755" t="str">
        <f aca="false">Assm!N7</f>
        <v>EPC Turnkey Contract</v>
      </c>
      <c r="B9" s="114"/>
      <c r="C9" s="176" t="n">
        <f aca="false">Assm!R7</f>
        <v>92999.028</v>
      </c>
      <c r="D9" s="85"/>
      <c r="E9" s="600" t="n">
        <f aca="false">E84+E86+E89</f>
        <v>0</v>
      </c>
      <c r="F9" s="600" t="n">
        <f aca="false">F84+F86+F89</f>
        <v>0</v>
      </c>
      <c r="G9" s="600" t="n">
        <f aca="false">G84+G86+G89</f>
        <v>0</v>
      </c>
      <c r="H9" s="600" t="n">
        <f aca="false">H84+H86+H89</f>
        <v>0</v>
      </c>
      <c r="I9" s="600" t="n">
        <f aca="false">I84+I86+I89</f>
        <v>0</v>
      </c>
      <c r="J9" s="600" t="n">
        <f aca="false">J84+J86+J89</f>
        <v>0</v>
      </c>
      <c r="K9" s="600" t="n">
        <f aca="false">K84+K86+K89</f>
        <v>0</v>
      </c>
      <c r="L9" s="600" t="n">
        <f aca="false">L84+L86+L89</f>
        <v>0</v>
      </c>
      <c r="M9" s="600" t="n">
        <f aca="false">M84+M86+M89</f>
        <v>5851.483</v>
      </c>
      <c r="N9" s="600" t="n">
        <f aca="false">N84+N86+N89</f>
        <v>162.499</v>
      </c>
      <c r="O9" s="600" t="n">
        <f aca="false">O84+O86+O89</f>
        <v>4545.144</v>
      </c>
      <c r="P9" s="600" t="n">
        <f aca="false">P84+P86+P89</f>
        <v>1515.927</v>
      </c>
      <c r="Q9" s="600" t="n">
        <f aca="false">Q84+Q86+Q89</f>
        <v>4663.718</v>
      </c>
      <c r="R9" s="600" t="n">
        <f aca="false">R84+R86+R89</f>
        <v>3241.745</v>
      </c>
      <c r="S9" s="600" t="n">
        <f aca="false">S84+S86+S89</f>
        <v>4594.402</v>
      </c>
      <c r="T9" s="600" t="n">
        <f aca="false">T84+T86+T89</f>
        <v>11490.086</v>
      </c>
      <c r="U9" s="600" t="n">
        <f aca="false">U84+U86+U89</f>
        <v>3008.035</v>
      </c>
      <c r="V9" s="600" t="n">
        <f aca="false">V84+V86+V89</f>
        <v>7970.284</v>
      </c>
      <c r="W9" s="600" t="n">
        <f aca="false">W84+W86+W89</f>
        <v>6703.0307</v>
      </c>
      <c r="X9" s="600" t="n">
        <f aca="false">X84+X86+X89</f>
        <v>7049.407</v>
      </c>
      <c r="Y9" s="756" t="n">
        <f aca="false">($C$15-SUM($E9:$X9))/13</f>
        <v>3623.21355718833</v>
      </c>
      <c r="Z9" s="756" t="n">
        <f aca="false">($C$15-SUM($E9:$X9))/13</f>
        <v>3623.21355718833</v>
      </c>
      <c r="AA9" s="756" t="n">
        <f aca="false">($C$15-SUM($E9:$X9))/13</f>
        <v>3623.21355718833</v>
      </c>
      <c r="AB9" s="756" t="n">
        <f aca="false">($C$15-SUM($E9:$X9))/13</f>
        <v>3623.21355718833</v>
      </c>
      <c r="AC9" s="756" t="n">
        <f aca="false">($C$15-SUM($E9:$X9))/13</f>
        <v>3623.21355718833</v>
      </c>
      <c r="AD9" s="756" t="n">
        <f aca="false">($C$15-SUM($E9:$X9))/13</f>
        <v>3623.21355718833</v>
      </c>
      <c r="AE9" s="756" t="n">
        <f aca="false">($C$15-SUM($E9:$X9))/13</f>
        <v>3623.21355718833</v>
      </c>
      <c r="AF9" s="756" t="n">
        <f aca="false">($C$15-SUM($E9:$X9))/13</f>
        <v>3623.21355718833</v>
      </c>
      <c r="AG9" s="756" t="n">
        <f aca="false">($C$15-SUM($E9:$X9))/13</f>
        <v>3623.21355718833</v>
      </c>
      <c r="AH9" s="756" t="n">
        <f aca="false">($C$15-SUM($E9:$X9))/13</f>
        <v>3623.21355718833</v>
      </c>
      <c r="AI9" s="756" t="n">
        <f aca="false">($C$15-SUM($E9:$X9))/13</f>
        <v>3623.21355718833</v>
      </c>
      <c r="AJ9" s="756" t="n">
        <f aca="false">($C$15-SUM($E9:$X9))/13</f>
        <v>3623.21355718833</v>
      </c>
      <c r="AK9" s="756" t="n">
        <f aca="false">($C$15-SUM($E9:$X9))/13</f>
        <v>3623.21355718833</v>
      </c>
      <c r="AL9" s="756" t="n">
        <v>0</v>
      </c>
      <c r="AM9" s="756" t="n">
        <v>0</v>
      </c>
      <c r="AN9" s="756" t="n">
        <v>0</v>
      </c>
      <c r="AO9" s="85"/>
      <c r="AP9" s="586" t="n">
        <f aca="false">SUM(E9:AO9)</f>
        <v>107897.536943448</v>
      </c>
      <c r="AQ9" s="754" t="n">
        <f aca="false">AQ8+1</f>
        <v>3</v>
      </c>
      <c r="AR9" s="742"/>
      <c r="AS9" s="742"/>
      <c r="AT9" s="742"/>
      <c r="AU9" s="742"/>
      <c r="AV9" s="742"/>
      <c r="AW9" s="742"/>
      <c r="AX9" s="742"/>
      <c r="AY9" s="742"/>
      <c r="AZ9" s="742"/>
      <c r="BA9" s="742"/>
      <c r="BB9" s="742"/>
      <c r="BC9" s="742"/>
      <c r="BD9" s="742"/>
      <c r="BE9" s="742"/>
      <c r="BF9" s="742"/>
      <c r="BG9" s="742"/>
      <c r="BH9" s="742"/>
      <c r="BI9" s="742"/>
      <c r="BJ9" s="742"/>
      <c r="BK9" s="742"/>
      <c r="BL9" s="742"/>
      <c r="BM9" s="742"/>
      <c r="BN9" s="742"/>
      <c r="BO9" s="742"/>
      <c r="BP9" s="742"/>
      <c r="BQ9" s="742"/>
      <c r="BR9" s="742"/>
      <c r="BS9" s="742"/>
      <c r="BT9" s="742"/>
      <c r="BU9" s="742"/>
      <c r="BV9" s="742"/>
      <c r="BW9" s="742"/>
      <c r="BX9" s="742"/>
      <c r="BY9" s="742"/>
      <c r="BZ9" s="742"/>
      <c r="CA9" s="742"/>
      <c r="CB9" s="742"/>
      <c r="CC9" s="742"/>
      <c r="CD9" s="742"/>
      <c r="CE9" s="742"/>
      <c r="CF9" s="742"/>
      <c r="CG9" s="742"/>
      <c r="CH9" s="742"/>
      <c r="CI9" s="742"/>
      <c r="CJ9" s="742"/>
      <c r="CK9" s="742"/>
      <c r="CL9" s="742"/>
      <c r="CM9" s="742"/>
      <c r="CN9" s="742"/>
      <c r="CO9" s="742"/>
      <c r="CP9" s="742"/>
      <c r="CQ9" s="742"/>
      <c r="CR9" s="742"/>
      <c r="CS9" s="742"/>
      <c r="CT9" s="742"/>
      <c r="CU9" s="742"/>
      <c r="CV9" s="742"/>
      <c r="CW9" s="742"/>
      <c r="CX9" s="742"/>
      <c r="CY9" s="742"/>
      <c r="CZ9" s="742"/>
      <c r="DA9" s="742"/>
      <c r="DB9" s="742"/>
      <c r="DC9" s="742"/>
      <c r="DD9" s="742"/>
      <c r="DE9" s="742"/>
      <c r="DF9" s="742"/>
      <c r="DG9" s="742"/>
      <c r="DH9" s="742"/>
      <c r="DI9" s="742"/>
      <c r="DJ9" s="742"/>
      <c r="DK9" s="742"/>
      <c r="DL9" s="742"/>
      <c r="DM9" s="742"/>
      <c r="DN9" s="742"/>
      <c r="DO9" s="742"/>
      <c r="DP9" s="742"/>
      <c r="DQ9" s="742"/>
      <c r="DR9" s="742"/>
      <c r="DS9" s="742"/>
      <c r="DT9" s="742"/>
      <c r="DU9" s="742"/>
      <c r="DV9" s="742"/>
      <c r="DW9" s="742"/>
      <c r="DX9" s="742"/>
      <c r="DY9" s="742"/>
      <c r="DZ9" s="742"/>
      <c r="EA9" s="742"/>
      <c r="EB9" s="742"/>
      <c r="EC9" s="742"/>
      <c r="ED9" s="742"/>
      <c r="EE9" s="742"/>
      <c r="EF9" s="742"/>
      <c r="EG9" s="742"/>
      <c r="EH9" s="742"/>
      <c r="EI9" s="742"/>
      <c r="EJ9" s="742"/>
      <c r="EK9" s="742"/>
      <c r="EL9" s="742"/>
      <c r="EM9" s="742"/>
      <c r="EN9" s="742"/>
      <c r="EO9" s="742"/>
      <c r="EP9" s="742"/>
      <c r="EQ9" s="742"/>
      <c r="ER9" s="742"/>
      <c r="ES9" s="742"/>
      <c r="ET9" s="742"/>
      <c r="EU9" s="742"/>
      <c r="EV9" s="742"/>
      <c r="EW9" s="742"/>
      <c r="EX9" s="742"/>
      <c r="EY9" s="742"/>
      <c r="EZ9" s="742"/>
      <c r="FA9" s="742"/>
      <c r="FB9" s="742"/>
      <c r="FC9" s="742"/>
      <c r="FD9" s="742"/>
      <c r="FE9" s="742"/>
      <c r="FF9" s="742"/>
      <c r="FG9" s="742"/>
      <c r="FH9" s="742"/>
      <c r="FI9" s="742"/>
      <c r="FJ9" s="742"/>
      <c r="FK9" s="742"/>
      <c r="FL9" s="742"/>
      <c r="FM9" s="742"/>
      <c r="FN9" s="742"/>
      <c r="FO9" s="742"/>
      <c r="FP9" s="742"/>
      <c r="FQ9" s="742"/>
      <c r="FR9" s="742"/>
      <c r="FS9" s="742"/>
      <c r="FT9" s="742"/>
      <c r="FU9" s="742"/>
      <c r="FV9" s="742"/>
      <c r="FW9" s="742"/>
      <c r="FX9" s="742"/>
      <c r="FY9" s="742"/>
      <c r="FZ9" s="742"/>
      <c r="GA9" s="742"/>
      <c r="GB9" s="742"/>
      <c r="GC9" s="742"/>
      <c r="GD9" s="742"/>
      <c r="GE9" s="742"/>
      <c r="GF9" s="742"/>
      <c r="GG9" s="742"/>
      <c r="GH9" s="742"/>
      <c r="GI9" s="742"/>
      <c r="GJ9" s="742"/>
      <c r="GK9" s="742"/>
      <c r="GL9" s="742"/>
      <c r="GM9" s="742"/>
      <c r="GN9" s="742"/>
      <c r="GO9" s="742"/>
      <c r="GP9" s="742"/>
      <c r="GQ9" s="742"/>
      <c r="GR9" s="742"/>
      <c r="GS9" s="742"/>
      <c r="GT9" s="742"/>
      <c r="GU9" s="742"/>
      <c r="GV9" s="742"/>
      <c r="GW9" s="742"/>
      <c r="GX9" s="742"/>
      <c r="GY9" s="742"/>
      <c r="GZ9" s="742"/>
      <c r="HA9" s="742"/>
      <c r="HB9" s="742"/>
      <c r="HC9" s="742"/>
      <c r="HD9" s="742"/>
      <c r="HE9" s="742"/>
      <c r="HF9" s="742"/>
      <c r="HG9" s="742"/>
      <c r="HH9" s="742"/>
      <c r="HI9" s="742"/>
      <c r="HJ9" s="742"/>
      <c r="HK9" s="742"/>
      <c r="HL9" s="742"/>
      <c r="HM9" s="742"/>
      <c r="HN9" s="742"/>
      <c r="HO9" s="742"/>
      <c r="HP9" s="742"/>
      <c r="HQ9" s="742"/>
      <c r="HR9" s="742"/>
      <c r="HS9" s="742"/>
      <c r="HT9" s="742"/>
      <c r="HU9" s="742"/>
      <c r="HV9" s="742"/>
      <c r="HW9" s="742"/>
      <c r="HX9" s="742"/>
      <c r="HY9" s="742"/>
      <c r="HZ9" s="742"/>
      <c r="IA9" s="742"/>
      <c r="IB9" s="742"/>
      <c r="IC9" s="742"/>
      <c r="ID9" s="742"/>
      <c r="IE9" s="742"/>
      <c r="IF9" s="742"/>
      <c r="IG9" s="742"/>
      <c r="IH9" s="742"/>
      <c r="II9" s="742"/>
      <c r="IJ9" s="742"/>
      <c r="IK9" s="742"/>
      <c r="IL9" s="742"/>
      <c r="IM9" s="742"/>
      <c r="IN9" s="742"/>
      <c r="IO9" s="742"/>
      <c r="IP9" s="742"/>
      <c r="IQ9" s="742"/>
      <c r="IR9" s="742"/>
      <c r="IS9" s="742"/>
      <c r="IT9" s="742"/>
      <c r="IU9" s="742"/>
      <c r="IV9" s="742"/>
      <c r="IW9" s="742"/>
    </row>
    <row r="10" customFormat="false" ht="12.75" hidden="false" customHeight="false" outlineLevel="0" collapsed="false">
      <c r="A10" s="755" t="str">
        <f aca="false">Assm!N8</f>
        <v>Approved Change Orders</v>
      </c>
      <c r="B10" s="114"/>
      <c r="C10" s="176" t="n">
        <f aca="false">Assm!R8</f>
        <v>6173.819</v>
      </c>
      <c r="D10" s="85"/>
      <c r="E10" s="159" t="n">
        <v>0</v>
      </c>
      <c r="F10" s="159" t="n">
        <v>0</v>
      </c>
      <c r="G10" s="159" t="n">
        <v>0</v>
      </c>
      <c r="H10" s="159" t="n">
        <v>0</v>
      </c>
      <c r="I10" s="159" t="n">
        <v>0</v>
      </c>
      <c r="J10" s="159" t="n">
        <v>0</v>
      </c>
      <c r="K10" s="159" t="n">
        <v>0</v>
      </c>
      <c r="L10" s="159" t="n">
        <v>0</v>
      </c>
      <c r="M10" s="159" t="n">
        <v>0</v>
      </c>
      <c r="N10" s="159" t="n">
        <v>0</v>
      </c>
      <c r="O10" s="159" t="n">
        <v>0</v>
      </c>
      <c r="P10" s="159" t="n">
        <v>0</v>
      </c>
      <c r="Q10" s="159" t="n">
        <v>0</v>
      </c>
      <c r="R10" s="159" t="n">
        <v>0</v>
      </c>
      <c r="S10" s="159" t="n">
        <v>0</v>
      </c>
      <c r="T10" s="159" t="n">
        <v>0</v>
      </c>
      <c r="U10" s="159" t="n">
        <v>0</v>
      </c>
      <c r="V10" s="159" t="n">
        <v>0</v>
      </c>
      <c r="W10" s="159" t="n">
        <v>0</v>
      </c>
      <c r="X10" s="159" t="n">
        <v>0</v>
      </c>
      <c r="Y10" s="159" t="n">
        <v>0</v>
      </c>
      <c r="Z10" s="159" t="n">
        <v>0</v>
      </c>
      <c r="AA10" s="159" t="n">
        <v>0</v>
      </c>
      <c r="AB10" s="159" t="n">
        <v>0</v>
      </c>
      <c r="AC10" s="159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85"/>
      <c r="AP10" s="586" t="n">
        <f aca="false">SUM(E10:AO10)</f>
        <v>0</v>
      </c>
      <c r="AQ10" s="754" t="n">
        <f aca="false">AQ9+1</f>
        <v>4</v>
      </c>
      <c r="AR10" s="742"/>
      <c r="AS10" s="742"/>
      <c r="AT10" s="742"/>
      <c r="AU10" s="742"/>
      <c r="AV10" s="742"/>
      <c r="AW10" s="742"/>
      <c r="AX10" s="742"/>
      <c r="AY10" s="742"/>
      <c r="AZ10" s="742"/>
      <c r="BA10" s="742"/>
      <c r="BB10" s="742"/>
      <c r="BC10" s="742"/>
      <c r="BD10" s="742"/>
      <c r="BE10" s="742"/>
      <c r="BF10" s="742"/>
      <c r="BG10" s="742"/>
      <c r="BH10" s="742"/>
      <c r="BI10" s="742"/>
      <c r="BJ10" s="742"/>
      <c r="BK10" s="742"/>
      <c r="BL10" s="742"/>
      <c r="BM10" s="742"/>
      <c r="BN10" s="742"/>
      <c r="BO10" s="742"/>
      <c r="BP10" s="742"/>
      <c r="BQ10" s="742"/>
      <c r="BR10" s="742"/>
      <c r="BS10" s="742"/>
      <c r="BT10" s="742"/>
      <c r="BU10" s="742"/>
      <c r="BV10" s="742"/>
      <c r="BW10" s="742"/>
      <c r="BX10" s="742"/>
      <c r="BY10" s="742"/>
      <c r="BZ10" s="742"/>
      <c r="CA10" s="742"/>
      <c r="CB10" s="742"/>
      <c r="CC10" s="742"/>
      <c r="CD10" s="742"/>
      <c r="CE10" s="742"/>
      <c r="CF10" s="742"/>
      <c r="CG10" s="742"/>
      <c r="CH10" s="742"/>
      <c r="CI10" s="742"/>
      <c r="CJ10" s="742"/>
      <c r="CK10" s="742"/>
      <c r="CL10" s="742"/>
      <c r="CM10" s="742"/>
      <c r="CN10" s="742"/>
      <c r="CO10" s="742"/>
      <c r="CP10" s="742"/>
      <c r="CQ10" s="742"/>
      <c r="CR10" s="742"/>
      <c r="CS10" s="742"/>
      <c r="CT10" s="742"/>
      <c r="CU10" s="742"/>
      <c r="CV10" s="742"/>
      <c r="CW10" s="742"/>
      <c r="CX10" s="742"/>
      <c r="CY10" s="742"/>
      <c r="CZ10" s="742"/>
      <c r="DA10" s="742"/>
      <c r="DB10" s="742"/>
      <c r="DC10" s="742"/>
      <c r="DD10" s="742"/>
      <c r="DE10" s="742"/>
      <c r="DF10" s="742"/>
      <c r="DG10" s="742"/>
      <c r="DH10" s="742"/>
      <c r="DI10" s="742"/>
      <c r="DJ10" s="742"/>
      <c r="DK10" s="742"/>
      <c r="DL10" s="742"/>
      <c r="DM10" s="742"/>
      <c r="DN10" s="742"/>
      <c r="DO10" s="742"/>
      <c r="DP10" s="742"/>
      <c r="DQ10" s="742"/>
      <c r="DR10" s="742"/>
      <c r="DS10" s="742"/>
      <c r="DT10" s="742"/>
      <c r="DU10" s="742"/>
      <c r="DV10" s="742"/>
      <c r="DW10" s="742"/>
      <c r="DX10" s="742"/>
      <c r="DY10" s="742"/>
      <c r="DZ10" s="742"/>
      <c r="EA10" s="742"/>
      <c r="EB10" s="742"/>
      <c r="EC10" s="742"/>
      <c r="ED10" s="742"/>
      <c r="EE10" s="742"/>
      <c r="EF10" s="742"/>
      <c r="EG10" s="742"/>
      <c r="EH10" s="742"/>
      <c r="EI10" s="742"/>
      <c r="EJ10" s="742"/>
      <c r="EK10" s="742"/>
      <c r="EL10" s="742"/>
      <c r="EM10" s="742"/>
      <c r="EN10" s="742"/>
      <c r="EO10" s="742"/>
      <c r="EP10" s="742"/>
      <c r="EQ10" s="742"/>
      <c r="ER10" s="742"/>
      <c r="ES10" s="742"/>
      <c r="ET10" s="742"/>
      <c r="EU10" s="742"/>
      <c r="EV10" s="742"/>
      <c r="EW10" s="742"/>
      <c r="EX10" s="742"/>
      <c r="EY10" s="742"/>
      <c r="EZ10" s="742"/>
      <c r="FA10" s="742"/>
      <c r="FB10" s="742"/>
      <c r="FC10" s="742"/>
      <c r="FD10" s="742"/>
      <c r="FE10" s="742"/>
      <c r="FF10" s="742"/>
      <c r="FG10" s="742"/>
      <c r="FH10" s="742"/>
      <c r="FI10" s="742"/>
      <c r="FJ10" s="742"/>
      <c r="FK10" s="742"/>
      <c r="FL10" s="742"/>
      <c r="FM10" s="742"/>
      <c r="FN10" s="742"/>
      <c r="FO10" s="742"/>
      <c r="FP10" s="742"/>
      <c r="FQ10" s="742"/>
      <c r="FR10" s="742"/>
      <c r="FS10" s="742"/>
      <c r="FT10" s="742"/>
      <c r="FU10" s="742"/>
      <c r="FV10" s="742"/>
      <c r="FW10" s="742"/>
      <c r="FX10" s="742"/>
      <c r="FY10" s="742"/>
      <c r="FZ10" s="742"/>
      <c r="GA10" s="742"/>
      <c r="GB10" s="742"/>
      <c r="GC10" s="742"/>
      <c r="GD10" s="742"/>
      <c r="GE10" s="742"/>
      <c r="GF10" s="742"/>
      <c r="GG10" s="742"/>
      <c r="GH10" s="742"/>
      <c r="GI10" s="742"/>
      <c r="GJ10" s="742"/>
      <c r="GK10" s="742"/>
      <c r="GL10" s="742"/>
      <c r="GM10" s="742"/>
      <c r="GN10" s="742"/>
      <c r="GO10" s="742"/>
      <c r="GP10" s="742"/>
      <c r="GQ10" s="742"/>
      <c r="GR10" s="742"/>
      <c r="GS10" s="742"/>
      <c r="GT10" s="742"/>
      <c r="GU10" s="742"/>
      <c r="GV10" s="742"/>
      <c r="GW10" s="742"/>
      <c r="GX10" s="742"/>
      <c r="GY10" s="742"/>
      <c r="GZ10" s="742"/>
      <c r="HA10" s="742"/>
      <c r="HB10" s="742"/>
      <c r="HC10" s="742"/>
      <c r="HD10" s="742"/>
      <c r="HE10" s="742"/>
      <c r="HF10" s="742"/>
      <c r="HG10" s="742"/>
      <c r="HH10" s="742"/>
      <c r="HI10" s="742"/>
      <c r="HJ10" s="742"/>
      <c r="HK10" s="742"/>
      <c r="HL10" s="742"/>
      <c r="HM10" s="742"/>
      <c r="HN10" s="742"/>
      <c r="HO10" s="742"/>
      <c r="HP10" s="742"/>
      <c r="HQ10" s="742"/>
      <c r="HR10" s="742"/>
      <c r="HS10" s="742"/>
      <c r="HT10" s="742"/>
      <c r="HU10" s="742"/>
      <c r="HV10" s="742"/>
      <c r="HW10" s="742"/>
      <c r="HX10" s="742"/>
      <c r="HY10" s="742"/>
      <c r="HZ10" s="742"/>
      <c r="IA10" s="742"/>
      <c r="IB10" s="742"/>
      <c r="IC10" s="742"/>
      <c r="ID10" s="742"/>
      <c r="IE10" s="742"/>
      <c r="IF10" s="742"/>
      <c r="IG10" s="742"/>
      <c r="IH10" s="742"/>
      <c r="II10" s="742"/>
      <c r="IJ10" s="742"/>
      <c r="IK10" s="742"/>
      <c r="IL10" s="742"/>
      <c r="IM10" s="742"/>
      <c r="IN10" s="742"/>
      <c r="IO10" s="742"/>
      <c r="IP10" s="742"/>
      <c r="IQ10" s="742"/>
      <c r="IR10" s="742"/>
      <c r="IS10" s="742"/>
      <c r="IT10" s="742"/>
      <c r="IU10" s="742"/>
      <c r="IV10" s="742"/>
      <c r="IW10" s="742"/>
    </row>
    <row r="11" customFormat="false" ht="12.75" hidden="false" customHeight="false" outlineLevel="0" collapsed="false">
      <c r="A11" s="755" t="str">
        <f aca="false">Assm!N9</f>
        <v>Pending Change Orders</v>
      </c>
      <c r="B11" s="114"/>
      <c r="C11" s="176" t="n">
        <f aca="false">Assm!R9</f>
        <v>0</v>
      </c>
      <c r="D11" s="85"/>
      <c r="E11" s="159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 t="n">
        <v>0</v>
      </c>
      <c r="K11" s="159" t="n">
        <v>0</v>
      </c>
      <c r="L11" s="159" t="n">
        <v>0</v>
      </c>
      <c r="M11" s="159" t="n">
        <v>0</v>
      </c>
      <c r="N11" s="159" t="n">
        <v>0</v>
      </c>
      <c r="O11" s="159" t="n">
        <v>0</v>
      </c>
      <c r="P11" s="159" t="n">
        <v>0</v>
      </c>
      <c r="Q11" s="159" t="n">
        <v>0</v>
      </c>
      <c r="R11" s="159" t="n">
        <v>0</v>
      </c>
      <c r="S11" s="159" t="n">
        <v>0</v>
      </c>
      <c r="T11" s="159" t="n">
        <v>0</v>
      </c>
      <c r="U11" s="159" t="n">
        <v>0</v>
      </c>
      <c r="V11" s="159" t="n">
        <v>0</v>
      </c>
      <c r="W11" s="159" t="n">
        <v>0</v>
      </c>
      <c r="X11" s="159" t="n">
        <v>0</v>
      </c>
      <c r="Y11" s="159" t="n">
        <v>0</v>
      </c>
      <c r="Z11" s="159" t="n">
        <v>0</v>
      </c>
      <c r="AA11" s="159" t="n">
        <v>0</v>
      </c>
      <c r="AB11" s="159" t="n">
        <v>0</v>
      </c>
      <c r="AC11" s="159" t="n">
        <v>0</v>
      </c>
      <c r="AD11" s="159" t="n">
        <v>0</v>
      </c>
      <c r="AE11" s="159" t="n">
        <v>0</v>
      </c>
      <c r="AF11" s="159" t="n">
        <v>0</v>
      </c>
      <c r="AG11" s="159" t="n">
        <v>0</v>
      </c>
      <c r="AH11" s="159" t="n">
        <v>0</v>
      </c>
      <c r="AI11" s="159" t="n">
        <v>0</v>
      </c>
      <c r="AJ11" s="159" t="n">
        <v>0</v>
      </c>
      <c r="AK11" s="159" t="n">
        <v>0</v>
      </c>
      <c r="AL11" s="159" t="n">
        <v>0</v>
      </c>
      <c r="AM11" s="159" t="n">
        <v>0</v>
      </c>
      <c r="AN11" s="159" t="n">
        <v>0</v>
      </c>
      <c r="AO11" s="85"/>
      <c r="AP11" s="586" t="n">
        <f aca="false">SUM(E11:AO11)</f>
        <v>0</v>
      </c>
      <c r="AQ11" s="754" t="n">
        <f aca="false">AQ10+1</f>
        <v>5</v>
      </c>
      <c r="AR11" s="742"/>
      <c r="AS11" s="742"/>
      <c r="AT11" s="742"/>
      <c r="AU11" s="742"/>
      <c r="AV11" s="742"/>
      <c r="AW11" s="742"/>
      <c r="AX11" s="742"/>
      <c r="AY11" s="742"/>
      <c r="AZ11" s="742"/>
      <c r="BA11" s="742"/>
      <c r="BB11" s="742"/>
      <c r="BC11" s="742"/>
      <c r="BD11" s="742"/>
      <c r="BE11" s="742"/>
      <c r="BF11" s="742"/>
      <c r="BG11" s="742"/>
      <c r="BH11" s="742"/>
      <c r="BI11" s="742"/>
      <c r="BJ11" s="742"/>
      <c r="BK11" s="742"/>
      <c r="BL11" s="742"/>
      <c r="BM11" s="742"/>
      <c r="BN11" s="742"/>
      <c r="BO11" s="742"/>
      <c r="BP11" s="742"/>
      <c r="BQ11" s="742"/>
      <c r="BR11" s="742"/>
      <c r="BS11" s="742"/>
      <c r="BT11" s="742"/>
      <c r="BU11" s="742"/>
      <c r="BV11" s="742"/>
      <c r="BW11" s="742"/>
      <c r="BX11" s="742"/>
      <c r="BY11" s="742"/>
      <c r="BZ11" s="742"/>
      <c r="CA11" s="742"/>
      <c r="CB11" s="742"/>
      <c r="CC11" s="742"/>
      <c r="CD11" s="742"/>
      <c r="CE11" s="742"/>
      <c r="CF11" s="742"/>
      <c r="CG11" s="742"/>
      <c r="CH11" s="742"/>
      <c r="CI11" s="742"/>
      <c r="CJ11" s="742"/>
      <c r="CK11" s="742"/>
      <c r="CL11" s="742"/>
      <c r="CM11" s="742"/>
      <c r="CN11" s="742"/>
      <c r="CO11" s="742"/>
      <c r="CP11" s="742"/>
      <c r="CQ11" s="742"/>
      <c r="CR11" s="742"/>
      <c r="CS11" s="742"/>
      <c r="CT11" s="742"/>
      <c r="CU11" s="742"/>
      <c r="CV11" s="742"/>
      <c r="CW11" s="742"/>
      <c r="CX11" s="742"/>
      <c r="CY11" s="742"/>
      <c r="CZ11" s="742"/>
      <c r="DA11" s="742"/>
      <c r="DB11" s="742"/>
      <c r="DC11" s="742"/>
      <c r="DD11" s="742"/>
      <c r="DE11" s="742"/>
      <c r="DF11" s="742"/>
      <c r="DG11" s="742"/>
      <c r="DH11" s="742"/>
      <c r="DI11" s="742"/>
      <c r="DJ11" s="742"/>
      <c r="DK11" s="742"/>
      <c r="DL11" s="742"/>
      <c r="DM11" s="742"/>
      <c r="DN11" s="742"/>
      <c r="DO11" s="742"/>
      <c r="DP11" s="742"/>
      <c r="DQ11" s="742"/>
      <c r="DR11" s="742"/>
      <c r="DS11" s="742"/>
      <c r="DT11" s="742"/>
      <c r="DU11" s="742"/>
      <c r="DV11" s="742"/>
      <c r="DW11" s="742"/>
      <c r="DX11" s="742"/>
      <c r="DY11" s="742"/>
      <c r="DZ11" s="742"/>
      <c r="EA11" s="742"/>
      <c r="EB11" s="742"/>
      <c r="EC11" s="742"/>
      <c r="ED11" s="742"/>
      <c r="EE11" s="742"/>
      <c r="EF11" s="742"/>
      <c r="EG11" s="742"/>
      <c r="EH11" s="742"/>
      <c r="EI11" s="742"/>
      <c r="EJ11" s="742"/>
      <c r="EK11" s="742"/>
      <c r="EL11" s="742"/>
      <c r="EM11" s="742"/>
      <c r="EN11" s="742"/>
      <c r="EO11" s="742"/>
      <c r="EP11" s="742"/>
      <c r="EQ11" s="742"/>
      <c r="ER11" s="742"/>
      <c r="ES11" s="742"/>
      <c r="ET11" s="742"/>
      <c r="EU11" s="742"/>
      <c r="EV11" s="742"/>
      <c r="EW11" s="742"/>
      <c r="EX11" s="742"/>
      <c r="EY11" s="742"/>
      <c r="EZ11" s="742"/>
      <c r="FA11" s="742"/>
      <c r="FB11" s="742"/>
      <c r="FC11" s="742"/>
      <c r="FD11" s="742"/>
      <c r="FE11" s="742"/>
      <c r="FF11" s="742"/>
      <c r="FG11" s="742"/>
      <c r="FH11" s="742"/>
      <c r="FI11" s="742"/>
      <c r="FJ11" s="742"/>
      <c r="FK11" s="742"/>
      <c r="FL11" s="742"/>
      <c r="FM11" s="742"/>
      <c r="FN11" s="742"/>
      <c r="FO11" s="742"/>
      <c r="FP11" s="742"/>
      <c r="FQ11" s="742"/>
      <c r="FR11" s="742"/>
      <c r="FS11" s="742"/>
      <c r="FT11" s="742"/>
      <c r="FU11" s="742"/>
      <c r="FV11" s="742"/>
      <c r="FW11" s="742"/>
      <c r="FX11" s="742"/>
      <c r="FY11" s="742"/>
      <c r="FZ11" s="742"/>
      <c r="GA11" s="742"/>
      <c r="GB11" s="742"/>
      <c r="GC11" s="742"/>
      <c r="GD11" s="742"/>
      <c r="GE11" s="742"/>
      <c r="GF11" s="742"/>
      <c r="GG11" s="742"/>
      <c r="GH11" s="742"/>
      <c r="GI11" s="742"/>
      <c r="GJ11" s="742"/>
      <c r="GK11" s="742"/>
      <c r="GL11" s="742"/>
      <c r="GM11" s="742"/>
      <c r="GN11" s="742"/>
      <c r="GO11" s="742"/>
      <c r="GP11" s="742"/>
      <c r="GQ11" s="742"/>
      <c r="GR11" s="742"/>
      <c r="GS11" s="742"/>
      <c r="GT11" s="742"/>
      <c r="GU11" s="742"/>
      <c r="GV11" s="742"/>
      <c r="GW11" s="742"/>
      <c r="GX11" s="742"/>
      <c r="GY11" s="742"/>
      <c r="GZ11" s="742"/>
      <c r="HA11" s="742"/>
      <c r="HB11" s="742"/>
      <c r="HC11" s="742"/>
      <c r="HD11" s="742"/>
      <c r="HE11" s="742"/>
      <c r="HF11" s="742"/>
      <c r="HG11" s="742"/>
      <c r="HH11" s="742"/>
      <c r="HI11" s="742"/>
      <c r="HJ11" s="742"/>
      <c r="HK11" s="742"/>
      <c r="HL11" s="742"/>
      <c r="HM11" s="742"/>
      <c r="HN11" s="742"/>
      <c r="HO11" s="742"/>
      <c r="HP11" s="742"/>
      <c r="HQ11" s="742"/>
      <c r="HR11" s="742"/>
      <c r="HS11" s="742"/>
      <c r="HT11" s="742"/>
      <c r="HU11" s="742"/>
      <c r="HV11" s="742"/>
      <c r="HW11" s="742"/>
      <c r="HX11" s="742"/>
      <c r="HY11" s="742"/>
      <c r="HZ11" s="742"/>
      <c r="IA11" s="742"/>
      <c r="IB11" s="742"/>
      <c r="IC11" s="742"/>
      <c r="ID11" s="742"/>
      <c r="IE11" s="742"/>
      <c r="IF11" s="742"/>
      <c r="IG11" s="742"/>
      <c r="IH11" s="742"/>
      <c r="II11" s="742"/>
      <c r="IJ11" s="742"/>
      <c r="IK11" s="742"/>
      <c r="IL11" s="742"/>
      <c r="IM11" s="742"/>
      <c r="IN11" s="742"/>
      <c r="IO11" s="742"/>
      <c r="IP11" s="742"/>
      <c r="IQ11" s="742"/>
      <c r="IR11" s="742"/>
      <c r="IS11" s="742"/>
      <c r="IT11" s="742"/>
      <c r="IU11" s="742"/>
      <c r="IV11" s="742"/>
      <c r="IW11" s="742"/>
    </row>
    <row r="12" customFormat="false" ht="12.75" hidden="false" customHeight="false" outlineLevel="0" collapsed="false">
      <c r="A12" s="755" t="str">
        <f aca="false">Assm!N10</f>
        <v>Other Change Orders</v>
      </c>
      <c r="B12" s="114"/>
      <c r="C12" s="176" t="n">
        <f aca="false">Assm!R10</f>
        <v>7914</v>
      </c>
      <c r="D12" s="85"/>
      <c r="E12" s="159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 t="n">
        <v>0</v>
      </c>
      <c r="K12" s="159" t="n">
        <v>0</v>
      </c>
      <c r="L12" s="159" t="n">
        <v>0</v>
      </c>
      <c r="M12" s="159" t="n">
        <v>0</v>
      </c>
      <c r="N12" s="159" t="n">
        <v>0</v>
      </c>
      <c r="O12" s="159" t="n">
        <v>0</v>
      </c>
      <c r="P12" s="159" t="n">
        <v>0</v>
      </c>
      <c r="Q12" s="159" t="n">
        <v>0</v>
      </c>
      <c r="R12" s="159" t="n">
        <v>0</v>
      </c>
      <c r="S12" s="159" t="n">
        <v>0</v>
      </c>
      <c r="T12" s="159" t="n">
        <v>0</v>
      </c>
      <c r="U12" s="159" t="n">
        <v>0</v>
      </c>
      <c r="V12" s="159" t="n">
        <v>0</v>
      </c>
      <c r="W12" s="159" t="n">
        <v>0</v>
      </c>
      <c r="X12" s="159" t="n">
        <v>0</v>
      </c>
      <c r="Y12" s="159" t="n">
        <v>0</v>
      </c>
      <c r="Z12" s="159" t="n">
        <v>0</v>
      </c>
      <c r="AA12" s="159" t="n">
        <v>0</v>
      </c>
      <c r="AB12" s="159" t="n">
        <v>0</v>
      </c>
      <c r="AC12" s="159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85"/>
      <c r="AP12" s="586" t="n">
        <f aca="false">SUM(E12:AO12)</f>
        <v>0</v>
      </c>
      <c r="AQ12" s="754" t="n">
        <f aca="false">AQ11+1</f>
        <v>6</v>
      </c>
      <c r="AR12" s="742"/>
      <c r="AS12" s="742"/>
      <c r="AT12" s="742"/>
      <c r="AU12" s="742"/>
      <c r="AV12" s="742"/>
      <c r="AW12" s="742"/>
      <c r="AX12" s="742"/>
      <c r="AY12" s="742"/>
      <c r="AZ12" s="742"/>
      <c r="BA12" s="742"/>
      <c r="BB12" s="742"/>
      <c r="BC12" s="742"/>
      <c r="BD12" s="742"/>
      <c r="BE12" s="742"/>
      <c r="BF12" s="742"/>
      <c r="BG12" s="742"/>
      <c r="BH12" s="742"/>
      <c r="BI12" s="742"/>
      <c r="BJ12" s="742"/>
      <c r="BK12" s="742"/>
      <c r="BL12" s="742"/>
      <c r="BM12" s="742"/>
      <c r="BN12" s="742"/>
      <c r="BO12" s="742"/>
      <c r="BP12" s="742"/>
      <c r="BQ12" s="742"/>
      <c r="BR12" s="742"/>
      <c r="BS12" s="742"/>
      <c r="BT12" s="742"/>
      <c r="BU12" s="742"/>
      <c r="BV12" s="742"/>
      <c r="BW12" s="742"/>
      <c r="BX12" s="742"/>
      <c r="BY12" s="742"/>
      <c r="BZ12" s="742"/>
      <c r="CA12" s="742"/>
      <c r="CB12" s="742"/>
      <c r="CC12" s="742"/>
      <c r="CD12" s="742"/>
      <c r="CE12" s="742"/>
      <c r="CF12" s="742"/>
      <c r="CG12" s="742"/>
      <c r="CH12" s="742"/>
      <c r="CI12" s="742"/>
      <c r="CJ12" s="742"/>
      <c r="CK12" s="742"/>
      <c r="CL12" s="742"/>
      <c r="CM12" s="742"/>
      <c r="CN12" s="742"/>
      <c r="CO12" s="742"/>
      <c r="CP12" s="742"/>
      <c r="CQ12" s="742"/>
      <c r="CR12" s="742"/>
      <c r="CS12" s="742"/>
      <c r="CT12" s="742"/>
      <c r="CU12" s="742"/>
      <c r="CV12" s="742"/>
      <c r="CW12" s="742"/>
      <c r="CX12" s="742"/>
      <c r="CY12" s="742"/>
      <c r="CZ12" s="742"/>
      <c r="DA12" s="742"/>
      <c r="DB12" s="742"/>
      <c r="DC12" s="742"/>
      <c r="DD12" s="742"/>
      <c r="DE12" s="742"/>
      <c r="DF12" s="742"/>
      <c r="DG12" s="742"/>
      <c r="DH12" s="742"/>
      <c r="DI12" s="742"/>
      <c r="DJ12" s="742"/>
      <c r="DK12" s="742"/>
      <c r="DL12" s="742"/>
      <c r="DM12" s="742"/>
      <c r="DN12" s="742"/>
      <c r="DO12" s="742"/>
      <c r="DP12" s="742"/>
      <c r="DQ12" s="742"/>
      <c r="DR12" s="742"/>
      <c r="DS12" s="742"/>
      <c r="DT12" s="742"/>
      <c r="DU12" s="742"/>
      <c r="DV12" s="742"/>
      <c r="DW12" s="742"/>
      <c r="DX12" s="742"/>
      <c r="DY12" s="742"/>
      <c r="DZ12" s="742"/>
      <c r="EA12" s="742"/>
      <c r="EB12" s="742"/>
      <c r="EC12" s="742"/>
      <c r="ED12" s="742"/>
      <c r="EE12" s="742"/>
      <c r="EF12" s="742"/>
      <c r="EG12" s="742"/>
      <c r="EH12" s="742"/>
      <c r="EI12" s="742"/>
      <c r="EJ12" s="742"/>
      <c r="EK12" s="742"/>
      <c r="EL12" s="742"/>
      <c r="EM12" s="742"/>
      <c r="EN12" s="742"/>
      <c r="EO12" s="742"/>
      <c r="EP12" s="742"/>
      <c r="EQ12" s="742"/>
      <c r="ER12" s="742"/>
      <c r="ES12" s="742"/>
      <c r="ET12" s="742"/>
      <c r="EU12" s="742"/>
      <c r="EV12" s="742"/>
      <c r="EW12" s="742"/>
      <c r="EX12" s="742"/>
      <c r="EY12" s="742"/>
      <c r="EZ12" s="742"/>
      <c r="FA12" s="742"/>
      <c r="FB12" s="742"/>
      <c r="FC12" s="742"/>
      <c r="FD12" s="742"/>
      <c r="FE12" s="742"/>
      <c r="FF12" s="742"/>
      <c r="FG12" s="742"/>
      <c r="FH12" s="742"/>
      <c r="FI12" s="742"/>
      <c r="FJ12" s="742"/>
      <c r="FK12" s="742"/>
      <c r="FL12" s="742"/>
      <c r="FM12" s="742"/>
      <c r="FN12" s="742"/>
      <c r="FO12" s="742"/>
      <c r="FP12" s="742"/>
      <c r="FQ12" s="742"/>
      <c r="FR12" s="742"/>
      <c r="FS12" s="742"/>
      <c r="FT12" s="742"/>
      <c r="FU12" s="742"/>
      <c r="FV12" s="742"/>
      <c r="FW12" s="742"/>
      <c r="FX12" s="742"/>
      <c r="FY12" s="742"/>
      <c r="FZ12" s="742"/>
      <c r="GA12" s="742"/>
      <c r="GB12" s="742"/>
      <c r="GC12" s="742"/>
      <c r="GD12" s="742"/>
      <c r="GE12" s="742"/>
      <c r="GF12" s="742"/>
      <c r="GG12" s="742"/>
      <c r="GH12" s="742"/>
      <c r="GI12" s="742"/>
      <c r="GJ12" s="742"/>
      <c r="GK12" s="742"/>
      <c r="GL12" s="742"/>
      <c r="GM12" s="742"/>
      <c r="GN12" s="742"/>
      <c r="GO12" s="742"/>
      <c r="GP12" s="742"/>
      <c r="GQ12" s="742"/>
      <c r="GR12" s="742"/>
      <c r="GS12" s="742"/>
      <c r="GT12" s="742"/>
      <c r="GU12" s="742"/>
      <c r="GV12" s="742"/>
      <c r="GW12" s="742"/>
      <c r="GX12" s="742"/>
      <c r="GY12" s="742"/>
      <c r="GZ12" s="742"/>
      <c r="HA12" s="742"/>
      <c r="HB12" s="742"/>
      <c r="HC12" s="742"/>
      <c r="HD12" s="742"/>
      <c r="HE12" s="742"/>
      <c r="HF12" s="742"/>
      <c r="HG12" s="742"/>
      <c r="HH12" s="742"/>
      <c r="HI12" s="742"/>
      <c r="HJ12" s="742"/>
      <c r="HK12" s="742"/>
      <c r="HL12" s="742"/>
      <c r="HM12" s="742"/>
      <c r="HN12" s="742"/>
      <c r="HO12" s="742"/>
      <c r="HP12" s="742"/>
      <c r="HQ12" s="742"/>
      <c r="HR12" s="742"/>
      <c r="HS12" s="742"/>
      <c r="HT12" s="742"/>
      <c r="HU12" s="742"/>
      <c r="HV12" s="742"/>
      <c r="HW12" s="742"/>
      <c r="HX12" s="742"/>
      <c r="HY12" s="742"/>
      <c r="HZ12" s="742"/>
      <c r="IA12" s="742"/>
      <c r="IB12" s="742"/>
      <c r="IC12" s="742"/>
      <c r="ID12" s="742"/>
      <c r="IE12" s="742"/>
      <c r="IF12" s="742"/>
      <c r="IG12" s="742"/>
      <c r="IH12" s="742"/>
      <c r="II12" s="742"/>
      <c r="IJ12" s="742"/>
      <c r="IK12" s="742"/>
      <c r="IL12" s="742"/>
      <c r="IM12" s="742"/>
      <c r="IN12" s="742"/>
      <c r="IO12" s="742"/>
      <c r="IP12" s="742"/>
      <c r="IQ12" s="742"/>
      <c r="IR12" s="742"/>
      <c r="IS12" s="742"/>
      <c r="IT12" s="742"/>
      <c r="IU12" s="742"/>
      <c r="IV12" s="742"/>
      <c r="IW12" s="742"/>
    </row>
    <row r="13" customFormat="false" ht="12.75" hidden="false" customHeight="false" outlineLevel="0" collapsed="false">
      <c r="A13" s="755" t="str">
        <f aca="false">Assm!N11</f>
        <v>Onshore Payment Adjustment</v>
      </c>
      <c r="B13" s="114"/>
      <c r="C13" s="176" t="n">
        <f aca="false">Assm!R11</f>
        <v>0</v>
      </c>
      <c r="D13" s="85"/>
      <c r="E13" s="159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 t="n">
        <v>0</v>
      </c>
      <c r="K13" s="159" t="n">
        <v>0</v>
      </c>
      <c r="L13" s="159" t="n">
        <v>0</v>
      </c>
      <c r="M13" s="159" t="n">
        <v>0</v>
      </c>
      <c r="N13" s="159" t="n">
        <v>0</v>
      </c>
      <c r="O13" s="159" t="n">
        <v>0</v>
      </c>
      <c r="P13" s="159" t="n">
        <v>0</v>
      </c>
      <c r="Q13" s="159" t="n">
        <v>0</v>
      </c>
      <c r="R13" s="159" t="n">
        <v>0</v>
      </c>
      <c r="S13" s="159" t="n">
        <v>0</v>
      </c>
      <c r="T13" s="159" t="n">
        <v>0</v>
      </c>
      <c r="U13" s="159" t="n">
        <v>0</v>
      </c>
      <c r="V13" s="159" t="n">
        <v>0</v>
      </c>
      <c r="W13" s="159" t="n">
        <v>0</v>
      </c>
      <c r="X13" s="159" t="n">
        <v>0</v>
      </c>
      <c r="Y13" s="159" t="n">
        <v>0</v>
      </c>
      <c r="Z13" s="159" t="n">
        <v>0</v>
      </c>
      <c r="AA13" s="159" t="n">
        <v>0</v>
      </c>
      <c r="AB13" s="159" t="n">
        <v>0</v>
      </c>
      <c r="AC13" s="159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85"/>
      <c r="AP13" s="586" t="n">
        <f aca="false">SUM(E13:AO13)</f>
        <v>0</v>
      </c>
      <c r="AQ13" s="754" t="n">
        <f aca="false">AQ12+1</f>
        <v>7</v>
      </c>
      <c r="AR13" s="742"/>
      <c r="AS13" s="742"/>
      <c r="AT13" s="742"/>
      <c r="AU13" s="742"/>
      <c r="AV13" s="742"/>
      <c r="AW13" s="742"/>
      <c r="AX13" s="742"/>
      <c r="AY13" s="742"/>
      <c r="AZ13" s="742"/>
      <c r="BA13" s="742"/>
      <c r="BB13" s="742"/>
      <c r="BC13" s="742"/>
      <c r="BD13" s="742"/>
      <c r="BE13" s="742"/>
      <c r="BF13" s="742"/>
      <c r="BG13" s="742"/>
      <c r="BH13" s="742"/>
      <c r="BI13" s="742"/>
      <c r="BJ13" s="742"/>
      <c r="BK13" s="742"/>
      <c r="BL13" s="742"/>
      <c r="BM13" s="742"/>
      <c r="BN13" s="742"/>
      <c r="BO13" s="742"/>
      <c r="BP13" s="742"/>
      <c r="BQ13" s="742"/>
      <c r="BR13" s="742"/>
      <c r="BS13" s="742"/>
      <c r="BT13" s="742"/>
      <c r="BU13" s="742"/>
      <c r="BV13" s="742"/>
      <c r="BW13" s="742"/>
      <c r="BX13" s="742"/>
      <c r="BY13" s="742"/>
      <c r="BZ13" s="742"/>
      <c r="CA13" s="742"/>
      <c r="CB13" s="742"/>
      <c r="CC13" s="742"/>
      <c r="CD13" s="742"/>
      <c r="CE13" s="742"/>
      <c r="CF13" s="742"/>
      <c r="CG13" s="742"/>
      <c r="CH13" s="742"/>
      <c r="CI13" s="742"/>
      <c r="CJ13" s="742"/>
      <c r="CK13" s="742"/>
      <c r="CL13" s="742"/>
      <c r="CM13" s="742"/>
      <c r="CN13" s="742"/>
      <c r="CO13" s="742"/>
      <c r="CP13" s="742"/>
      <c r="CQ13" s="742"/>
      <c r="CR13" s="742"/>
      <c r="CS13" s="742"/>
      <c r="CT13" s="742"/>
      <c r="CU13" s="742"/>
      <c r="CV13" s="742"/>
      <c r="CW13" s="742"/>
      <c r="CX13" s="742"/>
      <c r="CY13" s="742"/>
      <c r="CZ13" s="742"/>
      <c r="DA13" s="742"/>
      <c r="DB13" s="742"/>
      <c r="DC13" s="742"/>
      <c r="DD13" s="742"/>
      <c r="DE13" s="742"/>
      <c r="DF13" s="742"/>
      <c r="DG13" s="742"/>
      <c r="DH13" s="742"/>
      <c r="DI13" s="742"/>
      <c r="DJ13" s="742"/>
      <c r="DK13" s="742"/>
      <c r="DL13" s="742"/>
      <c r="DM13" s="742"/>
      <c r="DN13" s="742"/>
      <c r="DO13" s="742"/>
      <c r="DP13" s="742"/>
      <c r="DQ13" s="742"/>
      <c r="DR13" s="742"/>
      <c r="DS13" s="742"/>
      <c r="DT13" s="742"/>
      <c r="DU13" s="742"/>
      <c r="DV13" s="742"/>
      <c r="DW13" s="742"/>
      <c r="DX13" s="742"/>
      <c r="DY13" s="742"/>
      <c r="DZ13" s="742"/>
      <c r="EA13" s="742"/>
      <c r="EB13" s="742"/>
      <c r="EC13" s="742"/>
      <c r="ED13" s="742"/>
      <c r="EE13" s="742"/>
      <c r="EF13" s="742"/>
      <c r="EG13" s="742"/>
      <c r="EH13" s="742"/>
      <c r="EI13" s="742"/>
      <c r="EJ13" s="742"/>
      <c r="EK13" s="742"/>
      <c r="EL13" s="742"/>
      <c r="EM13" s="742"/>
      <c r="EN13" s="742"/>
      <c r="EO13" s="742"/>
      <c r="EP13" s="742"/>
      <c r="EQ13" s="742"/>
      <c r="ER13" s="742"/>
      <c r="ES13" s="742"/>
      <c r="ET13" s="742"/>
      <c r="EU13" s="742"/>
      <c r="EV13" s="742"/>
      <c r="EW13" s="742"/>
      <c r="EX13" s="742"/>
      <c r="EY13" s="742"/>
      <c r="EZ13" s="742"/>
      <c r="FA13" s="742"/>
      <c r="FB13" s="742"/>
      <c r="FC13" s="742"/>
      <c r="FD13" s="742"/>
      <c r="FE13" s="742"/>
      <c r="FF13" s="742"/>
      <c r="FG13" s="742"/>
      <c r="FH13" s="742"/>
      <c r="FI13" s="742"/>
      <c r="FJ13" s="742"/>
      <c r="FK13" s="742"/>
      <c r="FL13" s="742"/>
      <c r="FM13" s="742"/>
      <c r="FN13" s="742"/>
      <c r="FO13" s="742"/>
      <c r="FP13" s="742"/>
      <c r="FQ13" s="742"/>
      <c r="FR13" s="742"/>
      <c r="FS13" s="742"/>
      <c r="FT13" s="742"/>
      <c r="FU13" s="742"/>
      <c r="FV13" s="742"/>
      <c r="FW13" s="742"/>
      <c r="FX13" s="742"/>
      <c r="FY13" s="742"/>
      <c r="FZ13" s="742"/>
      <c r="GA13" s="742"/>
      <c r="GB13" s="742"/>
      <c r="GC13" s="742"/>
      <c r="GD13" s="742"/>
      <c r="GE13" s="742"/>
      <c r="GF13" s="742"/>
      <c r="GG13" s="742"/>
      <c r="GH13" s="742"/>
      <c r="GI13" s="742"/>
      <c r="GJ13" s="742"/>
      <c r="GK13" s="742"/>
      <c r="GL13" s="742"/>
      <c r="GM13" s="742"/>
      <c r="GN13" s="742"/>
      <c r="GO13" s="742"/>
      <c r="GP13" s="742"/>
      <c r="GQ13" s="742"/>
      <c r="GR13" s="742"/>
      <c r="GS13" s="742"/>
      <c r="GT13" s="742"/>
      <c r="GU13" s="742"/>
      <c r="GV13" s="742"/>
      <c r="GW13" s="742"/>
      <c r="GX13" s="742"/>
      <c r="GY13" s="742"/>
      <c r="GZ13" s="742"/>
      <c r="HA13" s="742"/>
      <c r="HB13" s="742"/>
      <c r="HC13" s="742"/>
      <c r="HD13" s="742"/>
      <c r="HE13" s="742"/>
      <c r="HF13" s="742"/>
      <c r="HG13" s="742"/>
      <c r="HH13" s="742"/>
      <c r="HI13" s="742"/>
      <c r="HJ13" s="742"/>
      <c r="HK13" s="742"/>
      <c r="HL13" s="742"/>
      <c r="HM13" s="742"/>
      <c r="HN13" s="742"/>
      <c r="HO13" s="742"/>
      <c r="HP13" s="742"/>
      <c r="HQ13" s="742"/>
      <c r="HR13" s="742"/>
      <c r="HS13" s="742"/>
      <c r="HT13" s="742"/>
      <c r="HU13" s="742"/>
      <c r="HV13" s="742"/>
      <c r="HW13" s="742"/>
      <c r="HX13" s="742"/>
      <c r="HY13" s="742"/>
      <c r="HZ13" s="742"/>
      <c r="IA13" s="742"/>
      <c r="IB13" s="742"/>
      <c r="IC13" s="742"/>
      <c r="ID13" s="742"/>
      <c r="IE13" s="742"/>
      <c r="IF13" s="742"/>
      <c r="IG13" s="742"/>
      <c r="IH13" s="742"/>
      <c r="II13" s="742"/>
      <c r="IJ13" s="742"/>
      <c r="IK13" s="742"/>
      <c r="IL13" s="742"/>
      <c r="IM13" s="742"/>
      <c r="IN13" s="742"/>
      <c r="IO13" s="742"/>
      <c r="IP13" s="742"/>
      <c r="IQ13" s="742"/>
      <c r="IR13" s="742"/>
      <c r="IS13" s="742"/>
      <c r="IT13" s="742"/>
      <c r="IU13" s="742"/>
      <c r="IV13" s="742"/>
      <c r="IW13" s="742"/>
    </row>
    <row r="14" customFormat="false" ht="12.75" hidden="false" customHeight="false" outlineLevel="0" collapsed="false">
      <c r="A14" s="755" t="str">
        <f aca="false">Assm!N12</f>
        <v>Turnkey Tax Adjustment</v>
      </c>
      <c r="B14" s="114"/>
      <c r="C14" s="588" t="n">
        <f aca="false">Assm!R12</f>
        <v>810.689943448277</v>
      </c>
      <c r="D14" s="757"/>
      <c r="E14" s="181" t="n">
        <v>0</v>
      </c>
      <c r="F14" s="181" t="n">
        <v>0</v>
      </c>
      <c r="G14" s="181" t="n">
        <v>0</v>
      </c>
      <c r="H14" s="181" t="n">
        <v>0</v>
      </c>
      <c r="I14" s="181" t="n">
        <v>0</v>
      </c>
      <c r="J14" s="181" t="n">
        <v>0</v>
      </c>
      <c r="K14" s="181" t="n">
        <v>0</v>
      </c>
      <c r="L14" s="181" t="n">
        <v>0</v>
      </c>
      <c r="M14" s="181" t="n">
        <v>0</v>
      </c>
      <c r="N14" s="181" t="n">
        <v>0</v>
      </c>
      <c r="O14" s="181" t="n">
        <v>0</v>
      </c>
      <c r="P14" s="181" t="n">
        <v>0</v>
      </c>
      <c r="Q14" s="181" t="n">
        <v>0</v>
      </c>
      <c r="R14" s="181" t="n">
        <v>0</v>
      </c>
      <c r="S14" s="181" t="n">
        <v>0</v>
      </c>
      <c r="T14" s="181" t="n">
        <v>0</v>
      </c>
      <c r="U14" s="181" t="n">
        <v>0</v>
      </c>
      <c r="V14" s="181" t="n">
        <v>0</v>
      </c>
      <c r="W14" s="181" t="n">
        <v>0</v>
      </c>
      <c r="X14" s="181" t="n">
        <v>0</v>
      </c>
      <c r="Y14" s="181" t="n">
        <v>0</v>
      </c>
      <c r="Z14" s="181" t="n">
        <v>0</v>
      </c>
      <c r="AA14" s="181" t="n">
        <v>0</v>
      </c>
      <c r="AB14" s="181" t="n">
        <v>0</v>
      </c>
      <c r="AC14" s="181" t="n">
        <v>0</v>
      </c>
      <c r="AD14" s="181" t="n">
        <v>0</v>
      </c>
      <c r="AE14" s="181" t="n">
        <v>0</v>
      </c>
      <c r="AF14" s="181" t="n">
        <v>0</v>
      </c>
      <c r="AG14" s="181" t="n">
        <v>0</v>
      </c>
      <c r="AH14" s="181" t="n">
        <v>0</v>
      </c>
      <c r="AI14" s="181" t="n">
        <v>0</v>
      </c>
      <c r="AJ14" s="181" t="n">
        <v>0</v>
      </c>
      <c r="AK14" s="181" t="n">
        <v>0</v>
      </c>
      <c r="AL14" s="181" t="n">
        <v>0</v>
      </c>
      <c r="AM14" s="181" t="n">
        <v>0</v>
      </c>
      <c r="AN14" s="181" t="n">
        <v>0</v>
      </c>
      <c r="AO14" s="757"/>
      <c r="AP14" s="589" t="n">
        <f aca="false">SUM(E14:AO14)</f>
        <v>0</v>
      </c>
      <c r="AQ14" s="754" t="n">
        <f aca="false">AQ13+1</f>
        <v>8</v>
      </c>
      <c r="AR14" s="742"/>
      <c r="AS14" s="742"/>
      <c r="AT14" s="742"/>
      <c r="AU14" s="742"/>
      <c r="AV14" s="742"/>
      <c r="AW14" s="742"/>
      <c r="AX14" s="742"/>
      <c r="AY14" s="742"/>
      <c r="AZ14" s="742"/>
      <c r="BA14" s="742"/>
      <c r="BB14" s="742"/>
      <c r="BC14" s="742"/>
      <c r="BD14" s="742"/>
      <c r="BE14" s="742"/>
      <c r="BF14" s="742"/>
      <c r="BG14" s="742"/>
      <c r="BH14" s="742"/>
      <c r="BI14" s="742"/>
      <c r="BJ14" s="742"/>
      <c r="BK14" s="742"/>
      <c r="BL14" s="742"/>
      <c r="BM14" s="742"/>
      <c r="BN14" s="742"/>
      <c r="BO14" s="742"/>
      <c r="BP14" s="742"/>
      <c r="BQ14" s="742"/>
      <c r="BR14" s="742"/>
      <c r="BS14" s="742"/>
      <c r="BT14" s="742"/>
      <c r="BU14" s="742"/>
      <c r="BV14" s="742"/>
      <c r="BW14" s="742"/>
      <c r="BX14" s="742"/>
      <c r="BY14" s="742"/>
      <c r="BZ14" s="742"/>
      <c r="CA14" s="742"/>
      <c r="CB14" s="742"/>
      <c r="CC14" s="742"/>
      <c r="CD14" s="742"/>
      <c r="CE14" s="742"/>
      <c r="CF14" s="742"/>
      <c r="CG14" s="742"/>
      <c r="CH14" s="742"/>
      <c r="CI14" s="742"/>
      <c r="CJ14" s="742"/>
      <c r="CK14" s="742"/>
      <c r="CL14" s="742"/>
      <c r="CM14" s="742"/>
      <c r="CN14" s="742"/>
      <c r="CO14" s="742"/>
      <c r="CP14" s="742"/>
      <c r="CQ14" s="742"/>
      <c r="CR14" s="742"/>
      <c r="CS14" s="742"/>
      <c r="CT14" s="742"/>
      <c r="CU14" s="742"/>
      <c r="CV14" s="742"/>
      <c r="CW14" s="742"/>
      <c r="CX14" s="742"/>
      <c r="CY14" s="742"/>
      <c r="CZ14" s="742"/>
      <c r="DA14" s="742"/>
      <c r="DB14" s="742"/>
      <c r="DC14" s="742"/>
      <c r="DD14" s="742"/>
      <c r="DE14" s="742"/>
      <c r="DF14" s="742"/>
      <c r="DG14" s="742"/>
      <c r="DH14" s="742"/>
      <c r="DI14" s="742"/>
      <c r="DJ14" s="742"/>
      <c r="DK14" s="742"/>
      <c r="DL14" s="742"/>
      <c r="DM14" s="742"/>
      <c r="DN14" s="742"/>
      <c r="DO14" s="742"/>
      <c r="DP14" s="742"/>
      <c r="DQ14" s="742"/>
      <c r="DR14" s="742"/>
      <c r="DS14" s="742"/>
      <c r="DT14" s="742"/>
      <c r="DU14" s="742"/>
      <c r="DV14" s="742"/>
      <c r="DW14" s="742"/>
      <c r="DX14" s="742"/>
      <c r="DY14" s="742"/>
      <c r="DZ14" s="742"/>
      <c r="EA14" s="742"/>
      <c r="EB14" s="742"/>
      <c r="EC14" s="742"/>
      <c r="ED14" s="742"/>
      <c r="EE14" s="742"/>
      <c r="EF14" s="742"/>
      <c r="EG14" s="742"/>
      <c r="EH14" s="742"/>
      <c r="EI14" s="742"/>
      <c r="EJ14" s="742"/>
      <c r="EK14" s="742"/>
      <c r="EL14" s="742"/>
      <c r="EM14" s="742"/>
      <c r="EN14" s="742"/>
      <c r="EO14" s="742"/>
      <c r="EP14" s="742"/>
      <c r="EQ14" s="742"/>
      <c r="ER14" s="742"/>
      <c r="ES14" s="742"/>
      <c r="ET14" s="742"/>
      <c r="EU14" s="742"/>
      <c r="EV14" s="742"/>
      <c r="EW14" s="742"/>
      <c r="EX14" s="742"/>
      <c r="EY14" s="742"/>
      <c r="EZ14" s="742"/>
      <c r="FA14" s="742"/>
      <c r="FB14" s="742"/>
      <c r="FC14" s="742"/>
      <c r="FD14" s="742"/>
      <c r="FE14" s="742"/>
      <c r="FF14" s="742"/>
      <c r="FG14" s="742"/>
      <c r="FH14" s="742"/>
      <c r="FI14" s="742"/>
      <c r="FJ14" s="742"/>
      <c r="FK14" s="742"/>
      <c r="FL14" s="742"/>
      <c r="FM14" s="742"/>
      <c r="FN14" s="742"/>
      <c r="FO14" s="742"/>
      <c r="FP14" s="742"/>
      <c r="FQ14" s="742"/>
      <c r="FR14" s="742"/>
      <c r="FS14" s="742"/>
      <c r="FT14" s="742"/>
      <c r="FU14" s="742"/>
      <c r="FV14" s="742"/>
      <c r="FW14" s="742"/>
      <c r="FX14" s="742"/>
      <c r="FY14" s="742"/>
      <c r="FZ14" s="742"/>
      <c r="GA14" s="742"/>
      <c r="GB14" s="742"/>
      <c r="GC14" s="742"/>
      <c r="GD14" s="742"/>
      <c r="GE14" s="742"/>
      <c r="GF14" s="742"/>
      <c r="GG14" s="742"/>
      <c r="GH14" s="742"/>
      <c r="GI14" s="742"/>
      <c r="GJ14" s="742"/>
      <c r="GK14" s="742"/>
      <c r="GL14" s="742"/>
      <c r="GM14" s="742"/>
      <c r="GN14" s="742"/>
      <c r="GO14" s="742"/>
      <c r="GP14" s="742"/>
      <c r="GQ14" s="742"/>
      <c r="GR14" s="742"/>
      <c r="GS14" s="742"/>
      <c r="GT14" s="742"/>
      <c r="GU14" s="742"/>
      <c r="GV14" s="742"/>
      <c r="GW14" s="742"/>
      <c r="GX14" s="742"/>
      <c r="GY14" s="742"/>
      <c r="GZ14" s="742"/>
      <c r="HA14" s="742"/>
      <c r="HB14" s="742"/>
      <c r="HC14" s="742"/>
      <c r="HD14" s="742"/>
      <c r="HE14" s="742"/>
      <c r="HF14" s="742"/>
      <c r="HG14" s="742"/>
      <c r="HH14" s="742"/>
      <c r="HI14" s="742"/>
      <c r="HJ14" s="742"/>
      <c r="HK14" s="742"/>
      <c r="HL14" s="742"/>
      <c r="HM14" s="742"/>
      <c r="HN14" s="742"/>
      <c r="HO14" s="742"/>
      <c r="HP14" s="742"/>
      <c r="HQ14" s="742"/>
      <c r="HR14" s="742"/>
      <c r="HS14" s="742"/>
      <c r="HT14" s="742"/>
      <c r="HU14" s="742"/>
      <c r="HV14" s="742"/>
      <c r="HW14" s="742"/>
      <c r="HX14" s="742"/>
      <c r="HY14" s="742"/>
      <c r="HZ14" s="742"/>
      <c r="IA14" s="742"/>
      <c r="IB14" s="742"/>
      <c r="IC14" s="742"/>
      <c r="ID14" s="742"/>
      <c r="IE14" s="742"/>
      <c r="IF14" s="742"/>
      <c r="IG14" s="742"/>
      <c r="IH14" s="742"/>
      <c r="II14" s="742"/>
      <c r="IJ14" s="742"/>
      <c r="IK14" s="742"/>
      <c r="IL14" s="742"/>
      <c r="IM14" s="742"/>
      <c r="IN14" s="742"/>
      <c r="IO14" s="742"/>
      <c r="IP14" s="742"/>
      <c r="IQ14" s="742"/>
      <c r="IR14" s="742"/>
      <c r="IS14" s="742"/>
      <c r="IT14" s="742"/>
      <c r="IU14" s="742"/>
      <c r="IV14" s="742"/>
      <c r="IW14" s="742"/>
    </row>
    <row r="15" customFormat="false" ht="12.75" hidden="false" customHeight="false" outlineLevel="0" collapsed="false">
      <c r="A15" s="755" t="str">
        <f aca="false">Assm!N13</f>
        <v>Total Turnkey Construction</v>
      </c>
      <c r="B15" s="114"/>
      <c r="C15" s="176" t="n">
        <f aca="false">SUM(C9:C14)</f>
        <v>107897.536943448</v>
      </c>
      <c r="D15" s="85"/>
      <c r="E15" s="176" t="n">
        <f aca="false">SUM(E9:E14)</f>
        <v>0</v>
      </c>
      <c r="F15" s="176" t="n">
        <f aca="false">SUM(F9:F14)</f>
        <v>0</v>
      </c>
      <c r="G15" s="176" t="n">
        <f aca="false">SUM(G9:G14)</f>
        <v>0</v>
      </c>
      <c r="H15" s="176" t="n">
        <f aca="false">SUM(H9:H14)</f>
        <v>0</v>
      </c>
      <c r="I15" s="176" t="n">
        <f aca="false">SUM(I9:I14)</f>
        <v>0</v>
      </c>
      <c r="J15" s="176" t="n">
        <f aca="false">SUM(J9:J14)</f>
        <v>0</v>
      </c>
      <c r="K15" s="176" t="n">
        <f aca="false">SUM(K9:K14)</f>
        <v>0</v>
      </c>
      <c r="L15" s="176" t="n">
        <f aca="false">SUM(L9:L14)</f>
        <v>0</v>
      </c>
      <c r="M15" s="176" t="n">
        <f aca="false">SUM(M9:M14)</f>
        <v>5851.483</v>
      </c>
      <c r="N15" s="176" t="n">
        <f aca="false">SUM(N9:N14)</f>
        <v>162.499</v>
      </c>
      <c r="O15" s="176" t="n">
        <f aca="false">SUM(O9:O14)</f>
        <v>4545.144</v>
      </c>
      <c r="P15" s="176" t="n">
        <f aca="false">SUM(P9:P14)</f>
        <v>1515.927</v>
      </c>
      <c r="Q15" s="176" t="n">
        <f aca="false">SUM(Q9:Q14)</f>
        <v>4663.718</v>
      </c>
      <c r="R15" s="176" t="n">
        <f aca="false">SUM(R9:R14)</f>
        <v>3241.745</v>
      </c>
      <c r="S15" s="176" t="n">
        <f aca="false">SUM(S9:S14)</f>
        <v>4594.402</v>
      </c>
      <c r="T15" s="176" t="n">
        <f aca="false">SUM(T9:T14)</f>
        <v>11490.086</v>
      </c>
      <c r="U15" s="176" t="n">
        <f aca="false">SUM(U9:U14)</f>
        <v>3008.035</v>
      </c>
      <c r="V15" s="176" t="n">
        <f aca="false">SUM(V9:V14)</f>
        <v>7970.284</v>
      </c>
      <c r="W15" s="176" t="n">
        <f aca="false">SUM(W9:W14)</f>
        <v>6703.0307</v>
      </c>
      <c r="X15" s="176" t="n">
        <f aca="false">SUM(X9:X14)</f>
        <v>7049.407</v>
      </c>
      <c r="Y15" s="176" t="n">
        <f aca="false">SUM(Y9:Y14)</f>
        <v>3623.21355718833</v>
      </c>
      <c r="Z15" s="176" t="n">
        <f aca="false">SUM(Z9:Z14)</f>
        <v>3623.21355718833</v>
      </c>
      <c r="AA15" s="176" t="n">
        <f aca="false">SUM(AA9:AA14)</f>
        <v>3623.21355718833</v>
      </c>
      <c r="AB15" s="176" t="n">
        <f aca="false">SUM(AB9:AB14)</f>
        <v>3623.21355718833</v>
      </c>
      <c r="AC15" s="176" t="n">
        <f aca="false">SUM(AC9:AC14)</f>
        <v>3623.21355718833</v>
      </c>
      <c r="AD15" s="176" t="n">
        <f aca="false">SUM(AD9:AD14)</f>
        <v>3623.21355718833</v>
      </c>
      <c r="AE15" s="176" t="n">
        <f aca="false">SUM(AE9:AE14)</f>
        <v>3623.21355718833</v>
      </c>
      <c r="AF15" s="176" t="n">
        <f aca="false">SUM(AF9:AF14)</f>
        <v>3623.21355718833</v>
      </c>
      <c r="AG15" s="176" t="n">
        <f aca="false">SUM(AG9:AG14)</f>
        <v>3623.21355718833</v>
      </c>
      <c r="AH15" s="176" t="n">
        <f aca="false">SUM(AH9:AH14)</f>
        <v>3623.21355718833</v>
      </c>
      <c r="AI15" s="176" t="n">
        <f aca="false">SUM(AI9:AI14)</f>
        <v>3623.21355718833</v>
      </c>
      <c r="AJ15" s="176" t="n">
        <f aca="false">SUM(AJ9:AJ14)</f>
        <v>3623.21355718833</v>
      </c>
      <c r="AK15" s="176" t="n">
        <f aca="false">SUM(AK9:AK14)</f>
        <v>3623.21355718833</v>
      </c>
      <c r="AL15" s="176" t="n">
        <f aca="false">SUM(AL9:AL14)</f>
        <v>0</v>
      </c>
      <c r="AM15" s="176" t="n">
        <f aca="false">SUM(AM9:AM14)</f>
        <v>0</v>
      </c>
      <c r="AN15" s="176" t="n">
        <f aca="false">SUM(AN9:AN14)</f>
        <v>0</v>
      </c>
      <c r="AO15" s="85"/>
      <c r="AP15" s="586" t="n">
        <f aca="false">SUM(E15:AO15)</f>
        <v>107897.536943448</v>
      </c>
      <c r="AQ15" s="754" t="n">
        <f aca="false">AQ14+1</f>
        <v>9</v>
      </c>
      <c r="AR15" s="742"/>
      <c r="AS15" s="742"/>
      <c r="AT15" s="742"/>
      <c r="AU15" s="742"/>
      <c r="AV15" s="742"/>
      <c r="AW15" s="742"/>
      <c r="AX15" s="742"/>
      <c r="AY15" s="742"/>
      <c r="AZ15" s="742"/>
      <c r="BA15" s="742"/>
      <c r="BB15" s="742"/>
      <c r="BC15" s="742"/>
      <c r="BD15" s="742"/>
      <c r="BE15" s="742"/>
      <c r="BF15" s="742"/>
      <c r="BG15" s="742"/>
      <c r="BH15" s="742"/>
      <c r="BI15" s="742"/>
      <c r="BJ15" s="742"/>
      <c r="BK15" s="742"/>
      <c r="BL15" s="742"/>
      <c r="BM15" s="742"/>
      <c r="BN15" s="742"/>
      <c r="BO15" s="742"/>
      <c r="BP15" s="742"/>
      <c r="BQ15" s="742"/>
      <c r="BR15" s="742"/>
      <c r="BS15" s="742"/>
      <c r="BT15" s="742"/>
      <c r="BU15" s="742"/>
      <c r="BV15" s="742"/>
      <c r="BW15" s="742"/>
      <c r="BX15" s="742"/>
      <c r="BY15" s="742"/>
      <c r="BZ15" s="742"/>
      <c r="CA15" s="742"/>
      <c r="CB15" s="742"/>
      <c r="CC15" s="742"/>
      <c r="CD15" s="742"/>
      <c r="CE15" s="742"/>
      <c r="CF15" s="742"/>
      <c r="CG15" s="742"/>
      <c r="CH15" s="742"/>
      <c r="CI15" s="742"/>
      <c r="CJ15" s="742"/>
      <c r="CK15" s="742"/>
      <c r="CL15" s="742"/>
      <c r="CM15" s="742"/>
      <c r="CN15" s="742"/>
      <c r="CO15" s="742"/>
      <c r="CP15" s="742"/>
      <c r="CQ15" s="742"/>
      <c r="CR15" s="742"/>
      <c r="CS15" s="742"/>
      <c r="CT15" s="742"/>
      <c r="CU15" s="742"/>
      <c r="CV15" s="742"/>
      <c r="CW15" s="742"/>
      <c r="CX15" s="742"/>
      <c r="CY15" s="742"/>
      <c r="CZ15" s="742"/>
      <c r="DA15" s="742"/>
      <c r="DB15" s="742"/>
      <c r="DC15" s="742"/>
      <c r="DD15" s="742"/>
      <c r="DE15" s="742"/>
      <c r="DF15" s="742"/>
      <c r="DG15" s="742"/>
      <c r="DH15" s="742"/>
      <c r="DI15" s="742"/>
      <c r="DJ15" s="742"/>
      <c r="DK15" s="742"/>
      <c r="DL15" s="742"/>
      <c r="DM15" s="742"/>
      <c r="DN15" s="742"/>
      <c r="DO15" s="742"/>
      <c r="DP15" s="742"/>
      <c r="DQ15" s="742"/>
      <c r="DR15" s="742"/>
      <c r="DS15" s="742"/>
      <c r="DT15" s="742"/>
      <c r="DU15" s="742"/>
      <c r="DV15" s="742"/>
      <c r="DW15" s="742"/>
      <c r="DX15" s="742"/>
      <c r="DY15" s="742"/>
      <c r="DZ15" s="742"/>
      <c r="EA15" s="742"/>
      <c r="EB15" s="742"/>
      <c r="EC15" s="742"/>
      <c r="ED15" s="742"/>
      <c r="EE15" s="742"/>
      <c r="EF15" s="742"/>
      <c r="EG15" s="742"/>
      <c r="EH15" s="742"/>
      <c r="EI15" s="742"/>
      <c r="EJ15" s="742"/>
      <c r="EK15" s="742"/>
      <c r="EL15" s="742"/>
      <c r="EM15" s="742"/>
      <c r="EN15" s="742"/>
      <c r="EO15" s="742"/>
      <c r="EP15" s="742"/>
      <c r="EQ15" s="742"/>
      <c r="ER15" s="742"/>
      <c r="ES15" s="742"/>
      <c r="ET15" s="742"/>
      <c r="EU15" s="742"/>
      <c r="EV15" s="742"/>
      <c r="EW15" s="742"/>
      <c r="EX15" s="742"/>
      <c r="EY15" s="742"/>
      <c r="EZ15" s="742"/>
      <c r="FA15" s="742"/>
      <c r="FB15" s="742"/>
      <c r="FC15" s="742"/>
      <c r="FD15" s="742"/>
      <c r="FE15" s="742"/>
      <c r="FF15" s="742"/>
      <c r="FG15" s="742"/>
      <c r="FH15" s="742"/>
      <c r="FI15" s="742"/>
      <c r="FJ15" s="742"/>
      <c r="FK15" s="742"/>
      <c r="FL15" s="742"/>
      <c r="FM15" s="742"/>
      <c r="FN15" s="742"/>
      <c r="FO15" s="742"/>
      <c r="FP15" s="742"/>
      <c r="FQ15" s="742"/>
      <c r="FR15" s="742"/>
      <c r="FS15" s="742"/>
      <c r="FT15" s="742"/>
      <c r="FU15" s="742"/>
      <c r="FV15" s="742"/>
      <c r="FW15" s="742"/>
      <c r="FX15" s="742"/>
      <c r="FY15" s="742"/>
      <c r="FZ15" s="742"/>
      <c r="GA15" s="742"/>
      <c r="GB15" s="742"/>
      <c r="GC15" s="742"/>
      <c r="GD15" s="742"/>
      <c r="GE15" s="742"/>
      <c r="GF15" s="742"/>
      <c r="GG15" s="742"/>
      <c r="GH15" s="742"/>
      <c r="GI15" s="742"/>
      <c r="GJ15" s="742"/>
      <c r="GK15" s="742"/>
      <c r="GL15" s="742"/>
      <c r="GM15" s="742"/>
      <c r="GN15" s="742"/>
      <c r="GO15" s="742"/>
      <c r="GP15" s="742"/>
      <c r="GQ15" s="742"/>
      <c r="GR15" s="742"/>
      <c r="GS15" s="742"/>
      <c r="GT15" s="742"/>
      <c r="GU15" s="742"/>
      <c r="GV15" s="742"/>
      <c r="GW15" s="742"/>
      <c r="GX15" s="742"/>
      <c r="GY15" s="742"/>
      <c r="GZ15" s="742"/>
      <c r="HA15" s="742"/>
      <c r="HB15" s="742"/>
      <c r="HC15" s="742"/>
      <c r="HD15" s="742"/>
      <c r="HE15" s="742"/>
      <c r="HF15" s="742"/>
      <c r="HG15" s="742"/>
      <c r="HH15" s="742"/>
      <c r="HI15" s="742"/>
      <c r="HJ15" s="742"/>
      <c r="HK15" s="742"/>
      <c r="HL15" s="742"/>
      <c r="HM15" s="742"/>
      <c r="HN15" s="742"/>
      <c r="HO15" s="742"/>
      <c r="HP15" s="742"/>
      <c r="HQ15" s="742"/>
      <c r="HR15" s="742"/>
      <c r="HS15" s="742"/>
      <c r="HT15" s="742"/>
      <c r="HU15" s="742"/>
      <c r="HV15" s="742"/>
      <c r="HW15" s="742"/>
      <c r="HX15" s="742"/>
      <c r="HY15" s="742"/>
      <c r="HZ15" s="742"/>
      <c r="IA15" s="742"/>
      <c r="IB15" s="742"/>
      <c r="IC15" s="742"/>
      <c r="ID15" s="742"/>
      <c r="IE15" s="742"/>
      <c r="IF15" s="742"/>
      <c r="IG15" s="742"/>
      <c r="IH15" s="742"/>
      <c r="II15" s="742"/>
      <c r="IJ15" s="742"/>
      <c r="IK15" s="742"/>
      <c r="IL15" s="742"/>
      <c r="IM15" s="742"/>
      <c r="IN15" s="742"/>
      <c r="IO15" s="742"/>
      <c r="IP15" s="742"/>
      <c r="IQ15" s="742"/>
      <c r="IR15" s="742"/>
      <c r="IS15" s="742"/>
      <c r="IT15" s="742"/>
      <c r="IU15" s="742"/>
      <c r="IV15" s="742"/>
      <c r="IW15" s="742"/>
    </row>
    <row r="16" customFormat="false" ht="12.75" hidden="false" customHeight="false" outlineLevel="0" collapsed="false">
      <c r="A16" s="755"/>
      <c r="B16" s="114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753"/>
      <c r="AQ16" s="754" t="n">
        <f aca="false">AQ15+1</f>
        <v>10</v>
      </c>
      <c r="AR16" s="742"/>
      <c r="AS16" s="742"/>
      <c r="AT16" s="742"/>
      <c r="AU16" s="742"/>
      <c r="AV16" s="742"/>
      <c r="AW16" s="742"/>
      <c r="AX16" s="742"/>
      <c r="AY16" s="742"/>
      <c r="AZ16" s="742"/>
      <c r="BA16" s="742"/>
      <c r="BB16" s="742"/>
      <c r="BC16" s="742"/>
      <c r="BD16" s="742"/>
      <c r="BE16" s="742"/>
      <c r="BF16" s="742"/>
      <c r="BG16" s="742"/>
      <c r="BH16" s="742"/>
      <c r="BI16" s="742"/>
      <c r="BJ16" s="742"/>
      <c r="BK16" s="742"/>
      <c r="BL16" s="742"/>
      <c r="BM16" s="742"/>
      <c r="BN16" s="742"/>
      <c r="BO16" s="742"/>
      <c r="BP16" s="742"/>
      <c r="BQ16" s="742"/>
      <c r="BR16" s="742"/>
      <c r="BS16" s="742"/>
      <c r="BT16" s="742"/>
      <c r="BU16" s="742"/>
      <c r="BV16" s="742"/>
      <c r="BW16" s="742"/>
      <c r="BX16" s="742"/>
      <c r="BY16" s="742"/>
      <c r="BZ16" s="742"/>
      <c r="CA16" s="742"/>
      <c r="CB16" s="742"/>
      <c r="CC16" s="742"/>
      <c r="CD16" s="742"/>
      <c r="CE16" s="742"/>
      <c r="CF16" s="742"/>
      <c r="CG16" s="742"/>
      <c r="CH16" s="742"/>
      <c r="CI16" s="742"/>
      <c r="CJ16" s="742"/>
      <c r="CK16" s="742"/>
      <c r="CL16" s="742"/>
      <c r="CM16" s="742"/>
      <c r="CN16" s="742"/>
      <c r="CO16" s="742"/>
      <c r="CP16" s="742"/>
      <c r="CQ16" s="742"/>
      <c r="CR16" s="742"/>
      <c r="CS16" s="742"/>
      <c r="CT16" s="742"/>
      <c r="CU16" s="742"/>
      <c r="CV16" s="742"/>
      <c r="CW16" s="742"/>
      <c r="CX16" s="742"/>
      <c r="CY16" s="742"/>
      <c r="CZ16" s="742"/>
      <c r="DA16" s="742"/>
      <c r="DB16" s="742"/>
      <c r="DC16" s="742"/>
      <c r="DD16" s="742"/>
      <c r="DE16" s="742"/>
      <c r="DF16" s="742"/>
      <c r="DG16" s="742"/>
      <c r="DH16" s="742"/>
      <c r="DI16" s="742"/>
      <c r="DJ16" s="742"/>
      <c r="DK16" s="742"/>
      <c r="DL16" s="742"/>
      <c r="DM16" s="742"/>
      <c r="DN16" s="742"/>
      <c r="DO16" s="742"/>
      <c r="DP16" s="742"/>
      <c r="DQ16" s="742"/>
      <c r="DR16" s="742"/>
      <c r="DS16" s="742"/>
      <c r="DT16" s="742"/>
      <c r="DU16" s="742"/>
      <c r="DV16" s="742"/>
      <c r="DW16" s="742"/>
      <c r="DX16" s="742"/>
      <c r="DY16" s="742"/>
      <c r="DZ16" s="742"/>
      <c r="EA16" s="742"/>
      <c r="EB16" s="742"/>
      <c r="EC16" s="742"/>
      <c r="ED16" s="742"/>
      <c r="EE16" s="742"/>
      <c r="EF16" s="742"/>
      <c r="EG16" s="742"/>
      <c r="EH16" s="742"/>
      <c r="EI16" s="742"/>
      <c r="EJ16" s="742"/>
      <c r="EK16" s="742"/>
      <c r="EL16" s="742"/>
      <c r="EM16" s="742"/>
      <c r="EN16" s="742"/>
      <c r="EO16" s="742"/>
      <c r="EP16" s="742"/>
      <c r="EQ16" s="742"/>
      <c r="ER16" s="742"/>
      <c r="ES16" s="742"/>
      <c r="ET16" s="742"/>
      <c r="EU16" s="742"/>
      <c r="EV16" s="742"/>
      <c r="EW16" s="742"/>
      <c r="EX16" s="742"/>
      <c r="EY16" s="742"/>
      <c r="EZ16" s="742"/>
      <c r="FA16" s="742"/>
      <c r="FB16" s="742"/>
      <c r="FC16" s="742"/>
      <c r="FD16" s="742"/>
      <c r="FE16" s="742"/>
      <c r="FF16" s="742"/>
      <c r="FG16" s="742"/>
      <c r="FH16" s="742"/>
      <c r="FI16" s="742"/>
      <c r="FJ16" s="742"/>
      <c r="FK16" s="742"/>
      <c r="FL16" s="742"/>
      <c r="FM16" s="742"/>
      <c r="FN16" s="742"/>
      <c r="FO16" s="742"/>
      <c r="FP16" s="742"/>
      <c r="FQ16" s="742"/>
      <c r="FR16" s="742"/>
      <c r="FS16" s="742"/>
      <c r="FT16" s="742"/>
      <c r="FU16" s="742"/>
      <c r="FV16" s="742"/>
      <c r="FW16" s="742"/>
      <c r="FX16" s="742"/>
      <c r="FY16" s="742"/>
      <c r="FZ16" s="742"/>
      <c r="GA16" s="742"/>
      <c r="GB16" s="742"/>
      <c r="GC16" s="742"/>
      <c r="GD16" s="742"/>
      <c r="GE16" s="742"/>
      <c r="GF16" s="742"/>
      <c r="GG16" s="742"/>
      <c r="GH16" s="742"/>
      <c r="GI16" s="742"/>
      <c r="GJ16" s="742"/>
      <c r="GK16" s="742"/>
      <c r="GL16" s="742"/>
      <c r="GM16" s="742"/>
      <c r="GN16" s="742"/>
      <c r="GO16" s="742"/>
      <c r="GP16" s="742"/>
      <c r="GQ16" s="742"/>
      <c r="GR16" s="742"/>
      <c r="GS16" s="742"/>
      <c r="GT16" s="742"/>
      <c r="GU16" s="742"/>
      <c r="GV16" s="742"/>
      <c r="GW16" s="742"/>
      <c r="GX16" s="742"/>
      <c r="GY16" s="742"/>
      <c r="GZ16" s="742"/>
      <c r="HA16" s="742"/>
      <c r="HB16" s="742"/>
      <c r="HC16" s="742"/>
      <c r="HD16" s="742"/>
      <c r="HE16" s="742"/>
      <c r="HF16" s="742"/>
      <c r="HG16" s="742"/>
      <c r="HH16" s="742"/>
      <c r="HI16" s="742"/>
      <c r="HJ16" s="742"/>
      <c r="HK16" s="742"/>
      <c r="HL16" s="742"/>
      <c r="HM16" s="742"/>
      <c r="HN16" s="742"/>
      <c r="HO16" s="742"/>
      <c r="HP16" s="742"/>
      <c r="HQ16" s="742"/>
      <c r="HR16" s="742"/>
      <c r="HS16" s="742"/>
      <c r="HT16" s="742"/>
      <c r="HU16" s="742"/>
      <c r="HV16" s="742"/>
      <c r="HW16" s="742"/>
      <c r="HX16" s="742"/>
      <c r="HY16" s="742"/>
      <c r="HZ16" s="742"/>
      <c r="IA16" s="742"/>
      <c r="IB16" s="742"/>
      <c r="IC16" s="742"/>
      <c r="ID16" s="742"/>
      <c r="IE16" s="742"/>
      <c r="IF16" s="742"/>
      <c r="IG16" s="742"/>
      <c r="IH16" s="742"/>
      <c r="II16" s="742"/>
      <c r="IJ16" s="742"/>
      <c r="IK16" s="742"/>
      <c r="IL16" s="742"/>
      <c r="IM16" s="742"/>
      <c r="IN16" s="742"/>
      <c r="IO16" s="742"/>
      <c r="IP16" s="742"/>
      <c r="IQ16" s="742"/>
      <c r="IR16" s="742"/>
      <c r="IS16" s="742"/>
      <c r="IT16" s="742"/>
      <c r="IU16" s="742"/>
      <c r="IV16" s="742"/>
      <c r="IW16" s="742"/>
    </row>
    <row r="17" customFormat="false" ht="12.75" hidden="false" customHeight="false" outlineLevel="0" collapsed="false">
      <c r="A17" s="755" t="str">
        <f aca="false">Assm!N15</f>
        <v>Linefill</v>
      </c>
      <c r="B17" s="114"/>
      <c r="C17" s="176" t="n">
        <f aca="false">Assm!R15</f>
        <v>220</v>
      </c>
      <c r="D17" s="85"/>
      <c r="E17" s="600" t="n">
        <f aca="false">E88+SUM(E90:E92)</f>
        <v>1195</v>
      </c>
      <c r="F17" s="600" t="n">
        <f aca="false">F88+SUM(F90:F92)</f>
        <v>0</v>
      </c>
      <c r="G17" s="600" t="n">
        <f aca="false">G88+SUM(G90:G92)</f>
        <v>0</v>
      </c>
      <c r="H17" s="600" t="n">
        <f aca="false">H88+SUM(H90:H92)</f>
        <v>189.017</v>
      </c>
      <c r="I17" s="600" t="n">
        <f aca="false">I88+SUM(I90:I92)</f>
        <v>36.935</v>
      </c>
      <c r="J17" s="600" t="n">
        <f aca="false">J88+SUM(J90:J92)</f>
        <v>22.612</v>
      </c>
      <c r="K17" s="600" t="n">
        <f aca="false">K88+SUM(K90:K92)</f>
        <v>0</v>
      </c>
      <c r="L17" s="600" t="n">
        <f aca="false">L88+SUM(L90:L92)</f>
        <v>335.439</v>
      </c>
      <c r="M17" s="600" t="n">
        <f aca="false">M88+SUM(M90:M92)</f>
        <v>380.504</v>
      </c>
      <c r="N17" s="600" t="n">
        <f aca="false">N88+SUM(N90:N92)</f>
        <v>254.445</v>
      </c>
      <c r="O17" s="600" t="n">
        <f aca="false">O88+SUM(O90:O92)</f>
        <v>118.54</v>
      </c>
      <c r="P17" s="600" t="n">
        <f aca="false">P88+SUM(P90:P92)</f>
        <v>78.95</v>
      </c>
      <c r="Q17" s="600" t="n">
        <f aca="false">Q88+SUM(Q90:Q92)</f>
        <v>2.084</v>
      </c>
      <c r="R17" s="600" t="n">
        <f aca="false">R88+SUM(R90:R92)</f>
        <v>127.078</v>
      </c>
      <c r="S17" s="600" t="n">
        <f aca="false">S88+SUM(S90:S92)</f>
        <v>332.487</v>
      </c>
      <c r="T17" s="600" t="n">
        <f aca="false">T88+SUM(T90:T92)</f>
        <v>259.235</v>
      </c>
      <c r="U17" s="600" t="n">
        <f aca="false">U88+SUM(U90:U92)</f>
        <v>791.112</v>
      </c>
      <c r="V17" s="600" t="n">
        <f aca="false">V88+SUM(V90:V92)</f>
        <v>497.273</v>
      </c>
      <c r="W17" s="600" t="n">
        <f aca="false">W88+SUM(W90:W92)</f>
        <v>543.089</v>
      </c>
      <c r="X17" s="600" t="n">
        <f aca="false">X88+SUM(X90:X92)</f>
        <v>860.546</v>
      </c>
      <c r="Y17" s="756" t="n">
        <f aca="false">($C$24-SUM($E17:$X17))/13</f>
        <v>1013.99749230769</v>
      </c>
      <c r="Z17" s="756" t="n">
        <f aca="false">($C$24-SUM($E17:$X17))/13</f>
        <v>1013.99749230769</v>
      </c>
      <c r="AA17" s="756" t="n">
        <f aca="false">($C$24-SUM($E17:$X17))/13</f>
        <v>1013.99749230769</v>
      </c>
      <c r="AB17" s="756" t="n">
        <f aca="false">($C$24-SUM($E17:$X17))/13</f>
        <v>1013.99749230769</v>
      </c>
      <c r="AC17" s="756" t="n">
        <f aca="false">($C$24-SUM($E17:$X17))/13</f>
        <v>1013.99749230769</v>
      </c>
      <c r="AD17" s="756" t="n">
        <f aca="false">($C$24-SUM($E17:$X17))/13</f>
        <v>1013.99749230769</v>
      </c>
      <c r="AE17" s="756" t="n">
        <f aca="false">($C$24-SUM($E17:$X17))/13</f>
        <v>1013.99749230769</v>
      </c>
      <c r="AF17" s="756" t="n">
        <f aca="false">($C$24-SUM($E17:$X17))/13</f>
        <v>1013.99749230769</v>
      </c>
      <c r="AG17" s="756" t="n">
        <f aca="false">($C$24-SUM($E17:$X17))/13</f>
        <v>1013.99749230769</v>
      </c>
      <c r="AH17" s="756" t="n">
        <f aca="false">($C$24-SUM($E17:$X17))/13</f>
        <v>1013.99749230769</v>
      </c>
      <c r="AI17" s="756" t="n">
        <f aca="false">($C$24-SUM($E17:$X17))/13</f>
        <v>1013.99749230769</v>
      </c>
      <c r="AJ17" s="756" t="n">
        <f aca="false">($C$24-SUM($E17:$X17))/13</f>
        <v>1013.99749230769</v>
      </c>
      <c r="AK17" s="756" t="n">
        <f aca="false">($C$24-SUM($E17:$X17))/13</f>
        <v>1013.99749230769</v>
      </c>
      <c r="AL17" s="159" t="n">
        <v>0</v>
      </c>
      <c r="AM17" s="159" t="n">
        <v>0</v>
      </c>
      <c r="AN17" s="159" t="n">
        <v>0</v>
      </c>
      <c r="AO17" s="85"/>
      <c r="AP17" s="586" t="n">
        <f aca="false">SUM(E17:AO17)</f>
        <v>19206.3134</v>
      </c>
      <c r="AQ17" s="754" t="n">
        <f aca="false">AQ16+1</f>
        <v>11</v>
      </c>
      <c r="AR17" s="742"/>
      <c r="AS17" s="742"/>
      <c r="AT17" s="742"/>
      <c r="AU17" s="742"/>
      <c r="AV17" s="742"/>
      <c r="AW17" s="742"/>
      <c r="AX17" s="742"/>
      <c r="AY17" s="742"/>
      <c r="AZ17" s="742"/>
      <c r="BA17" s="742"/>
      <c r="BB17" s="742"/>
      <c r="BC17" s="742"/>
      <c r="BD17" s="742"/>
      <c r="BE17" s="742"/>
      <c r="BF17" s="742"/>
      <c r="BG17" s="742"/>
      <c r="BH17" s="742"/>
      <c r="BI17" s="742"/>
      <c r="BJ17" s="742"/>
      <c r="BK17" s="742"/>
      <c r="BL17" s="742"/>
      <c r="BM17" s="742"/>
      <c r="BN17" s="742"/>
      <c r="BO17" s="742"/>
      <c r="BP17" s="742"/>
      <c r="BQ17" s="742"/>
      <c r="BR17" s="742"/>
      <c r="BS17" s="742"/>
      <c r="BT17" s="742"/>
      <c r="BU17" s="742"/>
      <c r="BV17" s="742"/>
      <c r="BW17" s="742"/>
      <c r="BX17" s="742"/>
      <c r="BY17" s="742"/>
      <c r="BZ17" s="742"/>
      <c r="CA17" s="742"/>
      <c r="CB17" s="742"/>
      <c r="CC17" s="742"/>
      <c r="CD17" s="742"/>
      <c r="CE17" s="742"/>
      <c r="CF17" s="742"/>
      <c r="CG17" s="742"/>
      <c r="CH17" s="742"/>
      <c r="CI17" s="742"/>
      <c r="CJ17" s="742"/>
      <c r="CK17" s="742"/>
      <c r="CL17" s="742"/>
      <c r="CM17" s="742"/>
      <c r="CN17" s="742"/>
      <c r="CO17" s="742"/>
      <c r="CP17" s="742"/>
      <c r="CQ17" s="742"/>
      <c r="CR17" s="742"/>
      <c r="CS17" s="742"/>
      <c r="CT17" s="742"/>
      <c r="CU17" s="742"/>
      <c r="CV17" s="742"/>
      <c r="CW17" s="742"/>
      <c r="CX17" s="742"/>
      <c r="CY17" s="742"/>
      <c r="CZ17" s="742"/>
      <c r="DA17" s="742"/>
      <c r="DB17" s="742"/>
      <c r="DC17" s="742"/>
      <c r="DD17" s="742"/>
      <c r="DE17" s="742"/>
      <c r="DF17" s="742"/>
      <c r="DG17" s="742"/>
      <c r="DH17" s="742"/>
      <c r="DI17" s="742"/>
      <c r="DJ17" s="742"/>
      <c r="DK17" s="742"/>
      <c r="DL17" s="742"/>
      <c r="DM17" s="742"/>
      <c r="DN17" s="742"/>
      <c r="DO17" s="742"/>
      <c r="DP17" s="742"/>
      <c r="DQ17" s="742"/>
      <c r="DR17" s="742"/>
      <c r="DS17" s="742"/>
      <c r="DT17" s="742"/>
      <c r="DU17" s="742"/>
      <c r="DV17" s="742"/>
      <c r="DW17" s="742"/>
      <c r="DX17" s="742"/>
      <c r="DY17" s="742"/>
      <c r="DZ17" s="742"/>
      <c r="EA17" s="742"/>
      <c r="EB17" s="742"/>
      <c r="EC17" s="742"/>
      <c r="ED17" s="742"/>
      <c r="EE17" s="742"/>
      <c r="EF17" s="742"/>
      <c r="EG17" s="742"/>
      <c r="EH17" s="742"/>
      <c r="EI17" s="742"/>
      <c r="EJ17" s="742"/>
      <c r="EK17" s="742"/>
      <c r="EL17" s="742"/>
      <c r="EM17" s="742"/>
      <c r="EN17" s="742"/>
      <c r="EO17" s="742"/>
      <c r="EP17" s="742"/>
      <c r="EQ17" s="742"/>
      <c r="ER17" s="742"/>
      <c r="ES17" s="742"/>
      <c r="ET17" s="742"/>
      <c r="EU17" s="742"/>
      <c r="EV17" s="742"/>
      <c r="EW17" s="742"/>
      <c r="EX17" s="742"/>
      <c r="EY17" s="742"/>
      <c r="EZ17" s="742"/>
      <c r="FA17" s="742"/>
      <c r="FB17" s="742"/>
      <c r="FC17" s="742"/>
      <c r="FD17" s="742"/>
      <c r="FE17" s="742"/>
      <c r="FF17" s="742"/>
      <c r="FG17" s="742"/>
      <c r="FH17" s="742"/>
      <c r="FI17" s="742"/>
      <c r="FJ17" s="742"/>
      <c r="FK17" s="742"/>
      <c r="FL17" s="742"/>
      <c r="FM17" s="742"/>
      <c r="FN17" s="742"/>
      <c r="FO17" s="742"/>
      <c r="FP17" s="742"/>
      <c r="FQ17" s="742"/>
      <c r="FR17" s="742"/>
      <c r="FS17" s="742"/>
      <c r="FT17" s="742"/>
      <c r="FU17" s="742"/>
      <c r="FV17" s="742"/>
      <c r="FW17" s="742"/>
      <c r="FX17" s="742"/>
      <c r="FY17" s="742"/>
      <c r="FZ17" s="742"/>
      <c r="GA17" s="742"/>
      <c r="GB17" s="742"/>
      <c r="GC17" s="742"/>
      <c r="GD17" s="742"/>
      <c r="GE17" s="742"/>
      <c r="GF17" s="742"/>
      <c r="GG17" s="742"/>
      <c r="GH17" s="742"/>
      <c r="GI17" s="742"/>
      <c r="GJ17" s="742"/>
      <c r="GK17" s="742"/>
      <c r="GL17" s="742"/>
      <c r="GM17" s="742"/>
      <c r="GN17" s="742"/>
      <c r="GO17" s="742"/>
      <c r="GP17" s="742"/>
      <c r="GQ17" s="742"/>
      <c r="GR17" s="742"/>
      <c r="GS17" s="742"/>
      <c r="GT17" s="742"/>
      <c r="GU17" s="742"/>
      <c r="GV17" s="742"/>
      <c r="GW17" s="742"/>
      <c r="GX17" s="742"/>
      <c r="GY17" s="742"/>
      <c r="GZ17" s="742"/>
      <c r="HA17" s="742"/>
      <c r="HB17" s="742"/>
      <c r="HC17" s="742"/>
      <c r="HD17" s="742"/>
      <c r="HE17" s="742"/>
      <c r="HF17" s="742"/>
      <c r="HG17" s="742"/>
      <c r="HH17" s="742"/>
      <c r="HI17" s="742"/>
      <c r="HJ17" s="742"/>
      <c r="HK17" s="742"/>
      <c r="HL17" s="742"/>
      <c r="HM17" s="742"/>
      <c r="HN17" s="742"/>
      <c r="HO17" s="742"/>
      <c r="HP17" s="742"/>
      <c r="HQ17" s="742"/>
      <c r="HR17" s="742"/>
      <c r="HS17" s="742"/>
      <c r="HT17" s="742"/>
      <c r="HU17" s="742"/>
      <c r="HV17" s="742"/>
      <c r="HW17" s="742"/>
      <c r="HX17" s="742"/>
      <c r="HY17" s="742"/>
      <c r="HZ17" s="742"/>
      <c r="IA17" s="742"/>
      <c r="IB17" s="742"/>
      <c r="IC17" s="742"/>
      <c r="ID17" s="742"/>
      <c r="IE17" s="742"/>
      <c r="IF17" s="742"/>
      <c r="IG17" s="742"/>
      <c r="IH17" s="742"/>
      <c r="II17" s="742"/>
      <c r="IJ17" s="742"/>
      <c r="IK17" s="742"/>
      <c r="IL17" s="742"/>
      <c r="IM17" s="742"/>
      <c r="IN17" s="742"/>
      <c r="IO17" s="742"/>
      <c r="IP17" s="742"/>
      <c r="IQ17" s="742"/>
      <c r="IR17" s="742"/>
      <c r="IS17" s="742"/>
      <c r="IT17" s="742"/>
      <c r="IU17" s="742"/>
      <c r="IV17" s="742"/>
      <c r="IW17" s="742"/>
    </row>
    <row r="18" customFormat="false" ht="12.75" hidden="false" customHeight="false" outlineLevel="0" collapsed="false">
      <c r="A18" s="755" t="str">
        <f aca="false">Assm!N16</f>
        <v>Land &amp; Rights Of Way</v>
      </c>
      <c r="B18" s="114"/>
      <c r="C18" s="176" t="n">
        <f aca="false">Assm!R16</f>
        <v>600</v>
      </c>
      <c r="D18" s="85"/>
      <c r="E18" s="159" t="n">
        <v>0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 t="n">
        <v>0</v>
      </c>
      <c r="K18" s="159" t="n">
        <v>0</v>
      </c>
      <c r="L18" s="159" t="n">
        <v>0</v>
      </c>
      <c r="M18" s="159" t="n">
        <v>0</v>
      </c>
      <c r="N18" s="159" t="n">
        <v>0</v>
      </c>
      <c r="O18" s="159" t="n">
        <v>0</v>
      </c>
      <c r="P18" s="159" t="n">
        <v>0</v>
      </c>
      <c r="Q18" s="159" t="n">
        <v>0</v>
      </c>
      <c r="R18" s="159" t="n">
        <v>0</v>
      </c>
      <c r="S18" s="159" t="n">
        <v>0</v>
      </c>
      <c r="T18" s="159" t="n">
        <v>0</v>
      </c>
      <c r="U18" s="159" t="n">
        <v>0</v>
      </c>
      <c r="V18" s="159" t="n">
        <v>0</v>
      </c>
      <c r="W18" s="159" t="n">
        <v>0</v>
      </c>
      <c r="X18" s="159" t="n">
        <v>0</v>
      </c>
      <c r="Y18" s="159" t="n">
        <v>0</v>
      </c>
      <c r="Z18" s="159" t="n">
        <v>0</v>
      </c>
      <c r="AA18" s="159" t="n">
        <v>0</v>
      </c>
      <c r="AB18" s="159" t="n">
        <v>0</v>
      </c>
      <c r="AC18" s="159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85"/>
      <c r="AP18" s="586" t="n">
        <f aca="false">SUM(E18:AO18)</f>
        <v>0</v>
      </c>
      <c r="AQ18" s="754" t="n">
        <f aca="false">AQ17+1</f>
        <v>12</v>
      </c>
      <c r="AR18" s="742"/>
      <c r="AS18" s="742"/>
      <c r="AT18" s="742"/>
      <c r="AU18" s="742"/>
      <c r="AV18" s="742"/>
      <c r="AW18" s="742"/>
      <c r="AX18" s="742"/>
      <c r="AY18" s="742"/>
      <c r="AZ18" s="742"/>
      <c r="BA18" s="742"/>
      <c r="BB18" s="742"/>
      <c r="BC18" s="742"/>
      <c r="BD18" s="742"/>
      <c r="BE18" s="742"/>
      <c r="BF18" s="742"/>
      <c r="BG18" s="742"/>
      <c r="BH18" s="742"/>
      <c r="BI18" s="742"/>
      <c r="BJ18" s="742"/>
      <c r="BK18" s="742"/>
      <c r="BL18" s="742"/>
      <c r="BM18" s="742"/>
      <c r="BN18" s="742"/>
      <c r="BO18" s="742"/>
      <c r="BP18" s="742"/>
      <c r="BQ18" s="742"/>
      <c r="BR18" s="742"/>
      <c r="BS18" s="742"/>
      <c r="BT18" s="742"/>
      <c r="BU18" s="742"/>
      <c r="BV18" s="742"/>
      <c r="BW18" s="742"/>
      <c r="BX18" s="742"/>
      <c r="BY18" s="742"/>
      <c r="BZ18" s="742"/>
      <c r="CA18" s="742"/>
      <c r="CB18" s="742"/>
      <c r="CC18" s="742"/>
      <c r="CD18" s="742"/>
      <c r="CE18" s="742"/>
      <c r="CF18" s="742"/>
      <c r="CG18" s="742"/>
      <c r="CH18" s="742"/>
      <c r="CI18" s="742"/>
      <c r="CJ18" s="742"/>
      <c r="CK18" s="742"/>
      <c r="CL18" s="742"/>
      <c r="CM18" s="742"/>
      <c r="CN18" s="742"/>
      <c r="CO18" s="742"/>
      <c r="CP18" s="742"/>
      <c r="CQ18" s="742"/>
      <c r="CR18" s="742"/>
      <c r="CS18" s="742"/>
      <c r="CT18" s="742"/>
      <c r="CU18" s="742"/>
      <c r="CV18" s="742"/>
      <c r="CW18" s="742"/>
      <c r="CX18" s="742"/>
      <c r="CY18" s="742"/>
      <c r="CZ18" s="742"/>
      <c r="DA18" s="742"/>
      <c r="DB18" s="742"/>
      <c r="DC18" s="742"/>
      <c r="DD18" s="742"/>
      <c r="DE18" s="742"/>
      <c r="DF18" s="742"/>
      <c r="DG18" s="742"/>
      <c r="DH18" s="742"/>
      <c r="DI18" s="742"/>
      <c r="DJ18" s="742"/>
      <c r="DK18" s="742"/>
      <c r="DL18" s="742"/>
      <c r="DM18" s="742"/>
      <c r="DN18" s="742"/>
      <c r="DO18" s="742"/>
      <c r="DP18" s="742"/>
      <c r="DQ18" s="742"/>
      <c r="DR18" s="742"/>
      <c r="DS18" s="742"/>
      <c r="DT18" s="742"/>
      <c r="DU18" s="742"/>
      <c r="DV18" s="742"/>
      <c r="DW18" s="742"/>
      <c r="DX18" s="742"/>
      <c r="DY18" s="742"/>
      <c r="DZ18" s="742"/>
      <c r="EA18" s="742"/>
      <c r="EB18" s="742"/>
      <c r="EC18" s="742"/>
      <c r="ED18" s="742"/>
      <c r="EE18" s="742"/>
      <c r="EF18" s="742"/>
      <c r="EG18" s="742"/>
      <c r="EH18" s="742"/>
      <c r="EI18" s="742"/>
      <c r="EJ18" s="742"/>
      <c r="EK18" s="742"/>
      <c r="EL18" s="742"/>
      <c r="EM18" s="742"/>
      <c r="EN18" s="742"/>
      <c r="EO18" s="742"/>
      <c r="EP18" s="742"/>
      <c r="EQ18" s="742"/>
      <c r="ER18" s="742"/>
      <c r="ES18" s="742"/>
      <c r="ET18" s="742"/>
      <c r="EU18" s="742"/>
      <c r="EV18" s="742"/>
      <c r="EW18" s="742"/>
      <c r="EX18" s="742"/>
      <c r="EY18" s="742"/>
      <c r="EZ18" s="742"/>
      <c r="FA18" s="742"/>
      <c r="FB18" s="742"/>
      <c r="FC18" s="742"/>
      <c r="FD18" s="742"/>
      <c r="FE18" s="742"/>
      <c r="FF18" s="742"/>
      <c r="FG18" s="742"/>
      <c r="FH18" s="742"/>
      <c r="FI18" s="742"/>
      <c r="FJ18" s="742"/>
      <c r="FK18" s="742"/>
      <c r="FL18" s="742"/>
      <c r="FM18" s="742"/>
      <c r="FN18" s="742"/>
      <c r="FO18" s="742"/>
      <c r="FP18" s="742"/>
      <c r="FQ18" s="742"/>
      <c r="FR18" s="742"/>
      <c r="FS18" s="742"/>
      <c r="FT18" s="742"/>
      <c r="FU18" s="742"/>
      <c r="FV18" s="742"/>
      <c r="FW18" s="742"/>
      <c r="FX18" s="742"/>
      <c r="FY18" s="742"/>
      <c r="FZ18" s="742"/>
      <c r="GA18" s="742"/>
      <c r="GB18" s="742"/>
      <c r="GC18" s="742"/>
      <c r="GD18" s="742"/>
      <c r="GE18" s="742"/>
      <c r="GF18" s="742"/>
      <c r="GG18" s="742"/>
      <c r="GH18" s="742"/>
      <c r="GI18" s="742"/>
      <c r="GJ18" s="742"/>
      <c r="GK18" s="742"/>
      <c r="GL18" s="742"/>
      <c r="GM18" s="742"/>
      <c r="GN18" s="742"/>
      <c r="GO18" s="742"/>
      <c r="GP18" s="742"/>
      <c r="GQ18" s="742"/>
      <c r="GR18" s="742"/>
      <c r="GS18" s="742"/>
      <c r="GT18" s="742"/>
      <c r="GU18" s="742"/>
      <c r="GV18" s="742"/>
      <c r="GW18" s="742"/>
      <c r="GX18" s="742"/>
      <c r="GY18" s="742"/>
      <c r="GZ18" s="742"/>
      <c r="HA18" s="742"/>
      <c r="HB18" s="742"/>
      <c r="HC18" s="742"/>
      <c r="HD18" s="742"/>
      <c r="HE18" s="742"/>
      <c r="HF18" s="742"/>
      <c r="HG18" s="742"/>
      <c r="HH18" s="742"/>
      <c r="HI18" s="742"/>
      <c r="HJ18" s="742"/>
      <c r="HK18" s="742"/>
      <c r="HL18" s="742"/>
      <c r="HM18" s="742"/>
      <c r="HN18" s="742"/>
      <c r="HO18" s="742"/>
      <c r="HP18" s="742"/>
      <c r="HQ18" s="742"/>
      <c r="HR18" s="742"/>
      <c r="HS18" s="742"/>
      <c r="HT18" s="742"/>
      <c r="HU18" s="742"/>
      <c r="HV18" s="742"/>
      <c r="HW18" s="742"/>
      <c r="HX18" s="742"/>
      <c r="HY18" s="742"/>
      <c r="HZ18" s="742"/>
      <c r="IA18" s="742"/>
      <c r="IB18" s="742"/>
      <c r="IC18" s="742"/>
      <c r="ID18" s="742"/>
      <c r="IE18" s="742"/>
      <c r="IF18" s="742"/>
      <c r="IG18" s="742"/>
      <c r="IH18" s="742"/>
      <c r="II18" s="742"/>
      <c r="IJ18" s="742"/>
      <c r="IK18" s="742"/>
      <c r="IL18" s="742"/>
      <c r="IM18" s="742"/>
      <c r="IN18" s="742"/>
      <c r="IO18" s="742"/>
      <c r="IP18" s="742"/>
      <c r="IQ18" s="742"/>
      <c r="IR18" s="742"/>
      <c r="IS18" s="742"/>
      <c r="IT18" s="742"/>
      <c r="IU18" s="742"/>
      <c r="IV18" s="742"/>
      <c r="IW18" s="742"/>
    </row>
    <row r="19" customFormat="false" ht="12.75" hidden="false" customHeight="false" outlineLevel="0" collapsed="false">
      <c r="A19" s="755" t="str">
        <f aca="false">Assm!N17</f>
        <v>Consulting Fees</v>
      </c>
      <c r="B19" s="114"/>
      <c r="C19" s="176" t="n">
        <f aca="false">Assm!R17</f>
        <v>802</v>
      </c>
      <c r="D19" s="85"/>
      <c r="E19" s="159" t="n">
        <v>0</v>
      </c>
      <c r="F19" s="159" t="n">
        <v>0</v>
      </c>
      <c r="G19" s="159" t="n">
        <v>0</v>
      </c>
      <c r="H19" s="159" t="n">
        <v>0</v>
      </c>
      <c r="I19" s="159" t="n">
        <v>0</v>
      </c>
      <c r="J19" s="159" t="n">
        <v>0</v>
      </c>
      <c r="K19" s="159" t="n">
        <v>0</v>
      </c>
      <c r="L19" s="159" t="n">
        <v>0</v>
      </c>
      <c r="M19" s="159" t="n">
        <v>0</v>
      </c>
      <c r="N19" s="159" t="n">
        <v>0</v>
      </c>
      <c r="O19" s="159" t="n">
        <v>0</v>
      </c>
      <c r="P19" s="159" t="n">
        <v>0</v>
      </c>
      <c r="Q19" s="159" t="n">
        <v>0</v>
      </c>
      <c r="R19" s="159" t="n">
        <v>0</v>
      </c>
      <c r="S19" s="159" t="n">
        <v>0</v>
      </c>
      <c r="T19" s="159" t="n">
        <v>0</v>
      </c>
      <c r="U19" s="159" t="n">
        <v>0</v>
      </c>
      <c r="V19" s="159" t="n">
        <v>0</v>
      </c>
      <c r="W19" s="159" t="n">
        <v>0</v>
      </c>
      <c r="X19" s="159" t="n">
        <v>0</v>
      </c>
      <c r="Y19" s="159" t="n">
        <v>0</v>
      </c>
      <c r="Z19" s="159" t="n">
        <v>0</v>
      </c>
      <c r="AA19" s="159" t="n">
        <v>0</v>
      </c>
      <c r="AB19" s="159" t="n">
        <v>0</v>
      </c>
      <c r="AC19" s="159" t="n">
        <v>0</v>
      </c>
      <c r="AD19" s="159" t="n">
        <v>0</v>
      </c>
      <c r="AE19" s="159" t="n">
        <v>0</v>
      </c>
      <c r="AF19" s="159" t="n">
        <v>0</v>
      </c>
      <c r="AG19" s="159" t="n">
        <v>0</v>
      </c>
      <c r="AH19" s="159" t="n">
        <v>0</v>
      </c>
      <c r="AI19" s="159" t="n">
        <v>0</v>
      </c>
      <c r="AJ19" s="159" t="n">
        <v>0</v>
      </c>
      <c r="AK19" s="159" t="n">
        <v>0</v>
      </c>
      <c r="AL19" s="159" t="n">
        <v>0</v>
      </c>
      <c r="AM19" s="159" t="n">
        <v>0</v>
      </c>
      <c r="AN19" s="159" t="n">
        <v>0</v>
      </c>
      <c r="AO19" s="85"/>
      <c r="AP19" s="586" t="n">
        <f aca="false">SUM(E19:AO19)</f>
        <v>0</v>
      </c>
      <c r="AQ19" s="754" t="n">
        <f aca="false">AQ18+1</f>
        <v>13</v>
      </c>
      <c r="AR19" s="742"/>
      <c r="AS19" s="742"/>
      <c r="AT19" s="742"/>
      <c r="AU19" s="742"/>
      <c r="AV19" s="742"/>
      <c r="AW19" s="742"/>
      <c r="AX19" s="742"/>
      <c r="AY19" s="742"/>
      <c r="AZ19" s="742"/>
      <c r="BA19" s="742"/>
      <c r="BB19" s="742"/>
      <c r="BC19" s="742"/>
      <c r="BD19" s="742"/>
      <c r="BE19" s="742"/>
      <c r="BF19" s="742"/>
      <c r="BG19" s="742"/>
      <c r="BH19" s="742"/>
      <c r="BI19" s="742"/>
      <c r="BJ19" s="742"/>
      <c r="BK19" s="742"/>
      <c r="BL19" s="742"/>
      <c r="BM19" s="742"/>
      <c r="BN19" s="742"/>
      <c r="BO19" s="742"/>
      <c r="BP19" s="742"/>
      <c r="BQ19" s="742"/>
      <c r="BR19" s="742"/>
      <c r="BS19" s="742"/>
      <c r="BT19" s="742"/>
      <c r="BU19" s="742"/>
      <c r="BV19" s="742"/>
      <c r="BW19" s="742"/>
      <c r="BX19" s="742"/>
      <c r="BY19" s="742"/>
      <c r="BZ19" s="742"/>
      <c r="CA19" s="742"/>
      <c r="CB19" s="742"/>
      <c r="CC19" s="742"/>
      <c r="CD19" s="742"/>
      <c r="CE19" s="742"/>
      <c r="CF19" s="742"/>
      <c r="CG19" s="742"/>
      <c r="CH19" s="742"/>
      <c r="CI19" s="742"/>
      <c r="CJ19" s="742"/>
      <c r="CK19" s="742"/>
      <c r="CL19" s="742"/>
      <c r="CM19" s="742"/>
      <c r="CN19" s="742"/>
      <c r="CO19" s="742"/>
      <c r="CP19" s="742"/>
      <c r="CQ19" s="742"/>
      <c r="CR19" s="742"/>
      <c r="CS19" s="742"/>
      <c r="CT19" s="742"/>
      <c r="CU19" s="742"/>
      <c r="CV19" s="742"/>
      <c r="CW19" s="742"/>
      <c r="CX19" s="742"/>
      <c r="CY19" s="742"/>
      <c r="CZ19" s="742"/>
      <c r="DA19" s="742"/>
      <c r="DB19" s="742"/>
      <c r="DC19" s="742"/>
      <c r="DD19" s="742"/>
      <c r="DE19" s="742"/>
      <c r="DF19" s="742"/>
      <c r="DG19" s="742"/>
      <c r="DH19" s="742"/>
      <c r="DI19" s="742"/>
      <c r="DJ19" s="742"/>
      <c r="DK19" s="742"/>
      <c r="DL19" s="742"/>
      <c r="DM19" s="742"/>
      <c r="DN19" s="742"/>
      <c r="DO19" s="742"/>
      <c r="DP19" s="742"/>
      <c r="DQ19" s="742"/>
      <c r="DR19" s="742"/>
      <c r="DS19" s="742"/>
      <c r="DT19" s="742"/>
      <c r="DU19" s="742"/>
      <c r="DV19" s="742"/>
      <c r="DW19" s="742"/>
      <c r="DX19" s="742"/>
      <c r="DY19" s="742"/>
      <c r="DZ19" s="742"/>
      <c r="EA19" s="742"/>
      <c r="EB19" s="742"/>
      <c r="EC19" s="742"/>
      <c r="ED19" s="742"/>
      <c r="EE19" s="742"/>
      <c r="EF19" s="742"/>
      <c r="EG19" s="742"/>
      <c r="EH19" s="742"/>
      <c r="EI19" s="742"/>
      <c r="EJ19" s="742"/>
      <c r="EK19" s="742"/>
      <c r="EL19" s="742"/>
      <c r="EM19" s="742"/>
      <c r="EN19" s="742"/>
      <c r="EO19" s="742"/>
      <c r="EP19" s="742"/>
      <c r="EQ19" s="742"/>
      <c r="ER19" s="742"/>
      <c r="ES19" s="742"/>
      <c r="ET19" s="742"/>
      <c r="EU19" s="742"/>
      <c r="EV19" s="742"/>
      <c r="EW19" s="742"/>
      <c r="EX19" s="742"/>
      <c r="EY19" s="742"/>
      <c r="EZ19" s="742"/>
      <c r="FA19" s="742"/>
      <c r="FB19" s="742"/>
      <c r="FC19" s="742"/>
      <c r="FD19" s="742"/>
      <c r="FE19" s="742"/>
      <c r="FF19" s="742"/>
      <c r="FG19" s="742"/>
      <c r="FH19" s="742"/>
      <c r="FI19" s="742"/>
      <c r="FJ19" s="742"/>
      <c r="FK19" s="742"/>
      <c r="FL19" s="742"/>
      <c r="FM19" s="742"/>
      <c r="FN19" s="742"/>
      <c r="FO19" s="742"/>
      <c r="FP19" s="742"/>
      <c r="FQ19" s="742"/>
      <c r="FR19" s="742"/>
      <c r="FS19" s="742"/>
      <c r="FT19" s="742"/>
      <c r="FU19" s="742"/>
      <c r="FV19" s="742"/>
      <c r="FW19" s="742"/>
      <c r="FX19" s="742"/>
      <c r="FY19" s="742"/>
      <c r="FZ19" s="742"/>
      <c r="GA19" s="742"/>
      <c r="GB19" s="742"/>
      <c r="GC19" s="742"/>
      <c r="GD19" s="742"/>
      <c r="GE19" s="742"/>
      <c r="GF19" s="742"/>
      <c r="GG19" s="742"/>
      <c r="GH19" s="742"/>
      <c r="GI19" s="742"/>
      <c r="GJ19" s="742"/>
      <c r="GK19" s="742"/>
      <c r="GL19" s="742"/>
      <c r="GM19" s="742"/>
      <c r="GN19" s="742"/>
      <c r="GO19" s="742"/>
      <c r="GP19" s="742"/>
      <c r="GQ19" s="742"/>
      <c r="GR19" s="742"/>
      <c r="GS19" s="742"/>
      <c r="GT19" s="742"/>
      <c r="GU19" s="742"/>
      <c r="GV19" s="742"/>
      <c r="GW19" s="742"/>
      <c r="GX19" s="742"/>
      <c r="GY19" s="742"/>
      <c r="GZ19" s="742"/>
      <c r="HA19" s="742"/>
      <c r="HB19" s="742"/>
      <c r="HC19" s="742"/>
      <c r="HD19" s="742"/>
      <c r="HE19" s="742"/>
      <c r="HF19" s="742"/>
      <c r="HG19" s="742"/>
      <c r="HH19" s="742"/>
      <c r="HI19" s="742"/>
      <c r="HJ19" s="742"/>
      <c r="HK19" s="742"/>
      <c r="HL19" s="742"/>
      <c r="HM19" s="742"/>
      <c r="HN19" s="742"/>
      <c r="HO19" s="742"/>
      <c r="HP19" s="742"/>
      <c r="HQ19" s="742"/>
      <c r="HR19" s="742"/>
      <c r="HS19" s="742"/>
      <c r="HT19" s="742"/>
      <c r="HU19" s="742"/>
      <c r="HV19" s="742"/>
      <c r="HW19" s="742"/>
      <c r="HX19" s="742"/>
      <c r="HY19" s="742"/>
      <c r="HZ19" s="742"/>
      <c r="IA19" s="742"/>
      <c r="IB19" s="742"/>
      <c r="IC19" s="742"/>
      <c r="ID19" s="742"/>
      <c r="IE19" s="742"/>
      <c r="IF19" s="742"/>
      <c r="IG19" s="742"/>
      <c r="IH19" s="742"/>
      <c r="II19" s="742"/>
      <c r="IJ19" s="742"/>
      <c r="IK19" s="742"/>
      <c r="IL19" s="742"/>
      <c r="IM19" s="742"/>
      <c r="IN19" s="742"/>
      <c r="IO19" s="742"/>
      <c r="IP19" s="742"/>
      <c r="IQ19" s="742"/>
      <c r="IR19" s="742"/>
      <c r="IS19" s="742"/>
      <c r="IT19" s="742"/>
      <c r="IU19" s="742"/>
      <c r="IV19" s="742"/>
      <c r="IW19" s="742"/>
    </row>
    <row r="20" customFormat="false" ht="12.75" hidden="false" customHeight="false" outlineLevel="0" collapsed="false">
      <c r="A20" s="755" t="str">
        <f aca="false">Assm!N18</f>
        <v>Owner's Engineer (Parsons)</v>
      </c>
      <c r="B20" s="114"/>
      <c r="C20" s="176" t="n">
        <f aca="false">Assm!R18</f>
        <v>1250</v>
      </c>
      <c r="D20" s="85"/>
      <c r="E20" s="159" t="n">
        <v>0</v>
      </c>
      <c r="F20" s="159" t="n">
        <v>0</v>
      </c>
      <c r="G20" s="159" t="n">
        <v>0</v>
      </c>
      <c r="H20" s="159" t="n">
        <v>0</v>
      </c>
      <c r="I20" s="159" t="n">
        <v>0</v>
      </c>
      <c r="J20" s="159" t="n">
        <v>0</v>
      </c>
      <c r="K20" s="159" t="n">
        <v>0</v>
      </c>
      <c r="L20" s="159" t="n">
        <v>0</v>
      </c>
      <c r="M20" s="159" t="n">
        <v>0</v>
      </c>
      <c r="N20" s="159" t="n">
        <v>0</v>
      </c>
      <c r="O20" s="159" t="n">
        <v>0</v>
      </c>
      <c r="P20" s="159" t="n">
        <v>0</v>
      </c>
      <c r="Q20" s="159" t="n">
        <v>0</v>
      </c>
      <c r="R20" s="159" t="n">
        <v>0</v>
      </c>
      <c r="S20" s="159" t="n">
        <v>0</v>
      </c>
      <c r="T20" s="159" t="n">
        <v>0</v>
      </c>
      <c r="U20" s="159" t="n">
        <v>0</v>
      </c>
      <c r="V20" s="159" t="n">
        <v>0</v>
      </c>
      <c r="W20" s="159" t="n">
        <v>0</v>
      </c>
      <c r="X20" s="159" t="n">
        <v>0</v>
      </c>
      <c r="Y20" s="159" t="n">
        <v>0</v>
      </c>
      <c r="Z20" s="159" t="n">
        <v>0</v>
      </c>
      <c r="AA20" s="159" t="n">
        <v>0</v>
      </c>
      <c r="AB20" s="159" t="n">
        <v>0</v>
      </c>
      <c r="AC20" s="159" t="n">
        <v>0</v>
      </c>
      <c r="AD20" s="159" t="n">
        <v>0</v>
      </c>
      <c r="AE20" s="159" t="n">
        <v>0</v>
      </c>
      <c r="AF20" s="159" t="n">
        <v>0</v>
      </c>
      <c r="AG20" s="159" t="n">
        <v>0</v>
      </c>
      <c r="AH20" s="159" t="n">
        <v>0</v>
      </c>
      <c r="AI20" s="159" t="n">
        <v>0</v>
      </c>
      <c r="AJ20" s="159" t="n">
        <v>0</v>
      </c>
      <c r="AK20" s="159" t="n">
        <v>0</v>
      </c>
      <c r="AL20" s="159" t="n">
        <v>0</v>
      </c>
      <c r="AM20" s="159" t="n">
        <v>0</v>
      </c>
      <c r="AN20" s="159" t="n">
        <v>0</v>
      </c>
      <c r="AO20" s="85"/>
      <c r="AP20" s="586" t="n">
        <f aca="false">SUM(E20:AO20)</f>
        <v>0</v>
      </c>
      <c r="AQ20" s="754" t="n">
        <f aca="false">AQ19+1</f>
        <v>14</v>
      </c>
      <c r="AR20" s="742"/>
      <c r="AS20" s="742"/>
      <c r="AT20" s="742"/>
      <c r="AU20" s="742"/>
      <c r="AV20" s="742"/>
      <c r="AW20" s="742"/>
      <c r="AX20" s="742"/>
      <c r="AY20" s="742"/>
      <c r="AZ20" s="742"/>
      <c r="BA20" s="742"/>
      <c r="BB20" s="742"/>
      <c r="BC20" s="742"/>
      <c r="BD20" s="742"/>
      <c r="BE20" s="742"/>
      <c r="BF20" s="742"/>
      <c r="BG20" s="742"/>
      <c r="BH20" s="742"/>
      <c r="BI20" s="742"/>
      <c r="BJ20" s="742"/>
      <c r="BK20" s="742"/>
      <c r="BL20" s="742"/>
      <c r="BM20" s="742"/>
      <c r="BN20" s="742"/>
      <c r="BO20" s="742"/>
      <c r="BP20" s="742"/>
      <c r="BQ20" s="742"/>
      <c r="BR20" s="742"/>
      <c r="BS20" s="742"/>
      <c r="BT20" s="742"/>
      <c r="BU20" s="742"/>
      <c r="BV20" s="742"/>
      <c r="BW20" s="742"/>
      <c r="BX20" s="742"/>
      <c r="BY20" s="742"/>
      <c r="BZ20" s="742"/>
      <c r="CA20" s="742"/>
      <c r="CB20" s="742"/>
      <c r="CC20" s="742"/>
      <c r="CD20" s="742"/>
      <c r="CE20" s="742"/>
      <c r="CF20" s="742"/>
      <c r="CG20" s="742"/>
      <c r="CH20" s="742"/>
      <c r="CI20" s="742"/>
      <c r="CJ20" s="742"/>
      <c r="CK20" s="742"/>
      <c r="CL20" s="742"/>
      <c r="CM20" s="742"/>
      <c r="CN20" s="742"/>
      <c r="CO20" s="742"/>
      <c r="CP20" s="742"/>
      <c r="CQ20" s="742"/>
      <c r="CR20" s="742"/>
      <c r="CS20" s="742"/>
      <c r="CT20" s="742"/>
      <c r="CU20" s="742"/>
      <c r="CV20" s="742"/>
      <c r="CW20" s="742"/>
      <c r="CX20" s="742"/>
      <c r="CY20" s="742"/>
      <c r="CZ20" s="742"/>
      <c r="DA20" s="742"/>
      <c r="DB20" s="742"/>
      <c r="DC20" s="742"/>
      <c r="DD20" s="742"/>
      <c r="DE20" s="742"/>
      <c r="DF20" s="742"/>
      <c r="DG20" s="742"/>
      <c r="DH20" s="742"/>
      <c r="DI20" s="742"/>
      <c r="DJ20" s="742"/>
      <c r="DK20" s="742"/>
      <c r="DL20" s="742"/>
      <c r="DM20" s="742"/>
      <c r="DN20" s="742"/>
      <c r="DO20" s="742"/>
      <c r="DP20" s="742"/>
      <c r="DQ20" s="742"/>
      <c r="DR20" s="742"/>
      <c r="DS20" s="742"/>
      <c r="DT20" s="742"/>
      <c r="DU20" s="742"/>
      <c r="DV20" s="742"/>
      <c r="DW20" s="742"/>
      <c r="DX20" s="742"/>
      <c r="DY20" s="742"/>
      <c r="DZ20" s="742"/>
      <c r="EA20" s="742"/>
      <c r="EB20" s="742"/>
      <c r="EC20" s="742"/>
      <c r="ED20" s="742"/>
      <c r="EE20" s="742"/>
      <c r="EF20" s="742"/>
      <c r="EG20" s="742"/>
      <c r="EH20" s="742"/>
      <c r="EI20" s="742"/>
      <c r="EJ20" s="742"/>
      <c r="EK20" s="742"/>
      <c r="EL20" s="742"/>
      <c r="EM20" s="742"/>
      <c r="EN20" s="742"/>
      <c r="EO20" s="742"/>
      <c r="EP20" s="742"/>
      <c r="EQ20" s="742"/>
      <c r="ER20" s="742"/>
      <c r="ES20" s="742"/>
      <c r="ET20" s="742"/>
      <c r="EU20" s="742"/>
      <c r="EV20" s="742"/>
      <c r="EW20" s="742"/>
      <c r="EX20" s="742"/>
      <c r="EY20" s="742"/>
      <c r="EZ20" s="742"/>
      <c r="FA20" s="742"/>
      <c r="FB20" s="742"/>
      <c r="FC20" s="742"/>
      <c r="FD20" s="742"/>
      <c r="FE20" s="742"/>
      <c r="FF20" s="742"/>
      <c r="FG20" s="742"/>
      <c r="FH20" s="742"/>
      <c r="FI20" s="742"/>
      <c r="FJ20" s="742"/>
      <c r="FK20" s="742"/>
      <c r="FL20" s="742"/>
      <c r="FM20" s="742"/>
      <c r="FN20" s="742"/>
      <c r="FO20" s="742"/>
      <c r="FP20" s="742"/>
      <c r="FQ20" s="742"/>
      <c r="FR20" s="742"/>
      <c r="FS20" s="742"/>
      <c r="FT20" s="742"/>
      <c r="FU20" s="742"/>
      <c r="FV20" s="742"/>
      <c r="FW20" s="742"/>
      <c r="FX20" s="742"/>
      <c r="FY20" s="742"/>
      <c r="FZ20" s="742"/>
      <c r="GA20" s="742"/>
      <c r="GB20" s="742"/>
      <c r="GC20" s="742"/>
      <c r="GD20" s="742"/>
      <c r="GE20" s="742"/>
      <c r="GF20" s="742"/>
      <c r="GG20" s="742"/>
      <c r="GH20" s="742"/>
      <c r="GI20" s="742"/>
      <c r="GJ20" s="742"/>
      <c r="GK20" s="742"/>
      <c r="GL20" s="742"/>
      <c r="GM20" s="742"/>
      <c r="GN20" s="742"/>
      <c r="GO20" s="742"/>
      <c r="GP20" s="742"/>
      <c r="GQ20" s="742"/>
      <c r="GR20" s="742"/>
      <c r="GS20" s="742"/>
      <c r="GT20" s="742"/>
      <c r="GU20" s="742"/>
      <c r="GV20" s="742"/>
      <c r="GW20" s="742"/>
      <c r="GX20" s="742"/>
      <c r="GY20" s="742"/>
      <c r="GZ20" s="742"/>
      <c r="HA20" s="742"/>
      <c r="HB20" s="742"/>
      <c r="HC20" s="742"/>
      <c r="HD20" s="742"/>
      <c r="HE20" s="742"/>
      <c r="HF20" s="742"/>
      <c r="HG20" s="742"/>
      <c r="HH20" s="742"/>
      <c r="HI20" s="742"/>
      <c r="HJ20" s="742"/>
      <c r="HK20" s="742"/>
      <c r="HL20" s="742"/>
      <c r="HM20" s="742"/>
      <c r="HN20" s="742"/>
      <c r="HO20" s="742"/>
      <c r="HP20" s="742"/>
      <c r="HQ20" s="742"/>
      <c r="HR20" s="742"/>
      <c r="HS20" s="742"/>
      <c r="HT20" s="742"/>
      <c r="HU20" s="742"/>
      <c r="HV20" s="742"/>
      <c r="HW20" s="742"/>
      <c r="HX20" s="742"/>
      <c r="HY20" s="742"/>
      <c r="HZ20" s="742"/>
      <c r="IA20" s="742"/>
      <c r="IB20" s="742"/>
      <c r="IC20" s="742"/>
      <c r="ID20" s="742"/>
      <c r="IE20" s="742"/>
      <c r="IF20" s="742"/>
      <c r="IG20" s="742"/>
      <c r="IH20" s="742"/>
      <c r="II20" s="742"/>
      <c r="IJ20" s="742"/>
      <c r="IK20" s="742"/>
      <c r="IL20" s="742"/>
      <c r="IM20" s="742"/>
      <c r="IN20" s="742"/>
      <c r="IO20" s="742"/>
      <c r="IP20" s="742"/>
      <c r="IQ20" s="742"/>
      <c r="IR20" s="742"/>
      <c r="IS20" s="742"/>
      <c r="IT20" s="742"/>
      <c r="IU20" s="742"/>
      <c r="IV20" s="742"/>
      <c r="IW20" s="742"/>
    </row>
    <row r="21" customFormat="false" ht="12.75" hidden="false" customHeight="false" outlineLevel="0" collapsed="false">
      <c r="A21" s="755" t="str">
        <f aca="false">Assm!N19</f>
        <v>Other Engineering Costs</v>
      </c>
      <c r="B21" s="114"/>
      <c r="C21" s="176" t="n">
        <f aca="false">Assm!R19</f>
        <v>0</v>
      </c>
      <c r="D21" s="85"/>
      <c r="E21" s="159" t="n">
        <v>0</v>
      </c>
      <c r="F21" s="159" t="n">
        <v>0</v>
      </c>
      <c r="G21" s="159" t="n">
        <v>0</v>
      </c>
      <c r="H21" s="159" t="n">
        <v>0</v>
      </c>
      <c r="I21" s="159" t="n">
        <v>0</v>
      </c>
      <c r="J21" s="159" t="n">
        <v>0</v>
      </c>
      <c r="K21" s="159" t="n">
        <v>0</v>
      </c>
      <c r="L21" s="159" t="n">
        <v>0</v>
      </c>
      <c r="M21" s="159" t="n">
        <v>0</v>
      </c>
      <c r="N21" s="159" t="n">
        <v>0</v>
      </c>
      <c r="O21" s="159" t="n">
        <v>0</v>
      </c>
      <c r="P21" s="159" t="n">
        <v>0</v>
      </c>
      <c r="Q21" s="159" t="n">
        <v>0</v>
      </c>
      <c r="R21" s="159" t="n">
        <v>0</v>
      </c>
      <c r="S21" s="159" t="n">
        <v>0</v>
      </c>
      <c r="T21" s="159" t="n">
        <v>0</v>
      </c>
      <c r="U21" s="159" t="n">
        <v>0</v>
      </c>
      <c r="V21" s="159" t="n">
        <v>0</v>
      </c>
      <c r="W21" s="159" t="n">
        <v>0</v>
      </c>
      <c r="X21" s="159" t="n">
        <v>0</v>
      </c>
      <c r="Y21" s="159" t="n">
        <v>0</v>
      </c>
      <c r="Z21" s="159" t="n">
        <v>0</v>
      </c>
      <c r="AA21" s="159" t="n">
        <v>0</v>
      </c>
      <c r="AB21" s="159" t="n">
        <v>0</v>
      </c>
      <c r="AC21" s="159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0</v>
      </c>
      <c r="AN21" s="159" t="n">
        <v>0</v>
      </c>
      <c r="AO21" s="85"/>
      <c r="AP21" s="586" t="n">
        <f aca="false">SUM(E21:AO21)</f>
        <v>0</v>
      </c>
      <c r="AQ21" s="754" t="n">
        <f aca="false">AQ20+1</f>
        <v>15</v>
      </c>
      <c r="AR21" s="742"/>
      <c r="AS21" s="742"/>
      <c r="AT21" s="742"/>
      <c r="AU21" s="742"/>
      <c r="AV21" s="742"/>
      <c r="AW21" s="742"/>
      <c r="AX21" s="742"/>
      <c r="AY21" s="742"/>
      <c r="AZ21" s="742"/>
      <c r="BA21" s="742"/>
      <c r="BB21" s="742"/>
      <c r="BC21" s="742"/>
      <c r="BD21" s="742"/>
      <c r="BE21" s="742"/>
      <c r="BF21" s="742"/>
      <c r="BG21" s="742"/>
      <c r="BH21" s="742"/>
      <c r="BI21" s="742"/>
      <c r="BJ21" s="742"/>
      <c r="BK21" s="742"/>
      <c r="BL21" s="742"/>
      <c r="BM21" s="742"/>
      <c r="BN21" s="742"/>
      <c r="BO21" s="742"/>
      <c r="BP21" s="742"/>
      <c r="BQ21" s="742"/>
      <c r="BR21" s="742"/>
      <c r="BS21" s="742"/>
      <c r="BT21" s="742"/>
      <c r="BU21" s="742"/>
      <c r="BV21" s="742"/>
      <c r="BW21" s="742"/>
      <c r="BX21" s="742"/>
      <c r="BY21" s="742"/>
      <c r="BZ21" s="742"/>
      <c r="CA21" s="742"/>
      <c r="CB21" s="742"/>
      <c r="CC21" s="742"/>
      <c r="CD21" s="742"/>
      <c r="CE21" s="742"/>
      <c r="CF21" s="742"/>
      <c r="CG21" s="742"/>
      <c r="CH21" s="742"/>
      <c r="CI21" s="742"/>
      <c r="CJ21" s="742"/>
      <c r="CK21" s="742"/>
      <c r="CL21" s="742"/>
      <c r="CM21" s="742"/>
      <c r="CN21" s="742"/>
      <c r="CO21" s="742"/>
      <c r="CP21" s="742"/>
      <c r="CQ21" s="742"/>
      <c r="CR21" s="742"/>
      <c r="CS21" s="742"/>
      <c r="CT21" s="742"/>
      <c r="CU21" s="742"/>
      <c r="CV21" s="742"/>
      <c r="CW21" s="742"/>
      <c r="CX21" s="742"/>
      <c r="CY21" s="742"/>
      <c r="CZ21" s="742"/>
      <c r="DA21" s="742"/>
      <c r="DB21" s="742"/>
      <c r="DC21" s="742"/>
      <c r="DD21" s="742"/>
      <c r="DE21" s="742"/>
      <c r="DF21" s="742"/>
      <c r="DG21" s="742"/>
      <c r="DH21" s="742"/>
      <c r="DI21" s="742"/>
      <c r="DJ21" s="742"/>
      <c r="DK21" s="742"/>
      <c r="DL21" s="742"/>
      <c r="DM21" s="742"/>
      <c r="DN21" s="742"/>
      <c r="DO21" s="742"/>
      <c r="DP21" s="742"/>
      <c r="DQ21" s="742"/>
      <c r="DR21" s="742"/>
      <c r="DS21" s="742"/>
      <c r="DT21" s="742"/>
      <c r="DU21" s="742"/>
      <c r="DV21" s="742"/>
      <c r="DW21" s="742"/>
      <c r="DX21" s="742"/>
      <c r="DY21" s="742"/>
      <c r="DZ21" s="742"/>
      <c r="EA21" s="742"/>
      <c r="EB21" s="742"/>
      <c r="EC21" s="742"/>
      <c r="ED21" s="742"/>
      <c r="EE21" s="742"/>
      <c r="EF21" s="742"/>
      <c r="EG21" s="742"/>
      <c r="EH21" s="742"/>
      <c r="EI21" s="742"/>
      <c r="EJ21" s="742"/>
      <c r="EK21" s="742"/>
      <c r="EL21" s="742"/>
      <c r="EM21" s="742"/>
      <c r="EN21" s="742"/>
      <c r="EO21" s="742"/>
      <c r="EP21" s="742"/>
      <c r="EQ21" s="742"/>
      <c r="ER21" s="742"/>
      <c r="ES21" s="742"/>
      <c r="ET21" s="742"/>
      <c r="EU21" s="742"/>
      <c r="EV21" s="742"/>
      <c r="EW21" s="742"/>
      <c r="EX21" s="742"/>
      <c r="EY21" s="742"/>
      <c r="EZ21" s="742"/>
      <c r="FA21" s="742"/>
      <c r="FB21" s="742"/>
      <c r="FC21" s="742"/>
      <c r="FD21" s="742"/>
      <c r="FE21" s="742"/>
      <c r="FF21" s="742"/>
      <c r="FG21" s="742"/>
      <c r="FH21" s="742"/>
      <c r="FI21" s="742"/>
      <c r="FJ21" s="742"/>
      <c r="FK21" s="742"/>
      <c r="FL21" s="742"/>
      <c r="FM21" s="742"/>
      <c r="FN21" s="742"/>
      <c r="FO21" s="742"/>
      <c r="FP21" s="742"/>
      <c r="FQ21" s="742"/>
      <c r="FR21" s="742"/>
      <c r="FS21" s="742"/>
      <c r="FT21" s="742"/>
      <c r="FU21" s="742"/>
      <c r="FV21" s="742"/>
      <c r="FW21" s="742"/>
      <c r="FX21" s="742"/>
      <c r="FY21" s="742"/>
      <c r="FZ21" s="742"/>
      <c r="GA21" s="742"/>
      <c r="GB21" s="742"/>
      <c r="GC21" s="742"/>
      <c r="GD21" s="742"/>
      <c r="GE21" s="742"/>
      <c r="GF21" s="742"/>
      <c r="GG21" s="742"/>
      <c r="GH21" s="742"/>
      <c r="GI21" s="742"/>
      <c r="GJ21" s="742"/>
      <c r="GK21" s="742"/>
      <c r="GL21" s="742"/>
      <c r="GM21" s="742"/>
      <c r="GN21" s="742"/>
      <c r="GO21" s="742"/>
      <c r="GP21" s="742"/>
      <c r="GQ21" s="742"/>
      <c r="GR21" s="742"/>
      <c r="GS21" s="742"/>
      <c r="GT21" s="742"/>
      <c r="GU21" s="742"/>
      <c r="GV21" s="742"/>
      <c r="GW21" s="742"/>
      <c r="GX21" s="742"/>
      <c r="GY21" s="742"/>
      <c r="GZ21" s="742"/>
      <c r="HA21" s="742"/>
      <c r="HB21" s="742"/>
      <c r="HC21" s="742"/>
      <c r="HD21" s="742"/>
      <c r="HE21" s="742"/>
      <c r="HF21" s="742"/>
      <c r="HG21" s="742"/>
      <c r="HH21" s="742"/>
      <c r="HI21" s="742"/>
      <c r="HJ21" s="742"/>
      <c r="HK21" s="742"/>
      <c r="HL21" s="742"/>
      <c r="HM21" s="742"/>
      <c r="HN21" s="742"/>
      <c r="HO21" s="742"/>
      <c r="HP21" s="742"/>
      <c r="HQ21" s="742"/>
      <c r="HR21" s="742"/>
      <c r="HS21" s="742"/>
      <c r="HT21" s="742"/>
      <c r="HU21" s="742"/>
      <c r="HV21" s="742"/>
      <c r="HW21" s="742"/>
      <c r="HX21" s="742"/>
      <c r="HY21" s="742"/>
      <c r="HZ21" s="742"/>
      <c r="IA21" s="742"/>
      <c r="IB21" s="742"/>
      <c r="IC21" s="742"/>
      <c r="ID21" s="742"/>
      <c r="IE21" s="742"/>
      <c r="IF21" s="742"/>
      <c r="IG21" s="742"/>
      <c r="IH21" s="742"/>
      <c r="II21" s="742"/>
      <c r="IJ21" s="742"/>
      <c r="IK21" s="742"/>
      <c r="IL21" s="742"/>
      <c r="IM21" s="742"/>
      <c r="IN21" s="742"/>
      <c r="IO21" s="742"/>
      <c r="IP21" s="742"/>
      <c r="IQ21" s="742"/>
      <c r="IR21" s="742"/>
      <c r="IS21" s="742"/>
      <c r="IT21" s="742"/>
      <c r="IU21" s="742"/>
      <c r="IV21" s="742"/>
      <c r="IW21" s="742"/>
    </row>
    <row r="22" customFormat="false" ht="12.75" hidden="false" customHeight="false" outlineLevel="0" collapsed="false">
      <c r="A22" s="755" t="str">
        <f aca="false">Assm!N20</f>
        <v>Environmental &amp; Permitting</v>
      </c>
      <c r="B22" s="114"/>
      <c r="C22" s="176" t="n">
        <f aca="false">Assm!R20</f>
        <v>11183.5134</v>
      </c>
      <c r="D22" s="85"/>
      <c r="E22" s="159" t="n">
        <v>0</v>
      </c>
      <c r="F22" s="159" t="n">
        <v>0</v>
      </c>
      <c r="G22" s="159" t="n">
        <v>0</v>
      </c>
      <c r="H22" s="159" t="n">
        <v>0</v>
      </c>
      <c r="I22" s="159" t="n">
        <v>0</v>
      </c>
      <c r="J22" s="159" t="n">
        <v>0</v>
      </c>
      <c r="K22" s="159" t="n">
        <v>0</v>
      </c>
      <c r="L22" s="159" t="n">
        <v>0</v>
      </c>
      <c r="M22" s="159" t="n">
        <v>0</v>
      </c>
      <c r="N22" s="159" t="n">
        <v>0</v>
      </c>
      <c r="O22" s="159" t="n">
        <v>0</v>
      </c>
      <c r="P22" s="159" t="n">
        <v>0</v>
      </c>
      <c r="Q22" s="159" t="n">
        <v>0</v>
      </c>
      <c r="R22" s="159" t="n">
        <v>0</v>
      </c>
      <c r="S22" s="159" t="n">
        <v>0</v>
      </c>
      <c r="T22" s="159" t="n">
        <v>0</v>
      </c>
      <c r="U22" s="159" t="n">
        <v>0</v>
      </c>
      <c r="V22" s="159" t="n">
        <v>0</v>
      </c>
      <c r="W22" s="159" t="n">
        <v>0</v>
      </c>
      <c r="X22" s="159" t="n">
        <v>0</v>
      </c>
      <c r="Y22" s="159" t="n">
        <v>0</v>
      </c>
      <c r="Z22" s="159" t="n">
        <v>0</v>
      </c>
      <c r="AA22" s="159" t="n">
        <v>0</v>
      </c>
      <c r="AB22" s="159" t="n">
        <v>0</v>
      </c>
      <c r="AC22" s="159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85"/>
      <c r="AP22" s="586" t="n">
        <f aca="false">SUM(E22:AO22)</f>
        <v>0</v>
      </c>
      <c r="AQ22" s="754" t="n">
        <f aca="false">AQ21+1</f>
        <v>16</v>
      </c>
      <c r="AR22" s="742"/>
      <c r="AS22" s="742"/>
      <c r="AT22" s="742"/>
      <c r="AU22" s="742"/>
      <c r="AV22" s="742"/>
      <c r="AW22" s="742"/>
      <c r="AX22" s="742"/>
      <c r="AY22" s="742"/>
      <c r="AZ22" s="742"/>
      <c r="BA22" s="742"/>
      <c r="BB22" s="742"/>
      <c r="BC22" s="742"/>
      <c r="BD22" s="742"/>
      <c r="BE22" s="742"/>
      <c r="BF22" s="742"/>
      <c r="BG22" s="742"/>
      <c r="BH22" s="742"/>
      <c r="BI22" s="742"/>
      <c r="BJ22" s="742"/>
      <c r="BK22" s="742"/>
      <c r="BL22" s="742"/>
      <c r="BM22" s="742"/>
      <c r="BN22" s="742"/>
      <c r="BO22" s="742"/>
      <c r="BP22" s="742"/>
      <c r="BQ22" s="742"/>
      <c r="BR22" s="742"/>
      <c r="BS22" s="742"/>
      <c r="BT22" s="742"/>
      <c r="BU22" s="742"/>
      <c r="BV22" s="742"/>
      <c r="BW22" s="742"/>
      <c r="BX22" s="742"/>
      <c r="BY22" s="742"/>
      <c r="BZ22" s="742"/>
      <c r="CA22" s="742"/>
      <c r="CB22" s="742"/>
      <c r="CC22" s="742"/>
      <c r="CD22" s="742"/>
      <c r="CE22" s="742"/>
      <c r="CF22" s="742"/>
      <c r="CG22" s="742"/>
      <c r="CH22" s="742"/>
      <c r="CI22" s="742"/>
      <c r="CJ22" s="742"/>
      <c r="CK22" s="742"/>
      <c r="CL22" s="742"/>
      <c r="CM22" s="742"/>
      <c r="CN22" s="742"/>
      <c r="CO22" s="742"/>
      <c r="CP22" s="742"/>
      <c r="CQ22" s="742"/>
      <c r="CR22" s="742"/>
      <c r="CS22" s="742"/>
      <c r="CT22" s="742"/>
      <c r="CU22" s="742"/>
      <c r="CV22" s="742"/>
      <c r="CW22" s="742"/>
      <c r="CX22" s="742"/>
      <c r="CY22" s="742"/>
      <c r="CZ22" s="742"/>
      <c r="DA22" s="742"/>
      <c r="DB22" s="742"/>
      <c r="DC22" s="742"/>
      <c r="DD22" s="742"/>
      <c r="DE22" s="742"/>
      <c r="DF22" s="742"/>
      <c r="DG22" s="742"/>
      <c r="DH22" s="742"/>
      <c r="DI22" s="742"/>
      <c r="DJ22" s="742"/>
      <c r="DK22" s="742"/>
      <c r="DL22" s="742"/>
      <c r="DM22" s="742"/>
      <c r="DN22" s="742"/>
      <c r="DO22" s="742"/>
      <c r="DP22" s="742"/>
      <c r="DQ22" s="742"/>
      <c r="DR22" s="742"/>
      <c r="DS22" s="742"/>
      <c r="DT22" s="742"/>
      <c r="DU22" s="742"/>
      <c r="DV22" s="742"/>
      <c r="DW22" s="742"/>
      <c r="DX22" s="742"/>
      <c r="DY22" s="742"/>
      <c r="DZ22" s="742"/>
      <c r="EA22" s="742"/>
      <c r="EB22" s="742"/>
      <c r="EC22" s="742"/>
      <c r="ED22" s="742"/>
      <c r="EE22" s="742"/>
      <c r="EF22" s="742"/>
      <c r="EG22" s="742"/>
      <c r="EH22" s="742"/>
      <c r="EI22" s="742"/>
      <c r="EJ22" s="742"/>
      <c r="EK22" s="742"/>
      <c r="EL22" s="742"/>
      <c r="EM22" s="742"/>
      <c r="EN22" s="742"/>
      <c r="EO22" s="742"/>
      <c r="EP22" s="742"/>
      <c r="EQ22" s="742"/>
      <c r="ER22" s="742"/>
      <c r="ES22" s="742"/>
      <c r="ET22" s="742"/>
      <c r="EU22" s="742"/>
      <c r="EV22" s="742"/>
      <c r="EW22" s="742"/>
      <c r="EX22" s="742"/>
      <c r="EY22" s="742"/>
      <c r="EZ22" s="742"/>
      <c r="FA22" s="742"/>
      <c r="FB22" s="742"/>
      <c r="FC22" s="742"/>
      <c r="FD22" s="742"/>
      <c r="FE22" s="742"/>
      <c r="FF22" s="742"/>
      <c r="FG22" s="742"/>
      <c r="FH22" s="742"/>
      <c r="FI22" s="742"/>
      <c r="FJ22" s="742"/>
      <c r="FK22" s="742"/>
      <c r="FL22" s="742"/>
      <c r="FM22" s="742"/>
      <c r="FN22" s="742"/>
      <c r="FO22" s="742"/>
      <c r="FP22" s="742"/>
      <c r="FQ22" s="742"/>
      <c r="FR22" s="742"/>
      <c r="FS22" s="742"/>
      <c r="FT22" s="742"/>
      <c r="FU22" s="742"/>
      <c r="FV22" s="742"/>
      <c r="FW22" s="742"/>
      <c r="FX22" s="742"/>
      <c r="FY22" s="742"/>
      <c r="FZ22" s="742"/>
      <c r="GA22" s="742"/>
      <c r="GB22" s="742"/>
      <c r="GC22" s="742"/>
      <c r="GD22" s="742"/>
      <c r="GE22" s="742"/>
      <c r="GF22" s="742"/>
      <c r="GG22" s="742"/>
      <c r="GH22" s="742"/>
      <c r="GI22" s="742"/>
      <c r="GJ22" s="742"/>
      <c r="GK22" s="742"/>
      <c r="GL22" s="742"/>
      <c r="GM22" s="742"/>
      <c r="GN22" s="742"/>
      <c r="GO22" s="742"/>
      <c r="GP22" s="742"/>
      <c r="GQ22" s="742"/>
      <c r="GR22" s="742"/>
      <c r="GS22" s="742"/>
      <c r="GT22" s="742"/>
      <c r="GU22" s="742"/>
      <c r="GV22" s="742"/>
      <c r="GW22" s="742"/>
      <c r="GX22" s="742"/>
      <c r="GY22" s="742"/>
      <c r="GZ22" s="742"/>
      <c r="HA22" s="742"/>
      <c r="HB22" s="742"/>
      <c r="HC22" s="742"/>
      <c r="HD22" s="742"/>
      <c r="HE22" s="742"/>
      <c r="HF22" s="742"/>
      <c r="HG22" s="742"/>
      <c r="HH22" s="742"/>
      <c r="HI22" s="742"/>
      <c r="HJ22" s="742"/>
      <c r="HK22" s="742"/>
      <c r="HL22" s="742"/>
      <c r="HM22" s="742"/>
      <c r="HN22" s="742"/>
      <c r="HO22" s="742"/>
      <c r="HP22" s="742"/>
      <c r="HQ22" s="742"/>
      <c r="HR22" s="742"/>
      <c r="HS22" s="742"/>
      <c r="HT22" s="742"/>
      <c r="HU22" s="742"/>
      <c r="HV22" s="742"/>
      <c r="HW22" s="742"/>
      <c r="HX22" s="742"/>
      <c r="HY22" s="742"/>
      <c r="HZ22" s="742"/>
      <c r="IA22" s="742"/>
      <c r="IB22" s="742"/>
      <c r="IC22" s="742"/>
      <c r="ID22" s="742"/>
      <c r="IE22" s="742"/>
      <c r="IF22" s="742"/>
      <c r="IG22" s="742"/>
      <c r="IH22" s="742"/>
      <c r="II22" s="742"/>
      <c r="IJ22" s="742"/>
      <c r="IK22" s="742"/>
      <c r="IL22" s="742"/>
      <c r="IM22" s="742"/>
      <c r="IN22" s="742"/>
      <c r="IO22" s="742"/>
      <c r="IP22" s="742"/>
      <c r="IQ22" s="742"/>
      <c r="IR22" s="742"/>
      <c r="IS22" s="742"/>
      <c r="IT22" s="742"/>
      <c r="IU22" s="742"/>
      <c r="IV22" s="742"/>
      <c r="IW22" s="742"/>
    </row>
    <row r="23" customFormat="false" ht="12.75" hidden="false" customHeight="false" outlineLevel="0" collapsed="false">
      <c r="A23" s="755" t="str">
        <f aca="false">Assm!N21</f>
        <v>Indigenous People Programs</v>
      </c>
      <c r="B23" s="114"/>
      <c r="C23" s="588" t="n">
        <f aca="false">Assm!R21</f>
        <v>5150.8</v>
      </c>
      <c r="D23" s="757"/>
      <c r="E23" s="181" t="n">
        <v>0</v>
      </c>
      <c r="F23" s="181" t="n">
        <v>0</v>
      </c>
      <c r="G23" s="181" t="n">
        <v>0</v>
      </c>
      <c r="H23" s="181" t="n">
        <v>0</v>
      </c>
      <c r="I23" s="181" t="n">
        <v>0</v>
      </c>
      <c r="J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181" t="n">
        <v>0</v>
      </c>
      <c r="P23" s="181" t="n">
        <v>0</v>
      </c>
      <c r="Q23" s="181" t="n">
        <v>0</v>
      </c>
      <c r="R23" s="181" t="n">
        <v>0</v>
      </c>
      <c r="S23" s="181" t="n">
        <v>0</v>
      </c>
      <c r="T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Y23" s="181" t="n">
        <v>0</v>
      </c>
      <c r="Z23" s="181" t="n">
        <v>0</v>
      </c>
      <c r="AA23" s="181" t="n">
        <v>0</v>
      </c>
      <c r="AB23" s="181" t="n">
        <v>0</v>
      </c>
      <c r="AC23" s="181" t="n">
        <v>0</v>
      </c>
      <c r="AD23" s="181" t="n">
        <v>0</v>
      </c>
      <c r="AE23" s="181" t="n">
        <v>0</v>
      </c>
      <c r="AF23" s="181" t="n">
        <v>0</v>
      </c>
      <c r="AG23" s="181" t="n">
        <v>0</v>
      </c>
      <c r="AH23" s="181" t="n">
        <v>0</v>
      </c>
      <c r="AI23" s="181" t="n">
        <v>0</v>
      </c>
      <c r="AJ23" s="181" t="n">
        <v>0</v>
      </c>
      <c r="AK23" s="181" t="n">
        <v>0</v>
      </c>
      <c r="AL23" s="181" t="n">
        <v>0</v>
      </c>
      <c r="AM23" s="181" t="n">
        <v>0</v>
      </c>
      <c r="AN23" s="181" t="n">
        <v>0</v>
      </c>
      <c r="AO23" s="757"/>
      <c r="AP23" s="589" t="n">
        <f aca="false">SUM(E23:AO23)</f>
        <v>0</v>
      </c>
      <c r="AQ23" s="754" t="n">
        <f aca="false">AQ22+1</f>
        <v>17</v>
      </c>
      <c r="AR23" s="742"/>
      <c r="AS23" s="742"/>
      <c r="AT23" s="742"/>
      <c r="AU23" s="742"/>
      <c r="AV23" s="742"/>
      <c r="AW23" s="742"/>
      <c r="AX23" s="742"/>
      <c r="AY23" s="742"/>
      <c r="AZ23" s="742"/>
      <c r="BA23" s="742"/>
      <c r="BB23" s="742"/>
      <c r="BC23" s="742"/>
      <c r="BD23" s="742"/>
      <c r="BE23" s="742"/>
      <c r="BF23" s="742"/>
      <c r="BG23" s="742"/>
      <c r="BH23" s="742"/>
      <c r="BI23" s="742"/>
      <c r="BJ23" s="742"/>
      <c r="BK23" s="742"/>
      <c r="BL23" s="742"/>
      <c r="BM23" s="742"/>
      <c r="BN23" s="742"/>
      <c r="BO23" s="742"/>
      <c r="BP23" s="742"/>
      <c r="BQ23" s="742"/>
      <c r="BR23" s="742"/>
      <c r="BS23" s="742"/>
      <c r="BT23" s="742"/>
      <c r="BU23" s="742"/>
      <c r="BV23" s="742"/>
      <c r="BW23" s="742"/>
      <c r="BX23" s="742"/>
      <c r="BY23" s="742"/>
      <c r="BZ23" s="742"/>
      <c r="CA23" s="742"/>
      <c r="CB23" s="742"/>
      <c r="CC23" s="742"/>
      <c r="CD23" s="742"/>
      <c r="CE23" s="742"/>
      <c r="CF23" s="742"/>
      <c r="CG23" s="742"/>
      <c r="CH23" s="742"/>
      <c r="CI23" s="742"/>
      <c r="CJ23" s="742"/>
      <c r="CK23" s="742"/>
      <c r="CL23" s="742"/>
      <c r="CM23" s="742"/>
      <c r="CN23" s="742"/>
      <c r="CO23" s="742"/>
      <c r="CP23" s="742"/>
      <c r="CQ23" s="742"/>
      <c r="CR23" s="742"/>
      <c r="CS23" s="742"/>
      <c r="CT23" s="742"/>
      <c r="CU23" s="742"/>
      <c r="CV23" s="742"/>
      <c r="CW23" s="742"/>
      <c r="CX23" s="742"/>
      <c r="CY23" s="742"/>
      <c r="CZ23" s="742"/>
      <c r="DA23" s="742"/>
      <c r="DB23" s="742"/>
      <c r="DC23" s="742"/>
      <c r="DD23" s="742"/>
      <c r="DE23" s="742"/>
      <c r="DF23" s="742"/>
      <c r="DG23" s="742"/>
      <c r="DH23" s="742"/>
      <c r="DI23" s="742"/>
      <c r="DJ23" s="742"/>
      <c r="DK23" s="742"/>
      <c r="DL23" s="742"/>
      <c r="DM23" s="742"/>
      <c r="DN23" s="742"/>
      <c r="DO23" s="742"/>
      <c r="DP23" s="742"/>
      <c r="DQ23" s="742"/>
      <c r="DR23" s="742"/>
      <c r="DS23" s="742"/>
      <c r="DT23" s="742"/>
      <c r="DU23" s="742"/>
      <c r="DV23" s="742"/>
      <c r="DW23" s="742"/>
      <c r="DX23" s="742"/>
      <c r="DY23" s="742"/>
      <c r="DZ23" s="742"/>
      <c r="EA23" s="742"/>
      <c r="EB23" s="742"/>
      <c r="EC23" s="742"/>
      <c r="ED23" s="742"/>
      <c r="EE23" s="742"/>
      <c r="EF23" s="742"/>
      <c r="EG23" s="742"/>
      <c r="EH23" s="742"/>
      <c r="EI23" s="742"/>
      <c r="EJ23" s="742"/>
      <c r="EK23" s="742"/>
      <c r="EL23" s="742"/>
      <c r="EM23" s="742"/>
      <c r="EN23" s="742"/>
      <c r="EO23" s="742"/>
      <c r="EP23" s="742"/>
      <c r="EQ23" s="742"/>
      <c r="ER23" s="742"/>
      <c r="ES23" s="742"/>
      <c r="ET23" s="742"/>
      <c r="EU23" s="742"/>
      <c r="EV23" s="742"/>
      <c r="EW23" s="742"/>
      <c r="EX23" s="742"/>
      <c r="EY23" s="742"/>
      <c r="EZ23" s="742"/>
      <c r="FA23" s="742"/>
      <c r="FB23" s="742"/>
      <c r="FC23" s="742"/>
      <c r="FD23" s="742"/>
      <c r="FE23" s="742"/>
      <c r="FF23" s="742"/>
      <c r="FG23" s="742"/>
      <c r="FH23" s="742"/>
      <c r="FI23" s="742"/>
      <c r="FJ23" s="742"/>
      <c r="FK23" s="742"/>
      <c r="FL23" s="742"/>
      <c r="FM23" s="742"/>
      <c r="FN23" s="742"/>
      <c r="FO23" s="742"/>
      <c r="FP23" s="742"/>
      <c r="FQ23" s="742"/>
      <c r="FR23" s="742"/>
      <c r="FS23" s="742"/>
      <c r="FT23" s="742"/>
      <c r="FU23" s="742"/>
      <c r="FV23" s="742"/>
      <c r="FW23" s="742"/>
      <c r="FX23" s="742"/>
      <c r="FY23" s="742"/>
      <c r="FZ23" s="742"/>
      <c r="GA23" s="742"/>
      <c r="GB23" s="742"/>
      <c r="GC23" s="742"/>
      <c r="GD23" s="742"/>
      <c r="GE23" s="742"/>
      <c r="GF23" s="742"/>
      <c r="GG23" s="742"/>
      <c r="GH23" s="742"/>
      <c r="GI23" s="742"/>
      <c r="GJ23" s="742"/>
      <c r="GK23" s="742"/>
      <c r="GL23" s="742"/>
      <c r="GM23" s="742"/>
      <c r="GN23" s="742"/>
      <c r="GO23" s="742"/>
      <c r="GP23" s="742"/>
      <c r="GQ23" s="742"/>
      <c r="GR23" s="742"/>
      <c r="GS23" s="742"/>
      <c r="GT23" s="742"/>
      <c r="GU23" s="742"/>
      <c r="GV23" s="742"/>
      <c r="GW23" s="742"/>
      <c r="GX23" s="742"/>
      <c r="GY23" s="742"/>
      <c r="GZ23" s="742"/>
      <c r="HA23" s="742"/>
      <c r="HB23" s="742"/>
      <c r="HC23" s="742"/>
      <c r="HD23" s="742"/>
      <c r="HE23" s="742"/>
      <c r="HF23" s="742"/>
      <c r="HG23" s="742"/>
      <c r="HH23" s="742"/>
      <c r="HI23" s="742"/>
      <c r="HJ23" s="742"/>
      <c r="HK23" s="742"/>
      <c r="HL23" s="742"/>
      <c r="HM23" s="742"/>
      <c r="HN23" s="742"/>
      <c r="HO23" s="742"/>
      <c r="HP23" s="742"/>
      <c r="HQ23" s="742"/>
      <c r="HR23" s="742"/>
      <c r="HS23" s="742"/>
      <c r="HT23" s="742"/>
      <c r="HU23" s="742"/>
      <c r="HV23" s="742"/>
      <c r="HW23" s="742"/>
      <c r="HX23" s="742"/>
      <c r="HY23" s="742"/>
      <c r="HZ23" s="742"/>
      <c r="IA23" s="742"/>
      <c r="IB23" s="742"/>
      <c r="IC23" s="742"/>
      <c r="ID23" s="742"/>
      <c r="IE23" s="742"/>
      <c r="IF23" s="742"/>
      <c r="IG23" s="742"/>
      <c r="IH23" s="742"/>
      <c r="II23" s="742"/>
      <c r="IJ23" s="742"/>
      <c r="IK23" s="742"/>
      <c r="IL23" s="742"/>
      <c r="IM23" s="742"/>
      <c r="IN23" s="742"/>
      <c r="IO23" s="742"/>
      <c r="IP23" s="742"/>
      <c r="IQ23" s="742"/>
      <c r="IR23" s="742"/>
      <c r="IS23" s="742"/>
      <c r="IT23" s="742"/>
      <c r="IU23" s="742"/>
      <c r="IV23" s="742"/>
      <c r="IW23" s="742"/>
    </row>
    <row r="24" customFormat="false" ht="12.75" hidden="false" customHeight="false" outlineLevel="0" collapsed="false">
      <c r="A24" s="755" t="str">
        <f aca="false">Assm!N22</f>
        <v>Total Other Construction</v>
      </c>
      <c r="B24" s="114"/>
      <c r="C24" s="176" t="n">
        <f aca="false">SUM(C17:C23)</f>
        <v>19206.3134</v>
      </c>
      <c r="D24" s="85"/>
      <c r="E24" s="176" t="n">
        <f aca="false">SUM(E17:E23)</f>
        <v>1195</v>
      </c>
      <c r="F24" s="176" t="n">
        <f aca="false">SUM(F17:F23)</f>
        <v>0</v>
      </c>
      <c r="G24" s="176" t="n">
        <f aca="false">SUM(G17:G23)</f>
        <v>0</v>
      </c>
      <c r="H24" s="176" t="n">
        <f aca="false">SUM(H17:H23)</f>
        <v>189.017</v>
      </c>
      <c r="I24" s="176" t="n">
        <f aca="false">SUM(I17:I23)</f>
        <v>36.935</v>
      </c>
      <c r="J24" s="176" t="n">
        <f aca="false">SUM(J17:J23)</f>
        <v>22.612</v>
      </c>
      <c r="K24" s="176" t="n">
        <f aca="false">SUM(K17:K23)</f>
        <v>0</v>
      </c>
      <c r="L24" s="176" t="n">
        <f aca="false">SUM(L17:L23)</f>
        <v>335.439</v>
      </c>
      <c r="M24" s="176" t="n">
        <f aca="false">SUM(M17:M23)</f>
        <v>380.504</v>
      </c>
      <c r="N24" s="176" t="n">
        <f aca="false">SUM(N17:N23)</f>
        <v>254.445</v>
      </c>
      <c r="O24" s="176" t="n">
        <f aca="false">SUM(O17:O23)</f>
        <v>118.54</v>
      </c>
      <c r="P24" s="176" t="n">
        <f aca="false">SUM(P17:P23)</f>
        <v>78.95</v>
      </c>
      <c r="Q24" s="176" t="n">
        <f aca="false">SUM(Q17:Q23)</f>
        <v>2.084</v>
      </c>
      <c r="R24" s="176" t="n">
        <f aca="false">SUM(R17:R23)</f>
        <v>127.078</v>
      </c>
      <c r="S24" s="176" t="n">
        <f aca="false">SUM(S17:S23)</f>
        <v>332.487</v>
      </c>
      <c r="T24" s="176" t="n">
        <f aca="false">SUM(T17:T23)</f>
        <v>259.235</v>
      </c>
      <c r="U24" s="176" t="n">
        <f aca="false">SUM(U17:U23)</f>
        <v>791.112</v>
      </c>
      <c r="V24" s="176" t="n">
        <f aca="false">SUM(V17:V23)</f>
        <v>497.273</v>
      </c>
      <c r="W24" s="176" t="n">
        <f aca="false">SUM(W17:W23)</f>
        <v>543.089</v>
      </c>
      <c r="X24" s="176" t="n">
        <f aca="false">SUM(X17:X23)</f>
        <v>860.546</v>
      </c>
      <c r="Y24" s="176" t="n">
        <f aca="false">SUM(Y17:Y23)</f>
        <v>1013.99749230769</v>
      </c>
      <c r="Z24" s="176" t="n">
        <f aca="false">SUM(Z17:Z23)</f>
        <v>1013.99749230769</v>
      </c>
      <c r="AA24" s="176" t="n">
        <f aca="false">SUM(AA17:AA23)</f>
        <v>1013.99749230769</v>
      </c>
      <c r="AB24" s="176" t="n">
        <f aca="false">SUM(AB17:AB23)</f>
        <v>1013.99749230769</v>
      </c>
      <c r="AC24" s="176" t="n">
        <f aca="false">SUM(AC17:AC23)</f>
        <v>1013.99749230769</v>
      </c>
      <c r="AD24" s="176" t="n">
        <f aca="false">SUM(AD17:AD23)</f>
        <v>1013.99749230769</v>
      </c>
      <c r="AE24" s="176" t="n">
        <f aca="false">SUM(AE17:AE23)</f>
        <v>1013.99749230769</v>
      </c>
      <c r="AF24" s="176" t="n">
        <f aca="false">SUM(AF17:AF23)</f>
        <v>1013.99749230769</v>
      </c>
      <c r="AG24" s="176" t="n">
        <f aca="false">SUM(AG17:AG23)</f>
        <v>1013.99749230769</v>
      </c>
      <c r="AH24" s="176" t="n">
        <f aca="false">SUM(AH17:AH23)</f>
        <v>1013.99749230769</v>
      </c>
      <c r="AI24" s="176" t="n">
        <f aca="false">SUM(AI17:AI23)</f>
        <v>1013.99749230769</v>
      </c>
      <c r="AJ24" s="176" t="n">
        <f aca="false">SUM(AJ17:AJ23)</f>
        <v>1013.99749230769</v>
      </c>
      <c r="AK24" s="176" t="n">
        <f aca="false">SUM(AK17:AK23)</f>
        <v>1013.99749230769</v>
      </c>
      <c r="AL24" s="176" t="n">
        <f aca="false">SUM(AL17:AL23)</f>
        <v>0</v>
      </c>
      <c r="AM24" s="176" t="n">
        <f aca="false">SUM(AM17:AM23)</f>
        <v>0</v>
      </c>
      <c r="AN24" s="176" t="n">
        <f aca="false">SUM(AN17:AN23)</f>
        <v>0</v>
      </c>
      <c r="AO24" s="85"/>
      <c r="AP24" s="586" t="n">
        <f aca="false">SUM(E24:AO24)</f>
        <v>19206.3134</v>
      </c>
      <c r="AQ24" s="754" t="n">
        <f aca="false">AQ23+1</f>
        <v>18</v>
      </c>
      <c r="AR24" s="742"/>
      <c r="AS24" s="742"/>
      <c r="AT24" s="742"/>
      <c r="AU24" s="742"/>
      <c r="AV24" s="742"/>
      <c r="AW24" s="742"/>
      <c r="AX24" s="742"/>
      <c r="AY24" s="742"/>
      <c r="AZ24" s="742"/>
      <c r="BA24" s="742"/>
      <c r="BB24" s="742"/>
      <c r="BC24" s="742"/>
      <c r="BD24" s="742"/>
      <c r="BE24" s="742"/>
      <c r="BF24" s="742"/>
      <c r="BG24" s="742"/>
      <c r="BH24" s="742"/>
      <c r="BI24" s="742"/>
      <c r="BJ24" s="742"/>
      <c r="BK24" s="742"/>
      <c r="BL24" s="742"/>
      <c r="BM24" s="742"/>
      <c r="BN24" s="742"/>
      <c r="BO24" s="742"/>
      <c r="BP24" s="742"/>
      <c r="BQ24" s="742"/>
      <c r="BR24" s="742"/>
      <c r="BS24" s="742"/>
      <c r="BT24" s="742"/>
      <c r="BU24" s="742"/>
      <c r="BV24" s="742"/>
      <c r="BW24" s="742"/>
      <c r="BX24" s="742"/>
      <c r="BY24" s="742"/>
      <c r="BZ24" s="742"/>
      <c r="CA24" s="742"/>
      <c r="CB24" s="742"/>
      <c r="CC24" s="742"/>
      <c r="CD24" s="742"/>
      <c r="CE24" s="742"/>
      <c r="CF24" s="742"/>
      <c r="CG24" s="742"/>
      <c r="CH24" s="742"/>
      <c r="CI24" s="742"/>
      <c r="CJ24" s="742"/>
      <c r="CK24" s="742"/>
      <c r="CL24" s="742"/>
      <c r="CM24" s="742"/>
      <c r="CN24" s="742"/>
      <c r="CO24" s="742"/>
      <c r="CP24" s="742"/>
      <c r="CQ24" s="742"/>
      <c r="CR24" s="742"/>
      <c r="CS24" s="742"/>
      <c r="CT24" s="742"/>
      <c r="CU24" s="742"/>
      <c r="CV24" s="742"/>
      <c r="CW24" s="742"/>
      <c r="CX24" s="742"/>
      <c r="CY24" s="742"/>
      <c r="CZ24" s="742"/>
      <c r="DA24" s="742"/>
      <c r="DB24" s="742"/>
      <c r="DC24" s="742"/>
      <c r="DD24" s="742"/>
      <c r="DE24" s="742"/>
      <c r="DF24" s="742"/>
      <c r="DG24" s="742"/>
      <c r="DH24" s="742"/>
      <c r="DI24" s="742"/>
      <c r="DJ24" s="742"/>
      <c r="DK24" s="742"/>
      <c r="DL24" s="742"/>
      <c r="DM24" s="742"/>
      <c r="DN24" s="742"/>
      <c r="DO24" s="742"/>
      <c r="DP24" s="742"/>
      <c r="DQ24" s="742"/>
      <c r="DR24" s="742"/>
      <c r="DS24" s="742"/>
      <c r="DT24" s="742"/>
      <c r="DU24" s="742"/>
      <c r="DV24" s="742"/>
      <c r="DW24" s="742"/>
      <c r="DX24" s="742"/>
      <c r="DY24" s="742"/>
      <c r="DZ24" s="742"/>
      <c r="EA24" s="742"/>
      <c r="EB24" s="742"/>
      <c r="EC24" s="742"/>
      <c r="ED24" s="742"/>
      <c r="EE24" s="742"/>
      <c r="EF24" s="742"/>
      <c r="EG24" s="742"/>
      <c r="EH24" s="742"/>
      <c r="EI24" s="742"/>
      <c r="EJ24" s="742"/>
      <c r="EK24" s="742"/>
      <c r="EL24" s="742"/>
      <c r="EM24" s="742"/>
      <c r="EN24" s="742"/>
      <c r="EO24" s="742"/>
      <c r="EP24" s="742"/>
      <c r="EQ24" s="742"/>
      <c r="ER24" s="742"/>
      <c r="ES24" s="742"/>
      <c r="ET24" s="742"/>
      <c r="EU24" s="742"/>
      <c r="EV24" s="742"/>
      <c r="EW24" s="742"/>
      <c r="EX24" s="742"/>
      <c r="EY24" s="742"/>
      <c r="EZ24" s="742"/>
      <c r="FA24" s="742"/>
      <c r="FB24" s="742"/>
      <c r="FC24" s="742"/>
      <c r="FD24" s="742"/>
      <c r="FE24" s="742"/>
      <c r="FF24" s="742"/>
      <c r="FG24" s="742"/>
      <c r="FH24" s="742"/>
      <c r="FI24" s="742"/>
      <c r="FJ24" s="742"/>
      <c r="FK24" s="742"/>
      <c r="FL24" s="742"/>
      <c r="FM24" s="742"/>
      <c r="FN24" s="742"/>
      <c r="FO24" s="742"/>
      <c r="FP24" s="742"/>
      <c r="FQ24" s="742"/>
      <c r="FR24" s="742"/>
      <c r="FS24" s="742"/>
      <c r="FT24" s="742"/>
      <c r="FU24" s="742"/>
      <c r="FV24" s="742"/>
      <c r="FW24" s="742"/>
      <c r="FX24" s="742"/>
      <c r="FY24" s="742"/>
      <c r="FZ24" s="742"/>
      <c r="GA24" s="742"/>
      <c r="GB24" s="742"/>
      <c r="GC24" s="742"/>
      <c r="GD24" s="742"/>
      <c r="GE24" s="742"/>
      <c r="GF24" s="742"/>
      <c r="GG24" s="742"/>
      <c r="GH24" s="742"/>
      <c r="GI24" s="742"/>
      <c r="GJ24" s="742"/>
      <c r="GK24" s="742"/>
      <c r="GL24" s="742"/>
      <c r="GM24" s="742"/>
      <c r="GN24" s="742"/>
      <c r="GO24" s="742"/>
      <c r="GP24" s="742"/>
      <c r="GQ24" s="742"/>
      <c r="GR24" s="742"/>
      <c r="GS24" s="742"/>
      <c r="GT24" s="742"/>
      <c r="GU24" s="742"/>
      <c r="GV24" s="742"/>
      <c r="GW24" s="742"/>
      <c r="GX24" s="742"/>
      <c r="GY24" s="742"/>
      <c r="GZ24" s="742"/>
      <c r="HA24" s="742"/>
      <c r="HB24" s="742"/>
      <c r="HC24" s="742"/>
      <c r="HD24" s="742"/>
      <c r="HE24" s="742"/>
      <c r="HF24" s="742"/>
      <c r="HG24" s="742"/>
      <c r="HH24" s="742"/>
      <c r="HI24" s="742"/>
      <c r="HJ24" s="742"/>
      <c r="HK24" s="742"/>
      <c r="HL24" s="742"/>
      <c r="HM24" s="742"/>
      <c r="HN24" s="742"/>
      <c r="HO24" s="742"/>
      <c r="HP24" s="742"/>
      <c r="HQ24" s="742"/>
      <c r="HR24" s="742"/>
      <c r="HS24" s="742"/>
      <c r="HT24" s="742"/>
      <c r="HU24" s="742"/>
      <c r="HV24" s="742"/>
      <c r="HW24" s="742"/>
      <c r="HX24" s="742"/>
      <c r="HY24" s="742"/>
      <c r="HZ24" s="742"/>
      <c r="IA24" s="742"/>
      <c r="IB24" s="742"/>
      <c r="IC24" s="742"/>
      <c r="ID24" s="742"/>
      <c r="IE24" s="742"/>
      <c r="IF24" s="742"/>
      <c r="IG24" s="742"/>
      <c r="IH24" s="742"/>
      <c r="II24" s="742"/>
      <c r="IJ24" s="742"/>
      <c r="IK24" s="742"/>
      <c r="IL24" s="742"/>
      <c r="IM24" s="742"/>
      <c r="IN24" s="742"/>
      <c r="IO24" s="742"/>
      <c r="IP24" s="742"/>
      <c r="IQ24" s="742"/>
      <c r="IR24" s="742"/>
      <c r="IS24" s="742"/>
      <c r="IT24" s="742"/>
      <c r="IU24" s="742"/>
      <c r="IV24" s="742"/>
      <c r="IW24" s="742"/>
    </row>
    <row r="25" customFormat="false" ht="12.75" hidden="false" customHeight="false" outlineLevel="0" collapsed="false">
      <c r="A25" s="755"/>
      <c r="B25" s="114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753"/>
      <c r="AQ25" s="754" t="n">
        <f aca="false">AQ24+1</f>
        <v>19</v>
      </c>
      <c r="AR25" s="742"/>
      <c r="AS25" s="742"/>
      <c r="AT25" s="742"/>
      <c r="AU25" s="742"/>
      <c r="AV25" s="742"/>
      <c r="AW25" s="742"/>
      <c r="AX25" s="742"/>
      <c r="AY25" s="742"/>
      <c r="AZ25" s="742"/>
      <c r="BA25" s="742"/>
      <c r="BB25" s="742"/>
      <c r="BC25" s="742"/>
      <c r="BD25" s="742"/>
      <c r="BE25" s="742"/>
      <c r="BF25" s="742"/>
      <c r="BG25" s="742"/>
      <c r="BH25" s="742"/>
      <c r="BI25" s="742"/>
      <c r="BJ25" s="742"/>
      <c r="BK25" s="742"/>
      <c r="BL25" s="742"/>
      <c r="BM25" s="742"/>
      <c r="BN25" s="742"/>
      <c r="BO25" s="742"/>
      <c r="BP25" s="742"/>
      <c r="BQ25" s="742"/>
      <c r="BR25" s="742"/>
      <c r="BS25" s="742"/>
      <c r="BT25" s="742"/>
      <c r="BU25" s="742"/>
      <c r="BV25" s="742"/>
      <c r="BW25" s="742"/>
      <c r="BX25" s="742"/>
      <c r="BY25" s="742"/>
      <c r="BZ25" s="742"/>
      <c r="CA25" s="742"/>
      <c r="CB25" s="742"/>
      <c r="CC25" s="742"/>
      <c r="CD25" s="742"/>
      <c r="CE25" s="742"/>
      <c r="CF25" s="742"/>
      <c r="CG25" s="742"/>
      <c r="CH25" s="742"/>
      <c r="CI25" s="742"/>
      <c r="CJ25" s="742"/>
      <c r="CK25" s="742"/>
      <c r="CL25" s="742"/>
      <c r="CM25" s="742"/>
      <c r="CN25" s="742"/>
      <c r="CO25" s="742"/>
      <c r="CP25" s="742"/>
      <c r="CQ25" s="742"/>
      <c r="CR25" s="742"/>
      <c r="CS25" s="742"/>
      <c r="CT25" s="742"/>
      <c r="CU25" s="742"/>
      <c r="CV25" s="742"/>
      <c r="CW25" s="742"/>
      <c r="CX25" s="742"/>
      <c r="CY25" s="742"/>
      <c r="CZ25" s="742"/>
      <c r="DA25" s="742"/>
      <c r="DB25" s="742"/>
      <c r="DC25" s="742"/>
      <c r="DD25" s="742"/>
      <c r="DE25" s="742"/>
      <c r="DF25" s="742"/>
      <c r="DG25" s="742"/>
      <c r="DH25" s="742"/>
      <c r="DI25" s="742"/>
      <c r="DJ25" s="742"/>
      <c r="DK25" s="742"/>
      <c r="DL25" s="742"/>
      <c r="DM25" s="742"/>
      <c r="DN25" s="742"/>
      <c r="DO25" s="742"/>
      <c r="DP25" s="742"/>
      <c r="DQ25" s="742"/>
      <c r="DR25" s="742"/>
      <c r="DS25" s="742"/>
      <c r="DT25" s="742"/>
      <c r="DU25" s="742"/>
      <c r="DV25" s="742"/>
      <c r="DW25" s="742"/>
      <c r="DX25" s="742"/>
      <c r="DY25" s="742"/>
      <c r="DZ25" s="742"/>
      <c r="EA25" s="742"/>
      <c r="EB25" s="742"/>
      <c r="EC25" s="742"/>
      <c r="ED25" s="742"/>
      <c r="EE25" s="742"/>
      <c r="EF25" s="742"/>
      <c r="EG25" s="742"/>
      <c r="EH25" s="742"/>
      <c r="EI25" s="742"/>
      <c r="EJ25" s="742"/>
      <c r="EK25" s="742"/>
      <c r="EL25" s="742"/>
      <c r="EM25" s="742"/>
      <c r="EN25" s="742"/>
      <c r="EO25" s="742"/>
      <c r="EP25" s="742"/>
      <c r="EQ25" s="742"/>
      <c r="ER25" s="742"/>
      <c r="ES25" s="742"/>
      <c r="ET25" s="742"/>
      <c r="EU25" s="742"/>
      <c r="EV25" s="742"/>
      <c r="EW25" s="742"/>
      <c r="EX25" s="742"/>
      <c r="EY25" s="742"/>
      <c r="EZ25" s="742"/>
      <c r="FA25" s="742"/>
      <c r="FB25" s="742"/>
      <c r="FC25" s="742"/>
      <c r="FD25" s="742"/>
      <c r="FE25" s="742"/>
      <c r="FF25" s="742"/>
      <c r="FG25" s="742"/>
      <c r="FH25" s="742"/>
      <c r="FI25" s="742"/>
      <c r="FJ25" s="742"/>
      <c r="FK25" s="742"/>
      <c r="FL25" s="742"/>
      <c r="FM25" s="742"/>
      <c r="FN25" s="742"/>
      <c r="FO25" s="742"/>
      <c r="FP25" s="742"/>
      <c r="FQ25" s="742"/>
      <c r="FR25" s="742"/>
      <c r="FS25" s="742"/>
      <c r="FT25" s="742"/>
      <c r="FU25" s="742"/>
      <c r="FV25" s="742"/>
      <c r="FW25" s="742"/>
      <c r="FX25" s="742"/>
      <c r="FY25" s="742"/>
      <c r="FZ25" s="742"/>
      <c r="GA25" s="742"/>
      <c r="GB25" s="742"/>
      <c r="GC25" s="742"/>
      <c r="GD25" s="742"/>
      <c r="GE25" s="742"/>
      <c r="GF25" s="742"/>
      <c r="GG25" s="742"/>
      <c r="GH25" s="742"/>
      <c r="GI25" s="742"/>
      <c r="GJ25" s="742"/>
      <c r="GK25" s="742"/>
      <c r="GL25" s="742"/>
      <c r="GM25" s="742"/>
      <c r="GN25" s="742"/>
      <c r="GO25" s="742"/>
      <c r="GP25" s="742"/>
      <c r="GQ25" s="742"/>
      <c r="GR25" s="742"/>
      <c r="GS25" s="742"/>
      <c r="GT25" s="742"/>
      <c r="GU25" s="742"/>
      <c r="GV25" s="742"/>
      <c r="GW25" s="742"/>
      <c r="GX25" s="742"/>
      <c r="GY25" s="742"/>
      <c r="GZ25" s="742"/>
      <c r="HA25" s="742"/>
      <c r="HB25" s="742"/>
      <c r="HC25" s="742"/>
      <c r="HD25" s="742"/>
      <c r="HE25" s="742"/>
      <c r="HF25" s="742"/>
      <c r="HG25" s="742"/>
      <c r="HH25" s="742"/>
      <c r="HI25" s="742"/>
      <c r="HJ25" s="742"/>
      <c r="HK25" s="742"/>
      <c r="HL25" s="742"/>
      <c r="HM25" s="742"/>
      <c r="HN25" s="742"/>
      <c r="HO25" s="742"/>
      <c r="HP25" s="742"/>
      <c r="HQ25" s="742"/>
      <c r="HR25" s="742"/>
      <c r="HS25" s="742"/>
      <c r="HT25" s="742"/>
      <c r="HU25" s="742"/>
      <c r="HV25" s="742"/>
      <c r="HW25" s="742"/>
      <c r="HX25" s="742"/>
      <c r="HY25" s="742"/>
      <c r="HZ25" s="742"/>
      <c r="IA25" s="742"/>
      <c r="IB25" s="742"/>
      <c r="IC25" s="742"/>
      <c r="ID25" s="742"/>
      <c r="IE25" s="742"/>
      <c r="IF25" s="742"/>
      <c r="IG25" s="742"/>
      <c r="IH25" s="742"/>
      <c r="II25" s="742"/>
      <c r="IJ25" s="742"/>
      <c r="IK25" s="742"/>
      <c r="IL25" s="742"/>
      <c r="IM25" s="742"/>
      <c r="IN25" s="742"/>
      <c r="IO25" s="742"/>
      <c r="IP25" s="742"/>
      <c r="IQ25" s="742"/>
      <c r="IR25" s="742"/>
      <c r="IS25" s="742"/>
      <c r="IT25" s="742"/>
      <c r="IU25" s="742"/>
      <c r="IV25" s="742"/>
      <c r="IW25" s="742"/>
    </row>
    <row r="26" customFormat="false" ht="12.75" hidden="false" customHeight="false" outlineLevel="0" collapsed="false">
      <c r="A26" s="755" t="str">
        <f aca="false">Assm!N27</f>
        <v>Upfront Fee</v>
      </c>
      <c r="B26" s="114"/>
      <c r="C26" s="176" t="n">
        <f aca="false">Assm!R27</f>
        <v>1405.65683263918</v>
      </c>
      <c r="D26" s="85"/>
      <c r="E26" s="176" t="n">
        <f aca="false">IF(E$7=Fin_Close,$C26,0)</f>
        <v>0</v>
      </c>
      <c r="F26" s="176" t="n">
        <f aca="false">IF(F$7=Fin_Close,$C26,0)</f>
        <v>0</v>
      </c>
      <c r="G26" s="176" t="n">
        <f aca="false">IF(G$7=Fin_Close,$C26,0)</f>
        <v>0</v>
      </c>
      <c r="H26" s="176" t="n">
        <f aca="false">IF(H$7=Fin_Close,$C26,0)</f>
        <v>0</v>
      </c>
      <c r="I26" s="176" t="n">
        <f aca="false">IF(I$7=Fin_Close,$C26,0)</f>
        <v>0</v>
      </c>
      <c r="J26" s="176" t="n">
        <f aca="false">IF(J$7=Fin_Close,$C26,0)</f>
        <v>0</v>
      </c>
      <c r="K26" s="176" t="n">
        <f aca="false">IF(K$7=Fin_Close,$C26,0)</f>
        <v>0</v>
      </c>
      <c r="L26" s="176" t="n">
        <f aca="false">IF(L$7=Fin_Close,$C26,0)</f>
        <v>0</v>
      </c>
      <c r="M26" s="176" t="n">
        <f aca="false">IF(M$7=Fin_Close,$C26,0)</f>
        <v>0</v>
      </c>
      <c r="N26" s="176" t="n">
        <f aca="false">IF(N$7=Fin_Close,$C26,0)</f>
        <v>0</v>
      </c>
      <c r="O26" s="176" t="n">
        <f aca="false">IF(O$7=Fin_Close,$C26,0)</f>
        <v>0</v>
      </c>
      <c r="P26" s="176" t="n">
        <f aca="false">IF(P$7=Fin_Close,$C26,0)</f>
        <v>0</v>
      </c>
      <c r="Q26" s="176" t="n">
        <f aca="false">IF(Q$7=Fin_Close,$C26,0)</f>
        <v>0</v>
      </c>
      <c r="R26" s="176" t="n">
        <f aca="false">IF(R$7=Fin_Close,$C26,0)</f>
        <v>0</v>
      </c>
      <c r="S26" s="176" t="n">
        <f aca="false">IF(S$7=Fin_Close,$C26,0)</f>
        <v>0</v>
      </c>
      <c r="T26" s="176" t="n">
        <f aca="false">IF(T$7=Fin_Close,$C26,0)</f>
        <v>0</v>
      </c>
      <c r="U26" s="176" t="n">
        <f aca="false">IF(U$7=Fin_Close,$C26,0)</f>
        <v>0</v>
      </c>
      <c r="V26" s="176" t="n">
        <f aca="false">IF(V$7=Fin_Close,$C26,0)</f>
        <v>0</v>
      </c>
      <c r="W26" s="176" t="n">
        <f aca="false">IF(W$7=Fin_Close,$C26,0)</f>
        <v>0</v>
      </c>
      <c r="X26" s="176" t="n">
        <f aca="false">IF(X$7=Fin_Close,$C26,0)</f>
        <v>0</v>
      </c>
      <c r="Y26" s="176" t="n">
        <f aca="false">IF(Y$7=Fin_Close,$C26,0)</f>
        <v>0</v>
      </c>
      <c r="Z26" s="176" t="n">
        <f aca="false">IF(Z$7=Fin_Close,$C26,0)</f>
        <v>0</v>
      </c>
      <c r="AA26" s="176" t="n">
        <f aca="false">IF(AA$7=Fin_Close,$C26,0)</f>
        <v>0</v>
      </c>
      <c r="AB26" s="176" t="n">
        <f aca="false">IF(AB$7=Fin_Close,$C26,0)</f>
        <v>0</v>
      </c>
      <c r="AC26" s="176" t="n">
        <f aca="false">IF(AC$7=Fin_Close,$C26,0)</f>
        <v>0</v>
      </c>
      <c r="AD26" s="176" t="n">
        <f aca="false">IF(AD$7=Fin_Close,$C26,0)</f>
        <v>0</v>
      </c>
      <c r="AE26" s="176" t="n">
        <f aca="false">IF(AE$7=Fin_Close,$C26,0)</f>
        <v>0</v>
      </c>
      <c r="AF26" s="176" t="n">
        <f aca="false">IF(AF$7=Fin_Close,$C26,0)</f>
        <v>0</v>
      </c>
      <c r="AG26" s="176" t="n">
        <f aca="false">IF(AG$7=Fin_Close,$C26,0)</f>
        <v>0</v>
      </c>
      <c r="AH26" s="176" t="n">
        <f aca="false">IF(AH$7=Fin_Close,$C26,0)</f>
        <v>1405.65683263918</v>
      </c>
      <c r="AI26" s="176" t="n">
        <f aca="false">IF(AI$7=Fin_Close,$C26,0)</f>
        <v>0</v>
      </c>
      <c r="AJ26" s="176" t="n">
        <f aca="false">IF(AJ$7=Fin_Close,$C26,0)</f>
        <v>0</v>
      </c>
      <c r="AK26" s="176" t="n">
        <f aca="false">IF(AK$7=Fin_Close,$C26,0)</f>
        <v>0</v>
      </c>
      <c r="AL26" s="176" t="n">
        <f aca="false">IF(AL$7=Fin_Close,$C26,0)</f>
        <v>0</v>
      </c>
      <c r="AM26" s="176" t="n">
        <f aca="false">IF(AM$7=Fin_Close,$C26,0)</f>
        <v>0</v>
      </c>
      <c r="AN26" s="176" t="n">
        <f aca="false">IF(AN$7=Fin_Close,$C26,0)</f>
        <v>0</v>
      </c>
      <c r="AO26" s="85"/>
      <c r="AP26" s="586" t="n">
        <f aca="false">SUM(E26:AO26)</f>
        <v>1405.65683263918</v>
      </c>
      <c r="AQ26" s="754" t="n">
        <f aca="false">AQ25+1</f>
        <v>20</v>
      </c>
      <c r="AR26" s="742"/>
      <c r="AS26" s="742"/>
      <c r="AT26" s="742"/>
      <c r="AU26" s="742"/>
      <c r="AV26" s="742"/>
      <c r="AW26" s="742"/>
      <c r="AX26" s="742"/>
      <c r="AY26" s="742"/>
      <c r="AZ26" s="742"/>
      <c r="BA26" s="742"/>
      <c r="BB26" s="742"/>
      <c r="BC26" s="742"/>
      <c r="BD26" s="742"/>
      <c r="BE26" s="742"/>
      <c r="BF26" s="742"/>
      <c r="BG26" s="742"/>
      <c r="BH26" s="742"/>
      <c r="BI26" s="742"/>
      <c r="BJ26" s="742"/>
      <c r="BK26" s="742"/>
      <c r="BL26" s="742"/>
      <c r="BM26" s="742"/>
      <c r="BN26" s="742"/>
      <c r="BO26" s="742"/>
      <c r="BP26" s="742"/>
      <c r="BQ26" s="742"/>
      <c r="BR26" s="742"/>
      <c r="BS26" s="742"/>
      <c r="BT26" s="742"/>
      <c r="BU26" s="742"/>
      <c r="BV26" s="742"/>
      <c r="BW26" s="742"/>
      <c r="BX26" s="742"/>
      <c r="BY26" s="742"/>
      <c r="BZ26" s="742"/>
      <c r="CA26" s="742"/>
      <c r="CB26" s="742"/>
      <c r="CC26" s="742"/>
      <c r="CD26" s="742"/>
      <c r="CE26" s="742"/>
      <c r="CF26" s="742"/>
      <c r="CG26" s="742"/>
      <c r="CH26" s="742"/>
      <c r="CI26" s="742"/>
      <c r="CJ26" s="742"/>
      <c r="CK26" s="742"/>
      <c r="CL26" s="742"/>
      <c r="CM26" s="742"/>
      <c r="CN26" s="742"/>
      <c r="CO26" s="742"/>
      <c r="CP26" s="742"/>
      <c r="CQ26" s="742"/>
      <c r="CR26" s="742"/>
      <c r="CS26" s="742"/>
      <c r="CT26" s="742"/>
      <c r="CU26" s="742"/>
      <c r="CV26" s="742"/>
      <c r="CW26" s="742"/>
      <c r="CX26" s="742"/>
      <c r="CY26" s="742"/>
      <c r="CZ26" s="742"/>
      <c r="DA26" s="742"/>
      <c r="DB26" s="742"/>
      <c r="DC26" s="742"/>
      <c r="DD26" s="742"/>
      <c r="DE26" s="742"/>
      <c r="DF26" s="742"/>
      <c r="DG26" s="742"/>
      <c r="DH26" s="742"/>
      <c r="DI26" s="742"/>
      <c r="DJ26" s="742"/>
      <c r="DK26" s="742"/>
      <c r="DL26" s="742"/>
      <c r="DM26" s="742"/>
      <c r="DN26" s="742"/>
      <c r="DO26" s="742"/>
      <c r="DP26" s="742"/>
      <c r="DQ26" s="742"/>
      <c r="DR26" s="742"/>
      <c r="DS26" s="742"/>
      <c r="DT26" s="742"/>
      <c r="DU26" s="742"/>
      <c r="DV26" s="742"/>
      <c r="DW26" s="742"/>
      <c r="DX26" s="742"/>
      <c r="DY26" s="742"/>
      <c r="DZ26" s="742"/>
      <c r="EA26" s="742"/>
      <c r="EB26" s="742"/>
      <c r="EC26" s="742"/>
      <c r="ED26" s="742"/>
      <c r="EE26" s="742"/>
      <c r="EF26" s="742"/>
      <c r="EG26" s="742"/>
      <c r="EH26" s="742"/>
      <c r="EI26" s="742"/>
      <c r="EJ26" s="742"/>
      <c r="EK26" s="742"/>
      <c r="EL26" s="742"/>
      <c r="EM26" s="742"/>
      <c r="EN26" s="742"/>
      <c r="EO26" s="742"/>
      <c r="EP26" s="742"/>
      <c r="EQ26" s="742"/>
      <c r="ER26" s="742"/>
      <c r="ES26" s="742"/>
      <c r="ET26" s="742"/>
      <c r="EU26" s="742"/>
      <c r="EV26" s="742"/>
      <c r="EW26" s="742"/>
      <c r="EX26" s="742"/>
      <c r="EY26" s="742"/>
      <c r="EZ26" s="742"/>
      <c r="FA26" s="742"/>
      <c r="FB26" s="742"/>
      <c r="FC26" s="742"/>
      <c r="FD26" s="742"/>
      <c r="FE26" s="742"/>
      <c r="FF26" s="742"/>
      <c r="FG26" s="742"/>
      <c r="FH26" s="742"/>
      <c r="FI26" s="742"/>
      <c r="FJ26" s="742"/>
      <c r="FK26" s="742"/>
      <c r="FL26" s="742"/>
      <c r="FM26" s="742"/>
      <c r="FN26" s="742"/>
      <c r="FO26" s="742"/>
      <c r="FP26" s="742"/>
      <c r="FQ26" s="742"/>
      <c r="FR26" s="742"/>
      <c r="FS26" s="742"/>
      <c r="FT26" s="742"/>
      <c r="FU26" s="742"/>
      <c r="FV26" s="742"/>
      <c r="FW26" s="742"/>
      <c r="FX26" s="742"/>
      <c r="FY26" s="742"/>
      <c r="FZ26" s="742"/>
      <c r="GA26" s="742"/>
      <c r="GB26" s="742"/>
      <c r="GC26" s="742"/>
      <c r="GD26" s="742"/>
      <c r="GE26" s="742"/>
      <c r="GF26" s="742"/>
      <c r="GG26" s="742"/>
      <c r="GH26" s="742"/>
      <c r="GI26" s="742"/>
      <c r="GJ26" s="742"/>
      <c r="GK26" s="742"/>
      <c r="GL26" s="742"/>
      <c r="GM26" s="742"/>
      <c r="GN26" s="742"/>
      <c r="GO26" s="742"/>
      <c r="GP26" s="742"/>
      <c r="GQ26" s="742"/>
      <c r="GR26" s="742"/>
      <c r="GS26" s="742"/>
      <c r="GT26" s="742"/>
      <c r="GU26" s="742"/>
      <c r="GV26" s="742"/>
      <c r="GW26" s="742"/>
      <c r="GX26" s="742"/>
      <c r="GY26" s="742"/>
      <c r="GZ26" s="742"/>
      <c r="HA26" s="742"/>
      <c r="HB26" s="742"/>
      <c r="HC26" s="742"/>
      <c r="HD26" s="742"/>
      <c r="HE26" s="742"/>
      <c r="HF26" s="742"/>
      <c r="HG26" s="742"/>
      <c r="HH26" s="742"/>
      <c r="HI26" s="742"/>
      <c r="HJ26" s="742"/>
      <c r="HK26" s="742"/>
      <c r="HL26" s="742"/>
      <c r="HM26" s="742"/>
      <c r="HN26" s="742"/>
      <c r="HO26" s="742"/>
      <c r="HP26" s="742"/>
      <c r="HQ26" s="742"/>
      <c r="HR26" s="742"/>
      <c r="HS26" s="742"/>
      <c r="HT26" s="742"/>
      <c r="HU26" s="742"/>
      <c r="HV26" s="742"/>
      <c r="HW26" s="742"/>
      <c r="HX26" s="742"/>
      <c r="HY26" s="742"/>
      <c r="HZ26" s="742"/>
      <c r="IA26" s="742"/>
      <c r="IB26" s="742"/>
      <c r="IC26" s="742"/>
      <c r="ID26" s="742"/>
      <c r="IE26" s="742"/>
      <c r="IF26" s="742"/>
      <c r="IG26" s="742"/>
      <c r="IH26" s="742"/>
      <c r="II26" s="742"/>
      <c r="IJ26" s="742"/>
      <c r="IK26" s="742"/>
      <c r="IL26" s="742"/>
      <c r="IM26" s="742"/>
      <c r="IN26" s="742"/>
      <c r="IO26" s="742"/>
      <c r="IP26" s="742"/>
      <c r="IQ26" s="742"/>
      <c r="IR26" s="742"/>
      <c r="IS26" s="742"/>
      <c r="IT26" s="742"/>
      <c r="IU26" s="742"/>
      <c r="IV26" s="742"/>
      <c r="IW26" s="742"/>
    </row>
    <row r="27" customFormat="false" ht="12.75" hidden="false" customHeight="false" outlineLevel="0" collapsed="false">
      <c r="A27" s="755" t="str">
        <f aca="false">Assm!N28</f>
        <v>Financing Costs (Borrower)</v>
      </c>
      <c r="B27" s="114"/>
      <c r="C27" s="176" t="n">
        <f aca="false">Assm!R28</f>
        <v>3055.55</v>
      </c>
      <c r="D27" s="85"/>
      <c r="E27" s="159" t="n">
        <v>0</v>
      </c>
      <c r="F27" s="159" t="n">
        <v>0</v>
      </c>
      <c r="G27" s="159" t="n">
        <v>0</v>
      </c>
      <c r="H27" s="159" t="n">
        <v>0</v>
      </c>
      <c r="I27" s="159" t="n">
        <v>0</v>
      </c>
      <c r="J27" s="159" t="n">
        <v>0</v>
      </c>
      <c r="K27" s="159" t="n">
        <v>0</v>
      </c>
      <c r="L27" s="159" t="n">
        <v>0</v>
      </c>
      <c r="M27" s="159" t="n">
        <v>0</v>
      </c>
      <c r="N27" s="159" t="n">
        <v>0</v>
      </c>
      <c r="O27" s="159" t="n">
        <v>0</v>
      </c>
      <c r="P27" s="159" t="n">
        <v>0</v>
      </c>
      <c r="Q27" s="159" t="n">
        <v>0</v>
      </c>
      <c r="R27" s="159" t="n">
        <v>0</v>
      </c>
      <c r="S27" s="159" t="n">
        <v>0</v>
      </c>
      <c r="T27" s="159" t="n">
        <v>0</v>
      </c>
      <c r="U27" s="159" t="n">
        <v>0</v>
      </c>
      <c r="V27" s="159" t="n">
        <v>0</v>
      </c>
      <c r="W27" s="159" t="n">
        <v>0</v>
      </c>
      <c r="X27" s="159" t="n">
        <v>0</v>
      </c>
      <c r="Y27" s="159" t="n">
        <v>0</v>
      </c>
      <c r="Z27" s="159" t="n">
        <v>0</v>
      </c>
      <c r="AA27" s="159" t="n">
        <v>0</v>
      </c>
      <c r="AB27" s="159" t="n">
        <v>0</v>
      </c>
      <c r="AC27" s="159" t="n">
        <v>0</v>
      </c>
      <c r="AD27" s="159" t="n">
        <v>0</v>
      </c>
      <c r="AE27" s="159" t="n">
        <v>0</v>
      </c>
      <c r="AF27" s="756" t="n">
        <f aca="false">$C27</f>
        <v>3055.55</v>
      </c>
      <c r="AG27" s="159" t="n">
        <v>0</v>
      </c>
      <c r="AH27" s="159" t="n">
        <v>0</v>
      </c>
      <c r="AI27" s="159" t="n">
        <v>0</v>
      </c>
      <c r="AJ27" s="159" t="n">
        <v>0</v>
      </c>
      <c r="AK27" s="159" t="n">
        <v>0</v>
      </c>
      <c r="AL27" s="159" t="n">
        <v>0</v>
      </c>
      <c r="AM27" s="159" t="n">
        <v>0</v>
      </c>
      <c r="AN27" s="159" t="n">
        <v>0</v>
      </c>
      <c r="AO27" s="85"/>
      <c r="AP27" s="586" t="n">
        <f aca="false">SUM(E27:AO27)</f>
        <v>3055.55</v>
      </c>
      <c r="AQ27" s="754" t="n">
        <f aca="false">AQ26+1</f>
        <v>21</v>
      </c>
      <c r="AR27" s="742"/>
      <c r="AS27" s="742"/>
      <c r="AT27" s="742"/>
      <c r="AU27" s="742"/>
      <c r="AV27" s="742"/>
      <c r="AW27" s="742"/>
      <c r="AX27" s="742"/>
      <c r="AY27" s="742"/>
      <c r="AZ27" s="742"/>
      <c r="BA27" s="742"/>
      <c r="BB27" s="742"/>
      <c r="BC27" s="742"/>
      <c r="BD27" s="742"/>
      <c r="BE27" s="742"/>
      <c r="BF27" s="742"/>
      <c r="BG27" s="742"/>
      <c r="BH27" s="742"/>
      <c r="BI27" s="742"/>
      <c r="BJ27" s="742"/>
      <c r="BK27" s="742"/>
      <c r="BL27" s="742"/>
      <c r="BM27" s="742"/>
      <c r="BN27" s="742"/>
      <c r="BO27" s="742"/>
      <c r="BP27" s="742"/>
      <c r="BQ27" s="742"/>
      <c r="BR27" s="742"/>
      <c r="BS27" s="742"/>
      <c r="BT27" s="742"/>
      <c r="BU27" s="742"/>
      <c r="BV27" s="742"/>
      <c r="BW27" s="742"/>
      <c r="BX27" s="742"/>
      <c r="BY27" s="742"/>
      <c r="BZ27" s="742"/>
      <c r="CA27" s="742"/>
      <c r="CB27" s="742"/>
      <c r="CC27" s="742"/>
      <c r="CD27" s="742"/>
      <c r="CE27" s="742"/>
      <c r="CF27" s="742"/>
      <c r="CG27" s="742"/>
      <c r="CH27" s="742"/>
      <c r="CI27" s="742"/>
      <c r="CJ27" s="742"/>
      <c r="CK27" s="742"/>
      <c r="CL27" s="742"/>
      <c r="CM27" s="742"/>
      <c r="CN27" s="742"/>
      <c r="CO27" s="742"/>
      <c r="CP27" s="742"/>
      <c r="CQ27" s="742"/>
      <c r="CR27" s="742"/>
      <c r="CS27" s="742"/>
      <c r="CT27" s="742"/>
      <c r="CU27" s="742"/>
      <c r="CV27" s="742"/>
      <c r="CW27" s="742"/>
      <c r="CX27" s="742"/>
      <c r="CY27" s="742"/>
      <c r="CZ27" s="742"/>
      <c r="DA27" s="742"/>
      <c r="DB27" s="742"/>
      <c r="DC27" s="742"/>
      <c r="DD27" s="742"/>
      <c r="DE27" s="742"/>
      <c r="DF27" s="742"/>
      <c r="DG27" s="742"/>
      <c r="DH27" s="742"/>
      <c r="DI27" s="742"/>
      <c r="DJ27" s="742"/>
      <c r="DK27" s="742"/>
      <c r="DL27" s="742"/>
      <c r="DM27" s="742"/>
      <c r="DN27" s="742"/>
      <c r="DO27" s="742"/>
      <c r="DP27" s="742"/>
      <c r="DQ27" s="742"/>
      <c r="DR27" s="742"/>
      <c r="DS27" s="742"/>
      <c r="DT27" s="742"/>
      <c r="DU27" s="742"/>
      <c r="DV27" s="742"/>
      <c r="DW27" s="742"/>
      <c r="DX27" s="742"/>
      <c r="DY27" s="742"/>
      <c r="DZ27" s="742"/>
      <c r="EA27" s="742"/>
      <c r="EB27" s="742"/>
      <c r="EC27" s="742"/>
      <c r="ED27" s="742"/>
      <c r="EE27" s="742"/>
      <c r="EF27" s="742"/>
      <c r="EG27" s="742"/>
      <c r="EH27" s="742"/>
      <c r="EI27" s="742"/>
      <c r="EJ27" s="742"/>
      <c r="EK27" s="742"/>
      <c r="EL27" s="742"/>
      <c r="EM27" s="742"/>
      <c r="EN27" s="742"/>
      <c r="EO27" s="742"/>
      <c r="EP27" s="742"/>
      <c r="EQ27" s="742"/>
      <c r="ER27" s="742"/>
      <c r="ES27" s="742"/>
      <c r="ET27" s="742"/>
      <c r="EU27" s="742"/>
      <c r="EV27" s="742"/>
      <c r="EW27" s="742"/>
      <c r="EX27" s="742"/>
      <c r="EY27" s="742"/>
      <c r="EZ27" s="742"/>
      <c r="FA27" s="742"/>
      <c r="FB27" s="742"/>
      <c r="FC27" s="742"/>
      <c r="FD27" s="742"/>
      <c r="FE27" s="742"/>
      <c r="FF27" s="742"/>
      <c r="FG27" s="742"/>
      <c r="FH27" s="742"/>
      <c r="FI27" s="742"/>
      <c r="FJ27" s="742"/>
      <c r="FK27" s="742"/>
      <c r="FL27" s="742"/>
      <c r="FM27" s="742"/>
      <c r="FN27" s="742"/>
      <c r="FO27" s="742"/>
      <c r="FP27" s="742"/>
      <c r="FQ27" s="742"/>
      <c r="FR27" s="742"/>
      <c r="FS27" s="742"/>
      <c r="FT27" s="742"/>
      <c r="FU27" s="742"/>
      <c r="FV27" s="742"/>
      <c r="FW27" s="742"/>
      <c r="FX27" s="742"/>
      <c r="FY27" s="742"/>
      <c r="FZ27" s="742"/>
      <c r="GA27" s="742"/>
      <c r="GB27" s="742"/>
      <c r="GC27" s="742"/>
      <c r="GD27" s="742"/>
      <c r="GE27" s="742"/>
      <c r="GF27" s="742"/>
      <c r="GG27" s="742"/>
      <c r="GH27" s="742"/>
      <c r="GI27" s="742"/>
      <c r="GJ27" s="742"/>
      <c r="GK27" s="742"/>
      <c r="GL27" s="742"/>
      <c r="GM27" s="742"/>
      <c r="GN27" s="742"/>
      <c r="GO27" s="742"/>
      <c r="GP27" s="742"/>
      <c r="GQ27" s="742"/>
      <c r="GR27" s="742"/>
      <c r="GS27" s="742"/>
      <c r="GT27" s="742"/>
      <c r="GU27" s="742"/>
      <c r="GV27" s="742"/>
      <c r="GW27" s="742"/>
      <c r="GX27" s="742"/>
      <c r="GY27" s="742"/>
      <c r="GZ27" s="742"/>
      <c r="HA27" s="742"/>
      <c r="HB27" s="742"/>
      <c r="HC27" s="742"/>
      <c r="HD27" s="742"/>
      <c r="HE27" s="742"/>
      <c r="HF27" s="742"/>
      <c r="HG27" s="742"/>
      <c r="HH27" s="742"/>
      <c r="HI27" s="742"/>
      <c r="HJ27" s="742"/>
      <c r="HK27" s="742"/>
      <c r="HL27" s="742"/>
      <c r="HM27" s="742"/>
      <c r="HN27" s="742"/>
      <c r="HO27" s="742"/>
      <c r="HP27" s="742"/>
      <c r="HQ27" s="742"/>
      <c r="HR27" s="742"/>
      <c r="HS27" s="742"/>
      <c r="HT27" s="742"/>
      <c r="HU27" s="742"/>
      <c r="HV27" s="742"/>
      <c r="HW27" s="742"/>
      <c r="HX27" s="742"/>
      <c r="HY27" s="742"/>
      <c r="HZ27" s="742"/>
      <c r="IA27" s="742"/>
      <c r="IB27" s="742"/>
      <c r="IC27" s="742"/>
      <c r="ID27" s="742"/>
      <c r="IE27" s="742"/>
      <c r="IF27" s="742"/>
      <c r="IG27" s="742"/>
      <c r="IH27" s="742"/>
      <c r="II27" s="742"/>
      <c r="IJ27" s="742"/>
      <c r="IK27" s="742"/>
      <c r="IL27" s="742"/>
      <c r="IM27" s="742"/>
      <c r="IN27" s="742"/>
      <c r="IO27" s="742"/>
      <c r="IP27" s="742"/>
      <c r="IQ27" s="742"/>
      <c r="IR27" s="742"/>
      <c r="IS27" s="742"/>
      <c r="IT27" s="742"/>
      <c r="IU27" s="742"/>
      <c r="IV27" s="742"/>
      <c r="IW27" s="742"/>
    </row>
    <row r="28" customFormat="false" ht="12.75" hidden="false" customHeight="false" outlineLevel="0" collapsed="false">
      <c r="A28" s="755" t="str">
        <f aca="false">Assm!N29</f>
        <v>Financing Costs (Other)</v>
      </c>
      <c r="B28" s="114"/>
      <c r="C28" s="176" t="n">
        <f aca="false">Assm!R29</f>
        <v>0</v>
      </c>
      <c r="D28" s="85"/>
      <c r="E28" s="159" t="n">
        <v>0</v>
      </c>
      <c r="F28" s="159" t="n">
        <v>0</v>
      </c>
      <c r="G28" s="159" t="n">
        <v>0</v>
      </c>
      <c r="H28" s="159" t="n">
        <v>0</v>
      </c>
      <c r="I28" s="159" t="n">
        <v>0</v>
      </c>
      <c r="J28" s="159" t="n">
        <v>0</v>
      </c>
      <c r="K28" s="159" t="n">
        <v>0</v>
      </c>
      <c r="L28" s="159" t="n">
        <v>0</v>
      </c>
      <c r="M28" s="159" t="n">
        <v>0</v>
      </c>
      <c r="N28" s="159" t="n">
        <v>0</v>
      </c>
      <c r="O28" s="159" t="n">
        <v>0</v>
      </c>
      <c r="P28" s="159" t="n">
        <v>0</v>
      </c>
      <c r="Q28" s="159" t="n">
        <v>0</v>
      </c>
      <c r="R28" s="159" t="n">
        <v>0</v>
      </c>
      <c r="S28" s="159" t="n">
        <v>0</v>
      </c>
      <c r="T28" s="159" t="n">
        <v>0</v>
      </c>
      <c r="U28" s="159" t="n">
        <v>0</v>
      </c>
      <c r="V28" s="159" t="n">
        <v>0</v>
      </c>
      <c r="W28" s="159" t="n">
        <v>0</v>
      </c>
      <c r="X28" s="159" t="n">
        <v>0</v>
      </c>
      <c r="Y28" s="159" t="n">
        <v>0</v>
      </c>
      <c r="Z28" s="159" t="n">
        <v>0</v>
      </c>
      <c r="AA28" s="159" t="n">
        <v>0</v>
      </c>
      <c r="AB28" s="159" t="n">
        <v>0</v>
      </c>
      <c r="AC28" s="159" t="n">
        <v>0</v>
      </c>
      <c r="AD28" s="159" t="n">
        <v>0</v>
      </c>
      <c r="AE28" s="159" t="n">
        <v>0</v>
      </c>
      <c r="AF28" s="756" t="n">
        <f aca="false">$C28</f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85"/>
      <c r="AP28" s="586" t="n">
        <f aca="false">SUM(E28:AO28)</f>
        <v>0</v>
      </c>
      <c r="AQ28" s="754" t="n">
        <f aca="false">AQ27+1</f>
        <v>22</v>
      </c>
      <c r="AR28" s="742"/>
      <c r="AS28" s="742"/>
      <c r="AT28" s="742"/>
      <c r="AU28" s="742"/>
      <c r="AV28" s="742"/>
      <c r="AW28" s="742"/>
      <c r="AX28" s="742"/>
      <c r="AY28" s="742"/>
      <c r="AZ28" s="742"/>
      <c r="BA28" s="742"/>
      <c r="BB28" s="742"/>
      <c r="BC28" s="742"/>
      <c r="BD28" s="742"/>
      <c r="BE28" s="742"/>
      <c r="BF28" s="742"/>
      <c r="BG28" s="742"/>
      <c r="BH28" s="742"/>
      <c r="BI28" s="742"/>
      <c r="BJ28" s="742"/>
      <c r="BK28" s="742"/>
      <c r="BL28" s="742"/>
      <c r="BM28" s="742"/>
      <c r="BN28" s="742"/>
      <c r="BO28" s="742"/>
      <c r="BP28" s="742"/>
      <c r="BQ28" s="742"/>
      <c r="BR28" s="742"/>
      <c r="BS28" s="742"/>
      <c r="BT28" s="742"/>
      <c r="BU28" s="742"/>
      <c r="BV28" s="742"/>
      <c r="BW28" s="742"/>
      <c r="BX28" s="742"/>
      <c r="BY28" s="742"/>
      <c r="BZ28" s="742"/>
      <c r="CA28" s="742"/>
      <c r="CB28" s="742"/>
      <c r="CC28" s="742"/>
      <c r="CD28" s="742"/>
      <c r="CE28" s="742"/>
      <c r="CF28" s="742"/>
      <c r="CG28" s="742"/>
      <c r="CH28" s="742"/>
      <c r="CI28" s="742"/>
      <c r="CJ28" s="742"/>
      <c r="CK28" s="742"/>
      <c r="CL28" s="742"/>
      <c r="CM28" s="742"/>
      <c r="CN28" s="742"/>
      <c r="CO28" s="742"/>
      <c r="CP28" s="742"/>
      <c r="CQ28" s="742"/>
      <c r="CR28" s="742"/>
      <c r="CS28" s="742"/>
      <c r="CT28" s="742"/>
      <c r="CU28" s="742"/>
      <c r="CV28" s="742"/>
      <c r="CW28" s="742"/>
      <c r="CX28" s="742"/>
      <c r="CY28" s="742"/>
      <c r="CZ28" s="742"/>
      <c r="DA28" s="742"/>
      <c r="DB28" s="742"/>
      <c r="DC28" s="742"/>
      <c r="DD28" s="742"/>
      <c r="DE28" s="742"/>
      <c r="DF28" s="742"/>
      <c r="DG28" s="742"/>
      <c r="DH28" s="742"/>
      <c r="DI28" s="742"/>
      <c r="DJ28" s="742"/>
      <c r="DK28" s="742"/>
      <c r="DL28" s="742"/>
      <c r="DM28" s="742"/>
      <c r="DN28" s="742"/>
      <c r="DO28" s="742"/>
      <c r="DP28" s="742"/>
      <c r="DQ28" s="742"/>
      <c r="DR28" s="742"/>
      <c r="DS28" s="742"/>
      <c r="DT28" s="742"/>
      <c r="DU28" s="742"/>
      <c r="DV28" s="742"/>
      <c r="DW28" s="742"/>
      <c r="DX28" s="742"/>
      <c r="DY28" s="742"/>
      <c r="DZ28" s="742"/>
      <c r="EA28" s="742"/>
      <c r="EB28" s="742"/>
      <c r="EC28" s="742"/>
      <c r="ED28" s="742"/>
      <c r="EE28" s="742"/>
      <c r="EF28" s="742"/>
      <c r="EG28" s="742"/>
      <c r="EH28" s="742"/>
      <c r="EI28" s="742"/>
      <c r="EJ28" s="742"/>
      <c r="EK28" s="742"/>
      <c r="EL28" s="742"/>
      <c r="EM28" s="742"/>
      <c r="EN28" s="742"/>
      <c r="EO28" s="742"/>
      <c r="EP28" s="742"/>
      <c r="EQ28" s="742"/>
      <c r="ER28" s="742"/>
      <c r="ES28" s="742"/>
      <c r="ET28" s="742"/>
      <c r="EU28" s="742"/>
      <c r="EV28" s="742"/>
      <c r="EW28" s="742"/>
      <c r="EX28" s="742"/>
      <c r="EY28" s="742"/>
      <c r="EZ28" s="742"/>
      <c r="FA28" s="742"/>
      <c r="FB28" s="742"/>
      <c r="FC28" s="742"/>
      <c r="FD28" s="742"/>
      <c r="FE28" s="742"/>
      <c r="FF28" s="742"/>
      <c r="FG28" s="742"/>
      <c r="FH28" s="742"/>
      <c r="FI28" s="742"/>
      <c r="FJ28" s="742"/>
      <c r="FK28" s="742"/>
      <c r="FL28" s="742"/>
      <c r="FM28" s="742"/>
      <c r="FN28" s="742"/>
      <c r="FO28" s="742"/>
      <c r="FP28" s="742"/>
      <c r="FQ28" s="742"/>
      <c r="FR28" s="742"/>
      <c r="FS28" s="742"/>
      <c r="FT28" s="742"/>
      <c r="FU28" s="742"/>
      <c r="FV28" s="742"/>
      <c r="FW28" s="742"/>
      <c r="FX28" s="742"/>
      <c r="FY28" s="742"/>
      <c r="FZ28" s="742"/>
      <c r="GA28" s="742"/>
      <c r="GB28" s="742"/>
      <c r="GC28" s="742"/>
      <c r="GD28" s="742"/>
      <c r="GE28" s="742"/>
      <c r="GF28" s="742"/>
      <c r="GG28" s="742"/>
      <c r="GH28" s="742"/>
      <c r="GI28" s="742"/>
      <c r="GJ28" s="742"/>
      <c r="GK28" s="742"/>
      <c r="GL28" s="742"/>
      <c r="GM28" s="742"/>
      <c r="GN28" s="742"/>
      <c r="GO28" s="742"/>
      <c r="GP28" s="742"/>
      <c r="GQ28" s="742"/>
      <c r="GR28" s="742"/>
      <c r="GS28" s="742"/>
      <c r="GT28" s="742"/>
      <c r="GU28" s="742"/>
      <c r="GV28" s="742"/>
      <c r="GW28" s="742"/>
      <c r="GX28" s="742"/>
      <c r="GY28" s="742"/>
      <c r="GZ28" s="742"/>
      <c r="HA28" s="742"/>
      <c r="HB28" s="742"/>
      <c r="HC28" s="742"/>
      <c r="HD28" s="742"/>
      <c r="HE28" s="742"/>
      <c r="HF28" s="742"/>
      <c r="HG28" s="742"/>
      <c r="HH28" s="742"/>
      <c r="HI28" s="742"/>
      <c r="HJ28" s="742"/>
      <c r="HK28" s="742"/>
      <c r="HL28" s="742"/>
      <c r="HM28" s="742"/>
      <c r="HN28" s="742"/>
      <c r="HO28" s="742"/>
      <c r="HP28" s="742"/>
      <c r="HQ28" s="742"/>
      <c r="HR28" s="742"/>
      <c r="HS28" s="742"/>
      <c r="HT28" s="742"/>
      <c r="HU28" s="742"/>
      <c r="HV28" s="742"/>
      <c r="HW28" s="742"/>
      <c r="HX28" s="742"/>
      <c r="HY28" s="742"/>
      <c r="HZ28" s="742"/>
      <c r="IA28" s="742"/>
      <c r="IB28" s="742"/>
      <c r="IC28" s="742"/>
      <c r="ID28" s="742"/>
      <c r="IE28" s="742"/>
      <c r="IF28" s="742"/>
      <c r="IG28" s="742"/>
      <c r="IH28" s="742"/>
      <c r="II28" s="742"/>
      <c r="IJ28" s="742"/>
      <c r="IK28" s="742"/>
      <c r="IL28" s="742"/>
      <c r="IM28" s="742"/>
      <c r="IN28" s="742"/>
      <c r="IO28" s="742"/>
      <c r="IP28" s="742"/>
      <c r="IQ28" s="742"/>
      <c r="IR28" s="742"/>
      <c r="IS28" s="742"/>
      <c r="IT28" s="742"/>
      <c r="IU28" s="742"/>
      <c r="IV28" s="742"/>
      <c r="IW28" s="742"/>
    </row>
    <row r="29" customFormat="false" ht="12.75" hidden="false" customHeight="false" outlineLevel="0" collapsed="false">
      <c r="A29" s="755" t="str">
        <f aca="false">Assm!N30</f>
        <v>3rd Party Legal Fees</v>
      </c>
      <c r="B29" s="114"/>
      <c r="C29" s="176" t="n">
        <f aca="false">Assm!R30</f>
        <v>1526.85</v>
      </c>
      <c r="D29" s="85"/>
      <c r="E29" s="600" t="n">
        <f aca="false">E85</f>
        <v>0.829</v>
      </c>
      <c r="F29" s="600" t="n">
        <f aca="false">F85</f>
        <v>0</v>
      </c>
      <c r="G29" s="600" t="n">
        <f aca="false">G85</f>
        <v>0</v>
      </c>
      <c r="H29" s="600" t="n">
        <f aca="false">H85</f>
        <v>0.321</v>
      </c>
      <c r="I29" s="600" t="n">
        <f aca="false">I85</f>
        <v>0.676</v>
      </c>
      <c r="J29" s="600" t="n">
        <f aca="false">J85</f>
        <v>0</v>
      </c>
      <c r="K29" s="600" t="n">
        <f aca="false">K85</f>
        <v>3.745</v>
      </c>
      <c r="L29" s="600" t="n">
        <f aca="false">L85</f>
        <v>0</v>
      </c>
      <c r="M29" s="600" t="n">
        <f aca="false">M85</f>
        <v>129.062</v>
      </c>
      <c r="N29" s="600" t="n">
        <f aca="false">N85</f>
        <v>5.249</v>
      </c>
      <c r="O29" s="600" t="n">
        <f aca="false">O85</f>
        <v>0.723</v>
      </c>
      <c r="P29" s="600" t="n">
        <f aca="false">P85</f>
        <v>0</v>
      </c>
      <c r="Q29" s="600" t="n">
        <f aca="false">Q85</f>
        <v>1.372</v>
      </c>
      <c r="R29" s="600" t="n">
        <f aca="false">R85</f>
        <v>0.756</v>
      </c>
      <c r="S29" s="600" t="n">
        <f aca="false">S85</f>
        <v>488.41</v>
      </c>
      <c r="T29" s="600" t="n">
        <f aca="false">T85</f>
        <v>65.586</v>
      </c>
      <c r="U29" s="600" t="n">
        <f aca="false">U85</f>
        <v>298.144</v>
      </c>
      <c r="V29" s="600" t="n">
        <f aca="false">V85</f>
        <v>37.798</v>
      </c>
      <c r="W29" s="600" t="n">
        <f aca="false">W85</f>
        <v>65.015</v>
      </c>
      <c r="X29" s="600" t="n">
        <f aca="false">X85</f>
        <v>48</v>
      </c>
      <c r="Y29" s="159" t="n">
        <v>0</v>
      </c>
      <c r="Z29" s="159" t="n">
        <v>0</v>
      </c>
      <c r="AA29" s="159" t="n">
        <v>0</v>
      </c>
      <c r="AB29" s="159" t="n">
        <v>0</v>
      </c>
      <c r="AC29" s="159" t="n">
        <v>0</v>
      </c>
      <c r="AD29" s="159" t="n">
        <v>0</v>
      </c>
      <c r="AE29" s="159" t="n">
        <v>0</v>
      </c>
      <c r="AF29" s="756" t="n">
        <f aca="false">$C$29-SUM($E29:AE29)</f>
        <v>381.164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0</v>
      </c>
      <c r="AO29" s="85"/>
      <c r="AP29" s="586" t="n">
        <f aca="false">SUM(E29:AO29)</f>
        <v>1526.85</v>
      </c>
      <c r="AQ29" s="754" t="n">
        <f aca="false">AQ28+1</f>
        <v>23</v>
      </c>
      <c r="AR29" s="742"/>
      <c r="AS29" s="742"/>
      <c r="AT29" s="742"/>
      <c r="AU29" s="742"/>
      <c r="AV29" s="742"/>
      <c r="AW29" s="742"/>
      <c r="AX29" s="742"/>
      <c r="AY29" s="742"/>
      <c r="AZ29" s="742"/>
      <c r="BA29" s="742"/>
      <c r="BB29" s="742"/>
      <c r="BC29" s="742"/>
      <c r="BD29" s="742"/>
      <c r="BE29" s="742"/>
      <c r="BF29" s="742"/>
      <c r="BG29" s="742"/>
      <c r="BH29" s="742"/>
      <c r="BI29" s="742"/>
      <c r="BJ29" s="742"/>
      <c r="BK29" s="742"/>
      <c r="BL29" s="742"/>
      <c r="BM29" s="742"/>
      <c r="BN29" s="742"/>
      <c r="BO29" s="742"/>
      <c r="BP29" s="742"/>
      <c r="BQ29" s="742"/>
      <c r="BR29" s="742"/>
      <c r="BS29" s="742"/>
      <c r="BT29" s="742"/>
      <c r="BU29" s="742"/>
      <c r="BV29" s="742"/>
      <c r="BW29" s="742"/>
      <c r="BX29" s="742"/>
      <c r="BY29" s="742"/>
      <c r="BZ29" s="742"/>
      <c r="CA29" s="742"/>
      <c r="CB29" s="742"/>
      <c r="CC29" s="742"/>
      <c r="CD29" s="742"/>
      <c r="CE29" s="742"/>
      <c r="CF29" s="742"/>
      <c r="CG29" s="742"/>
      <c r="CH29" s="742"/>
      <c r="CI29" s="742"/>
      <c r="CJ29" s="742"/>
      <c r="CK29" s="742"/>
      <c r="CL29" s="742"/>
      <c r="CM29" s="742"/>
      <c r="CN29" s="742"/>
      <c r="CO29" s="742"/>
      <c r="CP29" s="742"/>
      <c r="CQ29" s="742"/>
      <c r="CR29" s="742"/>
      <c r="CS29" s="742"/>
      <c r="CT29" s="742"/>
      <c r="CU29" s="742"/>
      <c r="CV29" s="742"/>
      <c r="CW29" s="742"/>
      <c r="CX29" s="742"/>
      <c r="CY29" s="742"/>
      <c r="CZ29" s="742"/>
      <c r="DA29" s="742"/>
      <c r="DB29" s="742"/>
      <c r="DC29" s="742"/>
      <c r="DD29" s="742"/>
      <c r="DE29" s="742"/>
      <c r="DF29" s="742"/>
      <c r="DG29" s="742"/>
      <c r="DH29" s="742"/>
      <c r="DI29" s="742"/>
      <c r="DJ29" s="742"/>
      <c r="DK29" s="742"/>
      <c r="DL29" s="742"/>
      <c r="DM29" s="742"/>
      <c r="DN29" s="742"/>
      <c r="DO29" s="742"/>
      <c r="DP29" s="742"/>
      <c r="DQ29" s="742"/>
      <c r="DR29" s="742"/>
      <c r="DS29" s="742"/>
      <c r="DT29" s="742"/>
      <c r="DU29" s="742"/>
      <c r="DV29" s="742"/>
      <c r="DW29" s="742"/>
      <c r="DX29" s="742"/>
      <c r="DY29" s="742"/>
      <c r="DZ29" s="742"/>
      <c r="EA29" s="742"/>
      <c r="EB29" s="742"/>
      <c r="EC29" s="742"/>
      <c r="ED29" s="742"/>
      <c r="EE29" s="742"/>
      <c r="EF29" s="742"/>
      <c r="EG29" s="742"/>
      <c r="EH29" s="742"/>
      <c r="EI29" s="742"/>
      <c r="EJ29" s="742"/>
      <c r="EK29" s="742"/>
      <c r="EL29" s="742"/>
      <c r="EM29" s="742"/>
      <c r="EN29" s="742"/>
      <c r="EO29" s="742"/>
      <c r="EP29" s="742"/>
      <c r="EQ29" s="742"/>
      <c r="ER29" s="742"/>
      <c r="ES29" s="742"/>
      <c r="ET29" s="742"/>
      <c r="EU29" s="742"/>
      <c r="EV29" s="742"/>
      <c r="EW29" s="742"/>
      <c r="EX29" s="742"/>
      <c r="EY29" s="742"/>
      <c r="EZ29" s="742"/>
      <c r="FA29" s="742"/>
      <c r="FB29" s="742"/>
      <c r="FC29" s="742"/>
      <c r="FD29" s="742"/>
      <c r="FE29" s="742"/>
      <c r="FF29" s="742"/>
      <c r="FG29" s="742"/>
      <c r="FH29" s="742"/>
      <c r="FI29" s="742"/>
      <c r="FJ29" s="742"/>
      <c r="FK29" s="742"/>
      <c r="FL29" s="742"/>
      <c r="FM29" s="742"/>
      <c r="FN29" s="742"/>
      <c r="FO29" s="742"/>
      <c r="FP29" s="742"/>
      <c r="FQ29" s="742"/>
      <c r="FR29" s="742"/>
      <c r="FS29" s="742"/>
      <c r="FT29" s="742"/>
      <c r="FU29" s="742"/>
      <c r="FV29" s="742"/>
      <c r="FW29" s="742"/>
      <c r="FX29" s="742"/>
      <c r="FY29" s="742"/>
      <c r="FZ29" s="742"/>
      <c r="GA29" s="742"/>
      <c r="GB29" s="742"/>
      <c r="GC29" s="742"/>
      <c r="GD29" s="742"/>
      <c r="GE29" s="742"/>
      <c r="GF29" s="742"/>
      <c r="GG29" s="742"/>
      <c r="GH29" s="742"/>
      <c r="GI29" s="742"/>
      <c r="GJ29" s="742"/>
      <c r="GK29" s="742"/>
      <c r="GL29" s="742"/>
      <c r="GM29" s="742"/>
      <c r="GN29" s="742"/>
      <c r="GO29" s="742"/>
      <c r="GP29" s="742"/>
      <c r="GQ29" s="742"/>
      <c r="GR29" s="742"/>
      <c r="GS29" s="742"/>
      <c r="GT29" s="742"/>
      <c r="GU29" s="742"/>
      <c r="GV29" s="742"/>
      <c r="GW29" s="742"/>
      <c r="GX29" s="742"/>
      <c r="GY29" s="742"/>
      <c r="GZ29" s="742"/>
      <c r="HA29" s="742"/>
      <c r="HB29" s="742"/>
      <c r="HC29" s="742"/>
      <c r="HD29" s="742"/>
      <c r="HE29" s="742"/>
      <c r="HF29" s="742"/>
      <c r="HG29" s="742"/>
      <c r="HH29" s="742"/>
      <c r="HI29" s="742"/>
      <c r="HJ29" s="742"/>
      <c r="HK29" s="742"/>
      <c r="HL29" s="742"/>
      <c r="HM29" s="742"/>
      <c r="HN29" s="742"/>
      <c r="HO29" s="742"/>
      <c r="HP29" s="742"/>
      <c r="HQ29" s="742"/>
      <c r="HR29" s="742"/>
      <c r="HS29" s="742"/>
      <c r="HT29" s="742"/>
      <c r="HU29" s="742"/>
      <c r="HV29" s="742"/>
      <c r="HW29" s="742"/>
      <c r="HX29" s="742"/>
      <c r="HY29" s="742"/>
      <c r="HZ29" s="742"/>
      <c r="IA29" s="742"/>
      <c r="IB29" s="742"/>
      <c r="IC29" s="742"/>
      <c r="ID29" s="742"/>
      <c r="IE29" s="742"/>
      <c r="IF29" s="742"/>
      <c r="IG29" s="742"/>
      <c r="IH29" s="742"/>
      <c r="II29" s="742"/>
      <c r="IJ29" s="742"/>
      <c r="IK29" s="742"/>
      <c r="IL29" s="742"/>
      <c r="IM29" s="742"/>
      <c r="IN29" s="742"/>
      <c r="IO29" s="742"/>
      <c r="IP29" s="742"/>
      <c r="IQ29" s="742"/>
      <c r="IR29" s="742"/>
      <c r="IS29" s="742"/>
      <c r="IT29" s="742"/>
      <c r="IU29" s="742"/>
      <c r="IV29" s="742"/>
      <c r="IW29" s="742"/>
    </row>
    <row r="30" customFormat="false" ht="12.75" hidden="false" customHeight="false" outlineLevel="0" collapsed="false">
      <c r="A30" s="755" t="str">
        <f aca="false">Assm!N31</f>
        <v>Construction Insurance </v>
      </c>
      <c r="B30" s="114"/>
      <c r="C30" s="588" t="n">
        <f aca="false">Assm!R31</f>
        <v>839.522</v>
      </c>
      <c r="D30" s="757"/>
      <c r="E30" s="758" t="n">
        <f aca="false">E87</f>
        <v>0</v>
      </c>
      <c r="F30" s="758" t="n">
        <f aca="false">F87</f>
        <v>0</v>
      </c>
      <c r="G30" s="758" t="n">
        <f aca="false">G87</f>
        <v>0</v>
      </c>
      <c r="H30" s="758" t="n">
        <f aca="false">H87</f>
        <v>0</v>
      </c>
      <c r="I30" s="758" t="n">
        <f aca="false">I87</f>
        <v>0</v>
      </c>
      <c r="J30" s="758" t="n">
        <f aca="false">J87</f>
        <v>0</v>
      </c>
      <c r="K30" s="758" t="n">
        <f aca="false">K87</f>
        <v>0</v>
      </c>
      <c r="L30" s="758" t="n">
        <f aca="false">L87</f>
        <v>0</v>
      </c>
      <c r="M30" s="758" t="n">
        <f aca="false">M87</f>
        <v>0</v>
      </c>
      <c r="N30" s="758" t="n">
        <f aca="false">N87</f>
        <v>0</v>
      </c>
      <c r="O30" s="758" t="n">
        <f aca="false">O87</f>
        <v>55.544</v>
      </c>
      <c r="P30" s="758" t="n">
        <f aca="false">P87</f>
        <v>0</v>
      </c>
      <c r="Q30" s="758" t="n">
        <f aca="false">Q87</f>
        <v>1.222</v>
      </c>
      <c r="R30" s="758" t="n">
        <f aca="false">R87</f>
        <v>-1.222</v>
      </c>
      <c r="S30" s="758" t="n">
        <f aca="false">S87</f>
        <v>1.222</v>
      </c>
      <c r="T30" s="758" t="n">
        <f aca="false">T87</f>
        <v>0</v>
      </c>
      <c r="U30" s="758" t="n">
        <f aca="false">U87</f>
        <v>328.691</v>
      </c>
      <c r="V30" s="758" t="n">
        <f aca="false">V87</f>
        <v>0</v>
      </c>
      <c r="W30" s="758" t="n">
        <f aca="false">W87</f>
        <v>0</v>
      </c>
      <c r="X30" s="758" t="n">
        <f aca="false">X87</f>
        <v>0</v>
      </c>
      <c r="Y30" s="181" t="n">
        <v>0</v>
      </c>
      <c r="Z30" s="181" t="n">
        <v>0</v>
      </c>
      <c r="AA30" s="181" t="n">
        <v>0</v>
      </c>
      <c r="AB30" s="181" t="n">
        <v>0</v>
      </c>
      <c r="AC30" s="181" t="n">
        <v>0</v>
      </c>
      <c r="AD30" s="181" t="n">
        <v>0</v>
      </c>
      <c r="AE30" s="181" t="n">
        <v>0</v>
      </c>
      <c r="AF30" s="759" t="n">
        <f aca="false">$C$30-SUM($E30:AE30)</f>
        <v>454.065</v>
      </c>
      <c r="AG30" s="181" t="n">
        <v>0</v>
      </c>
      <c r="AH30" s="181" t="n">
        <v>0</v>
      </c>
      <c r="AI30" s="181" t="n">
        <v>0</v>
      </c>
      <c r="AJ30" s="181" t="n">
        <v>0</v>
      </c>
      <c r="AK30" s="181" t="n">
        <v>0</v>
      </c>
      <c r="AL30" s="181" t="n">
        <v>0</v>
      </c>
      <c r="AM30" s="181" t="n">
        <v>0</v>
      </c>
      <c r="AN30" s="181" t="n">
        <v>0</v>
      </c>
      <c r="AO30" s="757"/>
      <c r="AP30" s="589" t="n">
        <f aca="false">SUM(E30:AO30)</f>
        <v>839.522</v>
      </c>
      <c r="AQ30" s="754" t="n">
        <f aca="false">AQ29+1</f>
        <v>24</v>
      </c>
      <c r="AR30" s="742"/>
      <c r="AS30" s="742"/>
      <c r="AT30" s="742"/>
      <c r="AU30" s="742"/>
      <c r="AV30" s="742"/>
      <c r="AW30" s="742"/>
      <c r="AX30" s="742"/>
      <c r="AY30" s="742"/>
      <c r="AZ30" s="742"/>
      <c r="BA30" s="742"/>
      <c r="BB30" s="742"/>
      <c r="BC30" s="742"/>
      <c r="BD30" s="742"/>
      <c r="BE30" s="742"/>
      <c r="BF30" s="742"/>
      <c r="BG30" s="742"/>
      <c r="BH30" s="742"/>
      <c r="BI30" s="742"/>
      <c r="BJ30" s="742"/>
      <c r="BK30" s="742"/>
      <c r="BL30" s="742"/>
      <c r="BM30" s="742"/>
      <c r="BN30" s="742"/>
      <c r="BO30" s="742"/>
      <c r="BP30" s="742"/>
      <c r="BQ30" s="742"/>
      <c r="BR30" s="742"/>
      <c r="BS30" s="742"/>
      <c r="BT30" s="742"/>
      <c r="BU30" s="742"/>
      <c r="BV30" s="742"/>
      <c r="BW30" s="742"/>
      <c r="BX30" s="742"/>
      <c r="BY30" s="742"/>
      <c r="BZ30" s="742"/>
      <c r="CA30" s="742"/>
      <c r="CB30" s="742"/>
      <c r="CC30" s="742"/>
      <c r="CD30" s="742"/>
      <c r="CE30" s="742"/>
      <c r="CF30" s="742"/>
      <c r="CG30" s="742"/>
      <c r="CH30" s="742"/>
      <c r="CI30" s="742"/>
      <c r="CJ30" s="742"/>
      <c r="CK30" s="742"/>
      <c r="CL30" s="742"/>
      <c r="CM30" s="742"/>
      <c r="CN30" s="742"/>
      <c r="CO30" s="742"/>
      <c r="CP30" s="742"/>
      <c r="CQ30" s="742"/>
      <c r="CR30" s="742"/>
      <c r="CS30" s="742"/>
      <c r="CT30" s="742"/>
      <c r="CU30" s="742"/>
      <c r="CV30" s="742"/>
      <c r="CW30" s="742"/>
      <c r="CX30" s="742"/>
      <c r="CY30" s="742"/>
      <c r="CZ30" s="742"/>
      <c r="DA30" s="742"/>
      <c r="DB30" s="742"/>
      <c r="DC30" s="742"/>
      <c r="DD30" s="742"/>
      <c r="DE30" s="742"/>
      <c r="DF30" s="742"/>
      <c r="DG30" s="742"/>
      <c r="DH30" s="742"/>
      <c r="DI30" s="742"/>
      <c r="DJ30" s="742"/>
      <c r="DK30" s="742"/>
      <c r="DL30" s="742"/>
      <c r="DM30" s="742"/>
      <c r="DN30" s="742"/>
      <c r="DO30" s="742"/>
      <c r="DP30" s="742"/>
      <c r="DQ30" s="742"/>
      <c r="DR30" s="742"/>
      <c r="DS30" s="742"/>
      <c r="DT30" s="742"/>
      <c r="DU30" s="742"/>
      <c r="DV30" s="742"/>
      <c r="DW30" s="742"/>
      <c r="DX30" s="742"/>
      <c r="DY30" s="742"/>
      <c r="DZ30" s="742"/>
      <c r="EA30" s="742"/>
      <c r="EB30" s="742"/>
      <c r="EC30" s="742"/>
      <c r="ED30" s="742"/>
      <c r="EE30" s="742"/>
      <c r="EF30" s="742"/>
      <c r="EG30" s="742"/>
      <c r="EH30" s="742"/>
      <c r="EI30" s="742"/>
      <c r="EJ30" s="742"/>
      <c r="EK30" s="742"/>
      <c r="EL30" s="742"/>
      <c r="EM30" s="742"/>
      <c r="EN30" s="742"/>
      <c r="EO30" s="742"/>
      <c r="EP30" s="742"/>
      <c r="EQ30" s="742"/>
      <c r="ER30" s="742"/>
      <c r="ES30" s="742"/>
      <c r="ET30" s="742"/>
      <c r="EU30" s="742"/>
      <c r="EV30" s="742"/>
      <c r="EW30" s="742"/>
      <c r="EX30" s="742"/>
      <c r="EY30" s="742"/>
      <c r="EZ30" s="742"/>
      <c r="FA30" s="742"/>
      <c r="FB30" s="742"/>
      <c r="FC30" s="742"/>
      <c r="FD30" s="742"/>
      <c r="FE30" s="742"/>
      <c r="FF30" s="742"/>
      <c r="FG30" s="742"/>
      <c r="FH30" s="742"/>
      <c r="FI30" s="742"/>
      <c r="FJ30" s="742"/>
      <c r="FK30" s="742"/>
      <c r="FL30" s="742"/>
      <c r="FM30" s="742"/>
      <c r="FN30" s="742"/>
      <c r="FO30" s="742"/>
      <c r="FP30" s="742"/>
      <c r="FQ30" s="742"/>
      <c r="FR30" s="742"/>
      <c r="FS30" s="742"/>
      <c r="FT30" s="742"/>
      <c r="FU30" s="742"/>
      <c r="FV30" s="742"/>
      <c r="FW30" s="742"/>
      <c r="FX30" s="742"/>
      <c r="FY30" s="742"/>
      <c r="FZ30" s="742"/>
      <c r="GA30" s="742"/>
      <c r="GB30" s="742"/>
      <c r="GC30" s="742"/>
      <c r="GD30" s="742"/>
      <c r="GE30" s="742"/>
      <c r="GF30" s="742"/>
      <c r="GG30" s="742"/>
      <c r="GH30" s="742"/>
      <c r="GI30" s="742"/>
      <c r="GJ30" s="742"/>
      <c r="GK30" s="742"/>
      <c r="GL30" s="742"/>
      <c r="GM30" s="742"/>
      <c r="GN30" s="742"/>
      <c r="GO30" s="742"/>
      <c r="GP30" s="742"/>
      <c r="GQ30" s="742"/>
      <c r="GR30" s="742"/>
      <c r="GS30" s="742"/>
      <c r="GT30" s="742"/>
      <c r="GU30" s="742"/>
      <c r="GV30" s="742"/>
      <c r="GW30" s="742"/>
      <c r="GX30" s="742"/>
      <c r="GY30" s="742"/>
      <c r="GZ30" s="742"/>
      <c r="HA30" s="742"/>
      <c r="HB30" s="742"/>
      <c r="HC30" s="742"/>
      <c r="HD30" s="742"/>
      <c r="HE30" s="742"/>
      <c r="HF30" s="742"/>
      <c r="HG30" s="742"/>
      <c r="HH30" s="742"/>
      <c r="HI30" s="742"/>
      <c r="HJ30" s="742"/>
      <c r="HK30" s="742"/>
      <c r="HL30" s="742"/>
      <c r="HM30" s="742"/>
      <c r="HN30" s="742"/>
      <c r="HO30" s="742"/>
      <c r="HP30" s="742"/>
      <c r="HQ30" s="742"/>
      <c r="HR30" s="742"/>
      <c r="HS30" s="742"/>
      <c r="HT30" s="742"/>
      <c r="HU30" s="742"/>
      <c r="HV30" s="742"/>
      <c r="HW30" s="742"/>
      <c r="HX30" s="742"/>
      <c r="HY30" s="742"/>
      <c r="HZ30" s="742"/>
      <c r="IA30" s="742"/>
      <c r="IB30" s="742"/>
      <c r="IC30" s="742"/>
      <c r="ID30" s="742"/>
      <c r="IE30" s="742"/>
      <c r="IF30" s="742"/>
      <c r="IG30" s="742"/>
      <c r="IH30" s="742"/>
      <c r="II30" s="742"/>
      <c r="IJ30" s="742"/>
      <c r="IK30" s="742"/>
      <c r="IL30" s="742"/>
      <c r="IM30" s="742"/>
      <c r="IN30" s="742"/>
      <c r="IO30" s="742"/>
      <c r="IP30" s="742"/>
      <c r="IQ30" s="742"/>
      <c r="IR30" s="742"/>
      <c r="IS30" s="742"/>
      <c r="IT30" s="742"/>
      <c r="IU30" s="742"/>
      <c r="IV30" s="742"/>
      <c r="IW30" s="742"/>
    </row>
    <row r="31" customFormat="false" ht="12.75" hidden="false" customHeight="false" outlineLevel="0" collapsed="false">
      <c r="A31" s="755" t="str">
        <f aca="false">Assm!N32</f>
        <v>Total 3rd Party Dev / Financing Costs</v>
      </c>
      <c r="B31" s="114"/>
      <c r="C31" s="176" t="n">
        <f aca="false">SUM(C26:C30)</f>
        <v>6827.57883263918</v>
      </c>
      <c r="D31" s="85"/>
      <c r="E31" s="176" t="n">
        <f aca="false">SUM(E26:E30)</f>
        <v>0.829</v>
      </c>
      <c r="F31" s="176" t="n">
        <f aca="false">SUM(F26:F30)</f>
        <v>0</v>
      </c>
      <c r="G31" s="176" t="n">
        <f aca="false">SUM(G26:G30)</f>
        <v>0</v>
      </c>
      <c r="H31" s="176" t="n">
        <f aca="false">SUM(H26:H30)</f>
        <v>0.321</v>
      </c>
      <c r="I31" s="176" t="n">
        <f aca="false">SUM(I26:I30)</f>
        <v>0.676</v>
      </c>
      <c r="J31" s="176" t="n">
        <f aca="false">SUM(J26:J30)</f>
        <v>0</v>
      </c>
      <c r="K31" s="176" t="n">
        <f aca="false">SUM(K26:K30)</f>
        <v>3.745</v>
      </c>
      <c r="L31" s="176" t="n">
        <f aca="false">SUM(L26:L30)</f>
        <v>0</v>
      </c>
      <c r="M31" s="176" t="n">
        <f aca="false">SUM(M26:M30)</f>
        <v>129.062</v>
      </c>
      <c r="N31" s="176" t="n">
        <f aca="false">SUM(N26:N30)</f>
        <v>5.249</v>
      </c>
      <c r="O31" s="176" t="n">
        <f aca="false">SUM(O26:O30)</f>
        <v>56.267</v>
      </c>
      <c r="P31" s="176" t="n">
        <f aca="false">SUM(P26:P30)</f>
        <v>0</v>
      </c>
      <c r="Q31" s="176" t="n">
        <f aca="false">SUM(Q26:Q30)</f>
        <v>2.594</v>
      </c>
      <c r="R31" s="176" t="n">
        <f aca="false">SUM(R26:R30)</f>
        <v>-0.466</v>
      </c>
      <c r="S31" s="176" t="n">
        <f aca="false">SUM(S26:S30)</f>
        <v>489.632</v>
      </c>
      <c r="T31" s="176" t="n">
        <f aca="false">SUM(T26:T30)</f>
        <v>65.586</v>
      </c>
      <c r="U31" s="176" t="n">
        <f aca="false">SUM(U26:U30)</f>
        <v>626.835</v>
      </c>
      <c r="V31" s="176" t="n">
        <f aca="false">SUM(V26:V30)</f>
        <v>37.798</v>
      </c>
      <c r="W31" s="176" t="n">
        <f aca="false">SUM(W26:W30)</f>
        <v>65.015</v>
      </c>
      <c r="X31" s="176" t="n">
        <f aca="false">SUM(X26:X30)</f>
        <v>48</v>
      </c>
      <c r="Y31" s="176" t="n">
        <f aca="false">SUM(Y26:Y30)</f>
        <v>0</v>
      </c>
      <c r="Z31" s="176" t="n">
        <f aca="false">SUM(Z26:Z30)</f>
        <v>0</v>
      </c>
      <c r="AA31" s="176" t="n">
        <f aca="false">SUM(AA26:AA30)</f>
        <v>0</v>
      </c>
      <c r="AB31" s="176" t="n">
        <f aca="false">SUM(AB26:AB30)</f>
        <v>0</v>
      </c>
      <c r="AC31" s="176" t="n">
        <f aca="false">SUM(AC26:AC30)</f>
        <v>0</v>
      </c>
      <c r="AD31" s="176" t="n">
        <f aca="false">SUM(AD26:AD30)</f>
        <v>0</v>
      </c>
      <c r="AE31" s="176" t="n">
        <f aca="false">SUM(AE26:AE30)</f>
        <v>0</v>
      </c>
      <c r="AF31" s="176" t="n">
        <f aca="false">SUM(AF26:AF30)</f>
        <v>3890.779</v>
      </c>
      <c r="AG31" s="176" t="n">
        <f aca="false">SUM(AG26:AG30)</f>
        <v>0</v>
      </c>
      <c r="AH31" s="176" t="n">
        <f aca="false">SUM(AH26:AH30)</f>
        <v>1405.65683263918</v>
      </c>
      <c r="AI31" s="176" t="n">
        <f aca="false">SUM(AI26:AI30)</f>
        <v>0</v>
      </c>
      <c r="AJ31" s="176" t="n">
        <f aca="false">SUM(AJ26:AJ30)</f>
        <v>0</v>
      </c>
      <c r="AK31" s="176" t="n">
        <f aca="false">SUM(AK26:AK30)</f>
        <v>0</v>
      </c>
      <c r="AL31" s="176" t="n">
        <f aca="false">SUM(AL26:AL30)</f>
        <v>0</v>
      </c>
      <c r="AM31" s="176" t="n">
        <f aca="false">SUM(AM26:AM30)</f>
        <v>0</v>
      </c>
      <c r="AN31" s="176" t="n">
        <f aca="false">SUM(AN26:AN30)</f>
        <v>0</v>
      </c>
      <c r="AO31" s="85"/>
      <c r="AP31" s="586" t="n">
        <f aca="false">SUM(E31:AO31)</f>
        <v>6827.57883263918</v>
      </c>
      <c r="AQ31" s="754" t="n">
        <f aca="false">AQ30+1</f>
        <v>25</v>
      </c>
      <c r="AR31" s="742"/>
      <c r="AS31" s="742"/>
      <c r="AT31" s="742"/>
      <c r="AU31" s="742"/>
      <c r="AV31" s="742"/>
      <c r="AW31" s="742"/>
      <c r="AX31" s="742"/>
      <c r="AY31" s="742"/>
      <c r="AZ31" s="742"/>
      <c r="BA31" s="742"/>
      <c r="BB31" s="742"/>
      <c r="BC31" s="742"/>
      <c r="BD31" s="742"/>
      <c r="BE31" s="742"/>
      <c r="BF31" s="742"/>
      <c r="BG31" s="742"/>
      <c r="BH31" s="742"/>
      <c r="BI31" s="742"/>
      <c r="BJ31" s="742"/>
      <c r="BK31" s="742"/>
      <c r="BL31" s="742"/>
      <c r="BM31" s="742"/>
      <c r="BN31" s="742"/>
      <c r="BO31" s="742"/>
      <c r="BP31" s="742"/>
      <c r="BQ31" s="742"/>
      <c r="BR31" s="742"/>
      <c r="BS31" s="742"/>
      <c r="BT31" s="742"/>
      <c r="BU31" s="742"/>
      <c r="BV31" s="742"/>
      <c r="BW31" s="742"/>
      <c r="BX31" s="742"/>
      <c r="BY31" s="742"/>
      <c r="BZ31" s="742"/>
      <c r="CA31" s="742"/>
      <c r="CB31" s="742"/>
      <c r="CC31" s="742"/>
      <c r="CD31" s="742"/>
      <c r="CE31" s="742"/>
      <c r="CF31" s="742"/>
      <c r="CG31" s="742"/>
      <c r="CH31" s="742"/>
      <c r="CI31" s="742"/>
      <c r="CJ31" s="742"/>
      <c r="CK31" s="742"/>
      <c r="CL31" s="742"/>
      <c r="CM31" s="742"/>
      <c r="CN31" s="742"/>
      <c r="CO31" s="742"/>
      <c r="CP31" s="742"/>
      <c r="CQ31" s="742"/>
      <c r="CR31" s="742"/>
      <c r="CS31" s="742"/>
      <c r="CT31" s="742"/>
      <c r="CU31" s="742"/>
      <c r="CV31" s="742"/>
      <c r="CW31" s="742"/>
      <c r="CX31" s="742"/>
      <c r="CY31" s="742"/>
      <c r="CZ31" s="742"/>
      <c r="DA31" s="742"/>
      <c r="DB31" s="742"/>
      <c r="DC31" s="742"/>
      <c r="DD31" s="742"/>
      <c r="DE31" s="742"/>
      <c r="DF31" s="742"/>
      <c r="DG31" s="742"/>
      <c r="DH31" s="742"/>
      <c r="DI31" s="742"/>
      <c r="DJ31" s="742"/>
      <c r="DK31" s="742"/>
      <c r="DL31" s="742"/>
      <c r="DM31" s="742"/>
      <c r="DN31" s="742"/>
      <c r="DO31" s="742"/>
      <c r="DP31" s="742"/>
      <c r="DQ31" s="742"/>
      <c r="DR31" s="742"/>
      <c r="DS31" s="742"/>
      <c r="DT31" s="742"/>
      <c r="DU31" s="742"/>
      <c r="DV31" s="742"/>
      <c r="DW31" s="742"/>
      <c r="DX31" s="742"/>
      <c r="DY31" s="742"/>
      <c r="DZ31" s="742"/>
      <c r="EA31" s="742"/>
      <c r="EB31" s="742"/>
      <c r="EC31" s="742"/>
      <c r="ED31" s="742"/>
      <c r="EE31" s="742"/>
      <c r="EF31" s="742"/>
      <c r="EG31" s="742"/>
      <c r="EH31" s="742"/>
      <c r="EI31" s="742"/>
      <c r="EJ31" s="742"/>
      <c r="EK31" s="742"/>
      <c r="EL31" s="742"/>
      <c r="EM31" s="742"/>
      <c r="EN31" s="742"/>
      <c r="EO31" s="742"/>
      <c r="EP31" s="742"/>
      <c r="EQ31" s="742"/>
      <c r="ER31" s="742"/>
      <c r="ES31" s="742"/>
      <c r="ET31" s="742"/>
      <c r="EU31" s="742"/>
      <c r="EV31" s="742"/>
      <c r="EW31" s="742"/>
      <c r="EX31" s="742"/>
      <c r="EY31" s="742"/>
      <c r="EZ31" s="742"/>
      <c r="FA31" s="742"/>
      <c r="FB31" s="742"/>
      <c r="FC31" s="742"/>
      <c r="FD31" s="742"/>
      <c r="FE31" s="742"/>
      <c r="FF31" s="742"/>
      <c r="FG31" s="742"/>
      <c r="FH31" s="742"/>
      <c r="FI31" s="742"/>
      <c r="FJ31" s="742"/>
      <c r="FK31" s="742"/>
      <c r="FL31" s="742"/>
      <c r="FM31" s="742"/>
      <c r="FN31" s="742"/>
      <c r="FO31" s="742"/>
      <c r="FP31" s="742"/>
      <c r="FQ31" s="742"/>
      <c r="FR31" s="742"/>
      <c r="FS31" s="742"/>
      <c r="FT31" s="742"/>
      <c r="FU31" s="742"/>
      <c r="FV31" s="742"/>
      <c r="FW31" s="742"/>
      <c r="FX31" s="742"/>
      <c r="FY31" s="742"/>
      <c r="FZ31" s="742"/>
      <c r="GA31" s="742"/>
      <c r="GB31" s="742"/>
      <c r="GC31" s="742"/>
      <c r="GD31" s="742"/>
      <c r="GE31" s="742"/>
      <c r="GF31" s="742"/>
      <c r="GG31" s="742"/>
      <c r="GH31" s="742"/>
      <c r="GI31" s="742"/>
      <c r="GJ31" s="742"/>
      <c r="GK31" s="742"/>
      <c r="GL31" s="742"/>
      <c r="GM31" s="742"/>
      <c r="GN31" s="742"/>
      <c r="GO31" s="742"/>
      <c r="GP31" s="742"/>
      <c r="GQ31" s="742"/>
      <c r="GR31" s="742"/>
      <c r="GS31" s="742"/>
      <c r="GT31" s="742"/>
      <c r="GU31" s="742"/>
      <c r="GV31" s="742"/>
      <c r="GW31" s="742"/>
      <c r="GX31" s="742"/>
      <c r="GY31" s="742"/>
      <c r="GZ31" s="742"/>
      <c r="HA31" s="742"/>
      <c r="HB31" s="742"/>
      <c r="HC31" s="742"/>
      <c r="HD31" s="742"/>
      <c r="HE31" s="742"/>
      <c r="HF31" s="742"/>
      <c r="HG31" s="742"/>
      <c r="HH31" s="742"/>
      <c r="HI31" s="742"/>
      <c r="HJ31" s="742"/>
      <c r="HK31" s="742"/>
      <c r="HL31" s="742"/>
      <c r="HM31" s="742"/>
      <c r="HN31" s="742"/>
      <c r="HO31" s="742"/>
      <c r="HP31" s="742"/>
      <c r="HQ31" s="742"/>
      <c r="HR31" s="742"/>
      <c r="HS31" s="742"/>
      <c r="HT31" s="742"/>
      <c r="HU31" s="742"/>
      <c r="HV31" s="742"/>
      <c r="HW31" s="742"/>
      <c r="HX31" s="742"/>
      <c r="HY31" s="742"/>
      <c r="HZ31" s="742"/>
      <c r="IA31" s="742"/>
      <c r="IB31" s="742"/>
      <c r="IC31" s="742"/>
      <c r="ID31" s="742"/>
      <c r="IE31" s="742"/>
      <c r="IF31" s="742"/>
      <c r="IG31" s="742"/>
      <c r="IH31" s="742"/>
      <c r="II31" s="742"/>
      <c r="IJ31" s="742"/>
      <c r="IK31" s="742"/>
      <c r="IL31" s="742"/>
      <c r="IM31" s="742"/>
      <c r="IN31" s="742"/>
      <c r="IO31" s="742"/>
      <c r="IP31" s="742"/>
      <c r="IQ31" s="742"/>
      <c r="IR31" s="742"/>
      <c r="IS31" s="742"/>
      <c r="IT31" s="742"/>
      <c r="IU31" s="742"/>
      <c r="IV31" s="742"/>
      <c r="IW31" s="742"/>
    </row>
    <row r="32" customFormat="false" ht="12.75" hidden="false" customHeight="false" outlineLevel="0" collapsed="false">
      <c r="A32" s="755"/>
      <c r="B32" s="114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753"/>
      <c r="AQ32" s="754" t="n">
        <f aca="false">AQ31+1</f>
        <v>26</v>
      </c>
      <c r="AR32" s="742"/>
      <c r="AS32" s="742"/>
      <c r="AT32" s="742"/>
      <c r="AU32" s="742"/>
      <c r="AV32" s="742"/>
      <c r="AW32" s="742"/>
      <c r="AX32" s="742"/>
      <c r="AY32" s="742"/>
      <c r="AZ32" s="742"/>
      <c r="BA32" s="742"/>
      <c r="BB32" s="742"/>
      <c r="BC32" s="742"/>
      <c r="BD32" s="742"/>
      <c r="BE32" s="742"/>
      <c r="BF32" s="742"/>
      <c r="BG32" s="742"/>
      <c r="BH32" s="742"/>
      <c r="BI32" s="742"/>
      <c r="BJ32" s="742"/>
      <c r="BK32" s="742"/>
      <c r="BL32" s="742"/>
      <c r="BM32" s="742"/>
      <c r="BN32" s="742"/>
      <c r="BO32" s="742"/>
      <c r="BP32" s="742"/>
      <c r="BQ32" s="742"/>
      <c r="BR32" s="742"/>
      <c r="BS32" s="742"/>
      <c r="BT32" s="742"/>
      <c r="BU32" s="742"/>
      <c r="BV32" s="742"/>
      <c r="BW32" s="742"/>
      <c r="BX32" s="742"/>
      <c r="BY32" s="742"/>
      <c r="BZ32" s="742"/>
      <c r="CA32" s="742"/>
      <c r="CB32" s="742"/>
      <c r="CC32" s="742"/>
      <c r="CD32" s="742"/>
      <c r="CE32" s="742"/>
      <c r="CF32" s="742"/>
      <c r="CG32" s="742"/>
      <c r="CH32" s="742"/>
      <c r="CI32" s="742"/>
      <c r="CJ32" s="742"/>
      <c r="CK32" s="742"/>
      <c r="CL32" s="742"/>
      <c r="CM32" s="742"/>
      <c r="CN32" s="742"/>
      <c r="CO32" s="742"/>
      <c r="CP32" s="742"/>
      <c r="CQ32" s="742"/>
      <c r="CR32" s="742"/>
      <c r="CS32" s="742"/>
      <c r="CT32" s="742"/>
      <c r="CU32" s="742"/>
      <c r="CV32" s="742"/>
      <c r="CW32" s="742"/>
      <c r="CX32" s="742"/>
      <c r="CY32" s="742"/>
      <c r="CZ32" s="742"/>
      <c r="DA32" s="742"/>
      <c r="DB32" s="742"/>
      <c r="DC32" s="742"/>
      <c r="DD32" s="742"/>
      <c r="DE32" s="742"/>
      <c r="DF32" s="742"/>
      <c r="DG32" s="742"/>
      <c r="DH32" s="742"/>
      <c r="DI32" s="742"/>
      <c r="DJ32" s="742"/>
      <c r="DK32" s="742"/>
      <c r="DL32" s="742"/>
      <c r="DM32" s="742"/>
      <c r="DN32" s="742"/>
      <c r="DO32" s="742"/>
      <c r="DP32" s="742"/>
      <c r="DQ32" s="742"/>
      <c r="DR32" s="742"/>
      <c r="DS32" s="742"/>
      <c r="DT32" s="742"/>
      <c r="DU32" s="742"/>
      <c r="DV32" s="742"/>
      <c r="DW32" s="742"/>
      <c r="DX32" s="742"/>
      <c r="DY32" s="742"/>
      <c r="DZ32" s="742"/>
      <c r="EA32" s="742"/>
      <c r="EB32" s="742"/>
      <c r="EC32" s="742"/>
      <c r="ED32" s="742"/>
      <c r="EE32" s="742"/>
      <c r="EF32" s="742"/>
      <c r="EG32" s="742"/>
      <c r="EH32" s="742"/>
      <c r="EI32" s="742"/>
      <c r="EJ32" s="742"/>
      <c r="EK32" s="742"/>
      <c r="EL32" s="742"/>
      <c r="EM32" s="742"/>
      <c r="EN32" s="742"/>
      <c r="EO32" s="742"/>
      <c r="EP32" s="742"/>
      <c r="EQ32" s="742"/>
      <c r="ER32" s="742"/>
      <c r="ES32" s="742"/>
      <c r="ET32" s="742"/>
      <c r="EU32" s="742"/>
      <c r="EV32" s="742"/>
      <c r="EW32" s="742"/>
      <c r="EX32" s="742"/>
      <c r="EY32" s="742"/>
      <c r="EZ32" s="742"/>
      <c r="FA32" s="742"/>
      <c r="FB32" s="742"/>
      <c r="FC32" s="742"/>
      <c r="FD32" s="742"/>
      <c r="FE32" s="742"/>
      <c r="FF32" s="742"/>
      <c r="FG32" s="742"/>
      <c r="FH32" s="742"/>
      <c r="FI32" s="742"/>
      <c r="FJ32" s="742"/>
      <c r="FK32" s="742"/>
      <c r="FL32" s="742"/>
      <c r="FM32" s="742"/>
      <c r="FN32" s="742"/>
      <c r="FO32" s="742"/>
      <c r="FP32" s="742"/>
      <c r="FQ32" s="742"/>
      <c r="FR32" s="742"/>
      <c r="FS32" s="742"/>
      <c r="FT32" s="742"/>
      <c r="FU32" s="742"/>
      <c r="FV32" s="742"/>
      <c r="FW32" s="742"/>
      <c r="FX32" s="742"/>
      <c r="FY32" s="742"/>
      <c r="FZ32" s="742"/>
      <c r="GA32" s="742"/>
      <c r="GB32" s="742"/>
      <c r="GC32" s="742"/>
      <c r="GD32" s="742"/>
      <c r="GE32" s="742"/>
      <c r="GF32" s="742"/>
      <c r="GG32" s="742"/>
      <c r="GH32" s="742"/>
      <c r="GI32" s="742"/>
      <c r="GJ32" s="742"/>
      <c r="GK32" s="742"/>
      <c r="GL32" s="742"/>
      <c r="GM32" s="742"/>
      <c r="GN32" s="742"/>
      <c r="GO32" s="742"/>
      <c r="GP32" s="742"/>
      <c r="GQ32" s="742"/>
      <c r="GR32" s="742"/>
      <c r="GS32" s="742"/>
      <c r="GT32" s="742"/>
      <c r="GU32" s="742"/>
      <c r="GV32" s="742"/>
      <c r="GW32" s="742"/>
      <c r="GX32" s="742"/>
      <c r="GY32" s="742"/>
      <c r="GZ32" s="742"/>
      <c r="HA32" s="742"/>
      <c r="HB32" s="742"/>
      <c r="HC32" s="742"/>
      <c r="HD32" s="742"/>
      <c r="HE32" s="742"/>
      <c r="HF32" s="742"/>
      <c r="HG32" s="742"/>
      <c r="HH32" s="742"/>
      <c r="HI32" s="742"/>
      <c r="HJ32" s="742"/>
      <c r="HK32" s="742"/>
      <c r="HL32" s="742"/>
      <c r="HM32" s="742"/>
      <c r="HN32" s="742"/>
      <c r="HO32" s="742"/>
      <c r="HP32" s="742"/>
      <c r="HQ32" s="742"/>
      <c r="HR32" s="742"/>
      <c r="HS32" s="742"/>
      <c r="HT32" s="742"/>
      <c r="HU32" s="742"/>
      <c r="HV32" s="742"/>
      <c r="HW32" s="742"/>
      <c r="HX32" s="742"/>
      <c r="HY32" s="742"/>
      <c r="HZ32" s="742"/>
      <c r="IA32" s="742"/>
      <c r="IB32" s="742"/>
      <c r="IC32" s="742"/>
      <c r="ID32" s="742"/>
      <c r="IE32" s="742"/>
      <c r="IF32" s="742"/>
      <c r="IG32" s="742"/>
      <c r="IH32" s="742"/>
      <c r="II32" s="742"/>
      <c r="IJ32" s="742"/>
      <c r="IK32" s="742"/>
      <c r="IL32" s="742"/>
      <c r="IM32" s="742"/>
      <c r="IN32" s="742"/>
      <c r="IO32" s="742"/>
      <c r="IP32" s="742"/>
      <c r="IQ32" s="742"/>
      <c r="IR32" s="742"/>
      <c r="IS32" s="742"/>
      <c r="IT32" s="742"/>
      <c r="IU32" s="742"/>
      <c r="IV32" s="742"/>
      <c r="IW32" s="742"/>
    </row>
    <row r="33" customFormat="false" ht="12.75" hidden="false" customHeight="false" outlineLevel="0" collapsed="false">
      <c r="A33" s="755" t="str">
        <f aca="false">Assm!N34</f>
        <v>Development Costs</v>
      </c>
      <c r="B33" s="114"/>
      <c r="C33" s="176" t="n">
        <f aca="false">Assm!R34</f>
        <v>7384.6381168</v>
      </c>
      <c r="D33" s="85"/>
      <c r="E33" s="600" t="n">
        <f aca="false">E93</f>
        <v>2884.998</v>
      </c>
      <c r="F33" s="600" t="n">
        <f aca="false">F93</f>
        <v>0</v>
      </c>
      <c r="G33" s="600" t="n">
        <f aca="false">G93</f>
        <v>0</v>
      </c>
      <c r="H33" s="600" t="n">
        <f aca="false">H93</f>
        <v>0</v>
      </c>
      <c r="I33" s="600" t="n">
        <f aca="false">I93</f>
        <v>-0.078</v>
      </c>
      <c r="J33" s="600" t="n">
        <f aca="false">J93</f>
        <v>1.385</v>
      </c>
      <c r="K33" s="600" t="n">
        <f aca="false">K93</f>
        <v>-0.094</v>
      </c>
      <c r="L33" s="600" t="n">
        <f aca="false">L93</f>
        <v>1.589</v>
      </c>
      <c r="M33" s="600" t="n">
        <f aca="false">M93</f>
        <v>555.587</v>
      </c>
      <c r="N33" s="600" t="n">
        <f aca="false">N93</f>
        <v>-79.862</v>
      </c>
      <c r="O33" s="600" t="n">
        <f aca="false">O93</f>
        <v>20.897</v>
      </c>
      <c r="P33" s="600" t="n">
        <f aca="false">P93</f>
        <v>21.949</v>
      </c>
      <c r="Q33" s="600" t="n">
        <f aca="false">Q93</f>
        <v>6.731</v>
      </c>
      <c r="R33" s="600" t="n">
        <f aca="false">R93</f>
        <v>-0.256</v>
      </c>
      <c r="S33" s="600" t="n">
        <f aca="false">S93</f>
        <v>87.049</v>
      </c>
      <c r="T33" s="600" t="n">
        <f aca="false">T93</f>
        <v>38.5</v>
      </c>
      <c r="U33" s="600" t="n">
        <f aca="false">U93</f>
        <v>834.608</v>
      </c>
      <c r="V33" s="600" t="n">
        <f aca="false">V93</f>
        <v>162.288</v>
      </c>
      <c r="W33" s="600" t="n">
        <f aca="false">W93</f>
        <v>1224.26466666667</v>
      </c>
      <c r="X33" s="600" t="n">
        <f aca="false">X93</f>
        <v>1071.96566666667</v>
      </c>
      <c r="Y33" s="159" t="n">
        <v>0</v>
      </c>
      <c r="Z33" s="159" t="n">
        <v>0</v>
      </c>
      <c r="AA33" s="159" t="n">
        <v>0</v>
      </c>
      <c r="AB33" s="159" t="n">
        <v>0</v>
      </c>
      <c r="AC33" s="159" t="n">
        <v>0</v>
      </c>
      <c r="AD33" s="159" t="n">
        <v>0</v>
      </c>
      <c r="AE33" s="159" t="n">
        <v>0</v>
      </c>
      <c r="AF33" s="756" t="n">
        <f aca="false">$C$36-SUM($E33:AE33)</f>
        <v>1745.11678346667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0</v>
      </c>
      <c r="AN33" s="159" t="n">
        <v>0</v>
      </c>
      <c r="AO33" s="85"/>
      <c r="AP33" s="586" t="n">
        <f aca="false">SUM(E33:AO33)</f>
        <v>8576.6381168</v>
      </c>
      <c r="AQ33" s="754" t="n">
        <f aca="false">AQ32+1</f>
        <v>27</v>
      </c>
      <c r="AR33" s="742"/>
      <c r="AS33" s="742"/>
      <c r="AT33" s="742"/>
      <c r="AU33" s="742"/>
      <c r="AV33" s="742"/>
      <c r="AW33" s="742"/>
      <c r="AX33" s="742"/>
      <c r="AY33" s="742"/>
      <c r="AZ33" s="742"/>
      <c r="BA33" s="742"/>
      <c r="BB33" s="742"/>
      <c r="BC33" s="742"/>
      <c r="BD33" s="742"/>
      <c r="BE33" s="742"/>
      <c r="BF33" s="742"/>
      <c r="BG33" s="742"/>
      <c r="BH33" s="742"/>
      <c r="BI33" s="742"/>
      <c r="BJ33" s="742"/>
      <c r="BK33" s="742"/>
      <c r="BL33" s="742"/>
      <c r="BM33" s="742"/>
      <c r="BN33" s="742"/>
      <c r="BO33" s="742"/>
      <c r="BP33" s="742"/>
      <c r="BQ33" s="742"/>
      <c r="BR33" s="742"/>
      <c r="BS33" s="742"/>
      <c r="BT33" s="742"/>
      <c r="BU33" s="742"/>
      <c r="BV33" s="742"/>
      <c r="BW33" s="742"/>
      <c r="BX33" s="742"/>
      <c r="BY33" s="742"/>
      <c r="BZ33" s="742"/>
      <c r="CA33" s="742"/>
      <c r="CB33" s="742"/>
      <c r="CC33" s="742"/>
      <c r="CD33" s="742"/>
      <c r="CE33" s="742"/>
      <c r="CF33" s="742"/>
      <c r="CG33" s="742"/>
      <c r="CH33" s="742"/>
      <c r="CI33" s="742"/>
      <c r="CJ33" s="742"/>
      <c r="CK33" s="742"/>
      <c r="CL33" s="742"/>
      <c r="CM33" s="742"/>
      <c r="CN33" s="742"/>
      <c r="CO33" s="742"/>
      <c r="CP33" s="742"/>
      <c r="CQ33" s="742"/>
      <c r="CR33" s="742"/>
      <c r="CS33" s="742"/>
      <c r="CT33" s="742"/>
      <c r="CU33" s="742"/>
      <c r="CV33" s="742"/>
      <c r="CW33" s="742"/>
      <c r="CX33" s="742"/>
      <c r="CY33" s="742"/>
      <c r="CZ33" s="742"/>
      <c r="DA33" s="742"/>
      <c r="DB33" s="742"/>
      <c r="DC33" s="742"/>
      <c r="DD33" s="742"/>
      <c r="DE33" s="742"/>
      <c r="DF33" s="742"/>
      <c r="DG33" s="742"/>
      <c r="DH33" s="742"/>
      <c r="DI33" s="742"/>
      <c r="DJ33" s="742"/>
      <c r="DK33" s="742"/>
      <c r="DL33" s="742"/>
      <c r="DM33" s="742"/>
      <c r="DN33" s="742"/>
      <c r="DO33" s="742"/>
      <c r="DP33" s="742"/>
      <c r="DQ33" s="742"/>
      <c r="DR33" s="742"/>
      <c r="DS33" s="742"/>
      <c r="DT33" s="742"/>
      <c r="DU33" s="742"/>
      <c r="DV33" s="742"/>
      <c r="DW33" s="742"/>
      <c r="DX33" s="742"/>
      <c r="DY33" s="742"/>
      <c r="DZ33" s="742"/>
      <c r="EA33" s="742"/>
      <c r="EB33" s="742"/>
      <c r="EC33" s="742"/>
      <c r="ED33" s="742"/>
      <c r="EE33" s="742"/>
      <c r="EF33" s="742"/>
      <c r="EG33" s="742"/>
      <c r="EH33" s="742"/>
      <c r="EI33" s="742"/>
      <c r="EJ33" s="742"/>
      <c r="EK33" s="742"/>
      <c r="EL33" s="742"/>
      <c r="EM33" s="742"/>
      <c r="EN33" s="742"/>
      <c r="EO33" s="742"/>
      <c r="EP33" s="742"/>
      <c r="EQ33" s="742"/>
      <c r="ER33" s="742"/>
      <c r="ES33" s="742"/>
      <c r="ET33" s="742"/>
      <c r="EU33" s="742"/>
      <c r="EV33" s="742"/>
      <c r="EW33" s="742"/>
      <c r="EX33" s="742"/>
      <c r="EY33" s="742"/>
      <c r="EZ33" s="742"/>
      <c r="FA33" s="742"/>
      <c r="FB33" s="742"/>
      <c r="FC33" s="742"/>
      <c r="FD33" s="742"/>
      <c r="FE33" s="742"/>
      <c r="FF33" s="742"/>
      <c r="FG33" s="742"/>
      <c r="FH33" s="742"/>
      <c r="FI33" s="742"/>
      <c r="FJ33" s="742"/>
      <c r="FK33" s="742"/>
      <c r="FL33" s="742"/>
      <c r="FM33" s="742"/>
      <c r="FN33" s="742"/>
      <c r="FO33" s="742"/>
      <c r="FP33" s="742"/>
      <c r="FQ33" s="742"/>
      <c r="FR33" s="742"/>
      <c r="FS33" s="742"/>
      <c r="FT33" s="742"/>
      <c r="FU33" s="742"/>
      <c r="FV33" s="742"/>
      <c r="FW33" s="742"/>
      <c r="FX33" s="742"/>
      <c r="FY33" s="742"/>
      <c r="FZ33" s="742"/>
      <c r="GA33" s="742"/>
      <c r="GB33" s="742"/>
      <c r="GC33" s="742"/>
      <c r="GD33" s="742"/>
      <c r="GE33" s="742"/>
      <c r="GF33" s="742"/>
      <c r="GG33" s="742"/>
      <c r="GH33" s="742"/>
      <c r="GI33" s="742"/>
      <c r="GJ33" s="742"/>
      <c r="GK33" s="742"/>
      <c r="GL33" s="742"/>
      <c r="GM33" s="742"/>
      <c r="GN33" s="742"/>
      <c r="GO33" s="742"/>
      <c r="GP33" s="742"/>
      <c r="GQ33" s="742"/>
      <c r="GR33" s="742"/>
      <c r="GS33" s="742"/>
      <c r="GT33" s="742"/>
      <c r="GU33" s="742"/>
      <c r="GV33" s="742"/>
      <c r="GW33" s="742"/>
      <c r="GX33" s="742"/>
      <c r="GY33" s="742"/>
      <c r="GZ33" s="742"/>
      <c r="HA33" s="742"/>
      <c r="HB33" s="742"/>
      <c r="HC33" s="742"/>
      <c r="HD33" s="742"/>
      <c r="HE33" s="742"/>
      <c r="HF33" s="742"/>
      <c r="HG33" s="742"/>
      <c r="HH33" s="742"/>
      <c r="HI33" s="742"/>
      <c r="HJ33" s="742"/>
      <c r="HK33" s="742"/>
      <c r="HL33" s="742"/>
      <c r="HM33" s="742"/>
      <c r="HN33" s="742"/>
      <c r="HO33" s="742"/>
      <c r="HP33" s="742"/>
      <c r="HQ33" s="742"/>
      <c r="HR33" s="742"/>
      <c r="HS33" s="742"/>
      <c r="HT33" s="742"/>
      <c r="HU33" s="742"/>
      <c r="HV33" s="742"/>
      <c r="HW33" s="742"/>
      <c r="HX33" s="742"/>
      <c r="HY33" s="742"/>
      <c r="HZ33" s="742"/>
      <c r="IA33" s="742"/>
      <c r="IB33" s="742"/>
      <c r="IC33" s="742"/>
      <c r="ID33" s="742"/>
      <c r="IE33" s="742"/>
      <c r="IF33" s="742"/>
      <c r="IG33" s="742"/>
      <c r="IH33" s="742"/>
      <c r="II33" s="742"/>
      <c r="IJ33" s="742"/>
      <c r="IK33" s="742"/>
      <c r="IL33" s="742"/>
      <c r="IM33" s="742"/>
      <c r="IN33" s="742"/>
      <c r="IO33" s="742"/>
      <c r="IP33" s="742"/>
      <c r="IQ33" s="742"/>
      <c r="IR33" s="742"/>
      <c r="IS33" s="742"/>
      <c r="IT33" s="742"/>
      <c r="IU33" s="742"/>
      <c r="IV33" s="742"/>
      <c r="IW33" s="742"/>
    </row>
    <row r="34" customFormat="false" ht="12.75" hidden="false" customHeight="false" outlineLevel="0" collapsed="false">
      <c r="A34" s="755" t="str">
        <f aca="false">Assm!N35</f>
        <v>Development Fee</v>
      </c>
      <c r="B34" s="114"/>
      <c r="C34" s="176" t="n">
        <f aca="false">Assm!R35</f>
        <v>0</v>
      </c>
      <c r="D34" s="85"/>
      <c r="E34" s="159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 t="n">
        <v>0</v>
      </c>
      <c r="K34" s="159" t="n">
        <v>0</v>
      </c>
      <c r="L34" s="159" t="n">
        <v>0</v>
      </c>
      <c r="M34" s="159" t="n">
        <v>0</v>
      </c>
      <c r="N34" s="159" t="n">
        <v>0</v>
      </c>
      <c r="O34" s="159" t="n">
        <v>0</v>
      </c>
      <c r="P34" s="159" t="n">
        <v>0</v>
      </c>
      <c r="Q34" s="159" t="n">
        <v>0</v>
      </c>
      <c r="R34" s="159" t="n">
        <v>0</v>
      </c>
      <c r="S34" s="159" t="n">
        <v>0</v>
      </c>
      <c r="T34" s="159" t="n">
        <v>0</v>
      </c>
      <c r="U34" s="159" t="n">
        <v>0</v>
      </c>
      <c r="V34" s="159" t="n">
        <v>0</v>
      </c>
      <c r="W34" s="159" t="n">
        <v>0</v>
      </c>
      <c r="X34" s="159" t="n">
        <v>0</v>
      </c>
      <c r="Y34" s="159" t="n">
        <v>0</v>
      </c>
      <c r="Z34" s="159" t="n">
        <v>0</v>
      </c>
      <c r="AA34" s="159" t="n">
        <v>0</v>
      </c>
      <c r="AB34" s="159" t="n">
        <v>0</v>
      </c>
      <c r="AC34" s="159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85"/>
      <c r="AP34" s="586" t="n">
        <f aca="false">SUM(E34:AO34)</f>
        <v>0</v>
      </c>
      <c r="AQ34" s="754" t="n">
        <f aca="false">AQ33+1</f>
        <v>28</v>
      </c>
      <c r="AR34" s="742"/>
      <c r="AS34" s="742"/>
      <c r="AT34" s="742"/>
      <c r="AU34" s="742"/>
      <c r="AV34" s="742"/>
      <c r="AW34" s="742"/>
      <c r="AX34" s="742"/>
      <c r="AY34" s="742"/>
      <c r="AZ34" s="742"/>
      <c r="BA34" s="742"/>
      <c r="BB34" s="742"/>
      <c r="BC34" s="742"/>
      <c r="BD34" s="742"/>
      <c r="BE34" s="742"/>
      <c r="BF34" s="742"/>
      <c r="BG34" s="742"/>
      <c r="BH34" s="742"/>
      <c r="BI34" s="742"/>
      <c r="BJ34" s="742"/>
      <c r="BK34" s="742"/>
      <c r="BL34" s="742"/>
      <c r="BM34" s="742"/>
      <c r="BN34" s="742"/>
      <c r="BO34" s="742"/>
      <c r="BP34" s="742"/>
      <c r="BQ34" s="742"/>
      <c r="BR34" s="742"/>
      <c r="BS34" s="742"/>
      <c r="BT34" s="742"/>
      <c r="BU34" s="742"/>
      <c r="BV34" s="742"/>
      <c r="BW34" s="742"/>
      <c r="BX34" s="742"/>
      <c r="BY34" s="742"/>
      <c r="BZ34" s="742"/>
      <c r="CA34" s="742"/>
      <c r="CB34" s="742"/>
      <c r="CC34" s="742"/>
      <c r="CD34" s="742"/>
      <c r="CE34" s="742"/>
      <c r="CF34" s="742"/>
      <c r="CG34" s="742"/>
      <c r="CH34" s="742"/>
      <c r="CI34" s="742"/>
      <c r="CJ34" s="742"/>
      <c r="CK34" s="742"/>
      <c r="CL34" s="742"/>
      <c r="CM34" s="742"/>
      <c r="CN34" s="742"/>
      <c r="CO34" s="742"/>
      <c r="CP34" s="742"/>
      <c r="CQ34" s="742"/>
      <c r="CR34" s="742"/>
      <c r="CS34" s="742"/>
      <c r="CT34" s="742"/>
      <c r="CU34" s="742"/>
      <c r="CV34" s="742"/>
      <c r="CW34" s="742"/>
      <c r="CX34" s="742"/>
      <c r="CY34" s="742"/>
      <c r="CZ34" s="742"/>
      <c r="DA34" s="742"/>
      <c r="DB34" s="742"/>
      <c r="DC34" s="742"/>
      <c r="DD34" s="742"/>
      <c r="DE34" s="742"/>
      <c r="DF34" s="742"/>
      <c r="DG34" s="742"/>
      <c r="DH34" s="742"/>
      <c r="DI34" s="742"/>
      <c r="DJ34" s="742"/>
      <c r="DK34" s="742"/>
      <c r="DL34" s="742"/>
      <c r="DM34" s="742"/>
      <c r="DN34" s="742"/>
      <c r="DO34" s="742"/>
      <c r="DP34" s="742"/>
      <c r="DQ34" s="742"/>
      <c r="DR34" s="742"/>
      <c r="DS34" s="742"/>
      <c r="DT34" s="742"/>
      <c r="DU34" s="742"/>
      <c r="DV34" s="742"/>
      <c r="DW34" s="742"/>
      <c r="DX34" s="742"/>
      <c r="DY34" s="742"/>
      <c r="DZ34" s="742"/>
      <c r="EA34" s="742"/>
      <c r="EB34" s="742"/>
      <c r="EC34" s="742"/>
      <c r="ED34" s="742"/>
      <c r="EE34" s="742"/>
      <c r="EF34" s="742"/>
      <c r="EG34" s="742"/>
      <c r="EH34" s="742"/>
      <c r="EI34" s="742"/>
      <c r="EJ34" s="742"/>
      <c r="EK34" s="742"/>
      <c r="EL34" s="742"/>
      <c r="EM34" s="742"/>
      <c r="EN34" s="742"/>
      <c r="EO34" s="742"/>
      <c r="EP34" s="742"/>
      <c r="EQ34" s="742"/>
      <c r="ER34" s="742"/>
      <c r="ES34" s="742"/>
      <c r="ET34" s="742"/>
      <c r="EU34" s="742"/>
      <c r="EV34" s="742"/>
      <c r="EW34" s="742"/>
      <c r="EX34" s="742"/>
      <c r="EY34" s="742"/>
      <c r="EZ34" s="742"/>
      <c r="FA34" s="742"/>
      <c r="FB34" s="742"/>
      <c r="FC34" s="742"/>
      <c r="FD34" s="742"/>
      <c r="FE34" s="742"/>
      <c r="FF34" s="742"/>
      <c r="FG34" s="742"/>
      <c r="FH34" s="742"/>
      <c r="FI34" s="742"/>
      <c r="FJ34" s="742"/>
      <c r="FK34" s="742"/>
      <c r="FL34" s="742"/>
      <c r="FM34" s="742"/>
      <c r="FN34" s="742"/>
      <c r="FO34" s="742"/>
      <c r="FP34" s="742"/>
      <c r="FQ34" s="742"/>
      <c r="FR34" s="742"/>
      <c r="FS34" s="742"/>
      <c r="FT34" s="742"/>
      <c r="FU34" s="742"/>
      <c r="FV34" s="742"/>
      <c r="FW34" s="742"/>
      <c r="FX34" s="742"/>
      <c r="FY34" s="742"/>
      <c r="FZ34" s="742"/>
      <c r="GA34" s="742"/>
      <c r="GB34" s="742"/>
      <c r="GC34" s="742"/>
      <c r="GD34" s="742"/>
      <c r="GE34" s="742"/>
      <c r="GF34" s="742"/>
      <c r="GG34" s="742"/>
      <c r="GH34" s="742"/>
      <c r="GI34" s="742"/>
      <c r="GJ34" s="742"/>
      <c r="GK34" s="742"/>
      <c r="GL34" s="742"/>
      <c r="GM34" s="742"/>
      <c r="GN34" s="742"/>
      <c r="GO34" s="742"/>
      <c r="GP34" s="742"/>
      <c r="GQ34" s="742"/>
      <c r="GR34" s="742"/>
      <c r="GS34" s="742"/>
      <c r="GT34" s="742"/>
      <c r="GU34" s="742"/>
      <c r="GV34" s="742"/>
      <c r="GW34" s="742"/>
      <c r="GX34" s="742"/>
      <c r="GY34" s="742"/>
      <c r="GZ34" s="742"/>
      <c r="HA34" s="742"/>
      <c r="HB34" s="742"/>
      <c r="HC34" s="742"/>
      <c r="HD34" s="742"/>
      <c r="HE34" s="742"/>
      <c r="HF34" s="742"/>
      <c r="HG34" s="742"/>
      <c r="HH34" s="742"/>
      <c r="HI34" s="742"/>
      <c r="HJ34" s="742"/>
      <c r="HK34" s="742"/>
      <c r="HL34" s="742"/>
      <c r="HM34" s="742"/>
      <c r="HN34" s="742"/>
      <c r="HO34" s="742"/>
      <c r="HP34" s="742"/>
      <c r="HQ34" s="742"/>
      <c r="HR34" s="742"/>
      <c r="HS34" s="742"/>
      <c r="HT34" s="742"/>
      <c r="HU34" s="742"/>
      <c r="HV34" s="742"/>
      <c r="HW34" s="742"/>
      <c r="HX34" s="742"/>
      <c r="HY34" s="742"/>
      <c r="HZ34" s="742"/>
      <c r="IA34" s="742"/>
      <c r="IB34" s="742"/>
      <c r="IC34" s="742"/>
      <c r="ID34" s="742"/>
      <c r="IE34" s="742"/>
      <c r="IF34" s="742"/>
      <c r="IG34" s="742"/>
      <c r="IH34" s="742"/>
      <c r="II34" s="742"/>
      <c r="IJ34" s="742"/>
      <c r="IK34" s="742"/>
      <c r="IL34" s="742"/>
      <c r="IM34" s="742"/>
      <c r="IN34" s="742"/>
      <c r="IO34" s="742"/>
      <c r="IP34" s="742"/>
      <c r="IQ34" s="742"/>
      <c r="IR34" s="742"/>
      <c r="IS34" s="742"/>
      <c r="IT34" s="742"/>
      <c r="IU34" s="742"/>
      <c r="IV34" s="742"/>
      <c r="IW34" s="742"/>
    </row>
    <row r="35" customFormat="false" ht="12.75" hidden="false" customHeight="false" outlineLevel="0" collapsed="false">
      <c r="A35" s="755" t="str">
        <f aca="false">Assm!N36</f>
        <v>Operations Mobilization</v>
      </c>
      <c r="B35" s="114"/>
      <c r="C35" s="588" t="n">
        <f aca="false">Assm!R36</f>
        <v>1192</v>
      </c>
      <c r="D35" s="757"/>
      <c r="E35" s="181" t="n">
        <v>0</v>
      </c>
      <c r="F35" s="181" t="n">
        <v>0</v>
      </c>
      <c r="G35" s="181" t="n">
        <v>0</v>
      </c>
      <c r="H35" s="181" t="n">
        <v>0</v>
      </c>
      <c r="I35" s="181" t="n">
        <v>0</v>
      </c>
      <c r="J35" s="181" t="n">
        <v>0</v>
      </c>
      <c r="K35" s="181" t="n">
        <v>0</v>
      </c>
      <c r="L35" s="181" t="n">
        <v>0</v>
      </c>
      <c r="M35" s="181" t="n">
        <v>0</v>
      </c>
      <c r="N35" s="181" t="n">
        <v>0</v>
      </c>
      <c r="O35" s="181" t="n">
        <v>0</v>
      </c>
      <c r="P35" s="181" t="n">
        <v>0</v>
      </c>
      <c r="Q35" s="181" t="n">
        <v>0</v>
      </c>
      <c r="R35" s="181" t="n">
        <v>0</v>
      </c>
      <c r="S35" s="181" t="n">
        <v>0</v>
      </c>
      <c r="T35" s="181" t="n">
        <v>0</v>
      </c>
      <c r="U35" s="181" t="n">
        <v>0</v>
      </c>
      <c r="V35" s="181" t="n">
        <v>0</v>
      </c>
      <c r="W35" s="181" t="n">
        <v>0</v>
      </c>
      <c r="X35" s="181" t="n">
        <v>0</v>
      </c>
      <c r="Y35" s="181" t="n">
        <v>0</v>
      </c>
      <c r="Z35" s="181" t="n">
        <v>0</v>
      </c>
      <c r="AA35" s="181" t="n">
        <v>0</v>
      </c>
      <c r="AB35" s="181" t="n">
        <v>0</v>
      </c>
      <c r="AC35" s="181" t="n">
        <v>0</v>
      </c>
      <c r="AD35" s="181" t="n">
        <v>0</v>
      </c>
      <c r="AE35" s="181" t="n">
        <v>0</v>
      </c>
      <c r="AF35" s="181" t="n">
        <v>0</v>
      </c>
      <c r="AG35" s="181" t="n">
        <v>0</v>
      </c>
      <c r="AH35" s="181" t="n">
        <v>0</v>
      </c>
      <c r="AI35" s="181" t="n">
        <v>0</v>
      </c>
      <c r="AJ35" s="181" t="n">
        <v>0</v>
      </c>
      <c r="AK35" s="181" t="n">
        <v>0</v>
      </c>
      <c r="AL35" s="181" t="n">
        <v>0</v>
      </c>
      <c r="AM35" s="181" t="n">
        <v>0</v>
      </c>
      <c r="AN35" s="181" t="n">
        <v>0</v>
      </c>
      <c r="AO35" s="757"/>
      <c r="AP35" s="589" t="n">
        <f aca="false">SUM(E35:AO35)</f>
        <v>0</v>
      </c>
      <c r="AQ35" s="754" t="n">
        <f aca="false">AQ34+1</f>
        <v>29</v>
      </c>
      <c r="AR35" s="742"/>
      <c r="AS35" s="742"/>
      <c r="AT35" s="742"/>
      <c r="AU35" s="742"/>
      <c r="AV35" s="742"/>
      <c r="AW35" s="742"/>
      <c r="AX35" s="742"/>
      <c r="AY35" s="742"/>
      <c r="AZ35" s="742"/>
      <c r="BA35" s="742"/>
      <c r="BB35" s="742"/>
      <c r="BC35" s="742"/>
      <c r="BD35" s="742"/>
      <c r="BE35" s="742"/>
      <c r="BF35" s="742"/>
      <c r="BG35" s="742"/>
      <c r="BH35" s="742"/>
      <c r="BI35" s="742"/>
      <c r="BJ35" s="742"/>
      <c r="BK35" s="742"/>
      <c r="BL35" s="742"/>
      <c r="BM35" s="742"/>
      <c r="BN35" s="742"/>
      <c r="BO35" s="742"/>
      <c r="BP35" s="742"/>
      <c r="BQ35" s="742"/>
      <c r="BR35" s="742"/>
      <c r="BS35" s="742"/>
      <c r="BT35" s="742"/>
      <c r="BU35" s="742"/>
      <c r="BV35" s="742"/>
      <c r="BW35" s="742"/>
      <c r="BX35" s="742"/>
      <c r="BY35" s="742"/>
      <c r="BZ35" s="742"/>
      <c r="CA35" s="742"/>
      <c r="CB35" s="742"/>
      <c r="CC35" s="742"/>
      <c r="CD35" s="742"/>
      <c r="CE35" s="742"/>
      <c r="CF35" s="742"/>
      <c r="CG35" s="742"/>
      <c r="CH35" s="742"/>
      <c r="CI35" s="742"/>
      <c r="CJ35" s="742"/>
      <c r="CK35" s="742"/>
      <c r="CL35" s="742"/>
      <c r="CM35" s="742"/>
      <c r="CN35" s="742"/>
      <c r="CO35" s="742"/>
      <c r="CP35" s="742"/>
      <c r="CQ35" s="742"/>
      <c r="CR35" s="742"/>
      <c r="CS35" s="742"/>
      <c r="CT35" s="742"/>
      <c r="CU35" s="742"/>
      <c r="CV35" s="742"/>
      <c r="CW35" s="742"/>
      <c r="CX35" s="742"/>
      <c r="CY35" s="742"/>
      <c r="CZ35" s="742"/>
      <c r="DA35" s="742"/>
      <c r="DB35" s="742"/>
      <c r="DC35" s="742"/>
      <c r="DD35" s="742"/>
      <c r="DE35" s="742"/>
      <c r="DF35" s="742"/>
      <c r="DG35" s="742"/>
      <c r="DH35" s="742"/>
      <c r="DI35" s="742"/>
      <c r="DJ35" s="742"/>
      <c r="DK35" s="742"/>
      <c r="DL35" s="742"/>
      <c r="DM35" s="742"/>
      <c r="DN35" s="742"/>
      <c r="DO35" s="742"/>
      <c r="DP35" s="742"/>
      <c r="DQ35" s="742"/>
      <c r="DR35" s="742"/>
      <c r="DS35" s="742"/>
      <c r="DT35" s="742"/>
      <c r="DU35" s="742"/>
      <c r="DV35" s="742"/>
      <c r="DW35" s="742"/>
      <c r="DX35" s="742"/>
      <c r="DY35" s="742"/>
      <c r="DZ35" s="742"/>
      <c r="EA35" s="742"/>
      <c r="EB35" s="742"/>
      <c r="EC35" s="742"/>
      <c r="ED35" s="742"/>
      <c r="EE35" s="742"/>
      <c r="EF35" s="742"/>
      <c r="EG35" s="742"/>
      <c r="EH35" s="742"/>
      <c r="EI35" s="742"/>
      <c r="EJ35" s="742"/>
      <c r="EK35" s="742"/>
      <c r="EL35" s="742"/>
      <c r="EM35" s="742"/>
      <c r="EN35" s="742"/>
      <c r="EO35" s="742"/>
      <c r="EP35" s="742"/>
      <c r="EQ35" s="742"/>
      <c r="ER35" s="742"/>
      <c r="ES35" s="742"/>
      <c r="ET35" s="742"/>
      <c r="EU35" s="742"/>
      <c r="EV35" s="742"/>
      <c r="EW35" s="742"/>
      <c r="EX35" s="742"/>
      <c r="EY35" s="742"/>
      <c r="EZ35" s="742"/>
      <c r="FA35" s="742"/>
      <c r="FB35" s="742"/>
      <c r="FC35" s="742"/>
      <c r="FD35" s="742"/>
      <c r="FE35" s="742"/>
      <c r="FF35" s="742"/>
      <c r="FG35" s="742"/>
      <c r="FH35" s="742"/>
      <c r="FI35" s="742"/>
      <c r="FJ35" s="742"/>
      <c r="FK35" s="742"/>
      <c r="FL35" s="742"/>
      <c r="FM35" s="742"/>
      <c r="FN35" s="742"/>
      <c r="FO35" s="742"/>
      <c r="FP35" s="742"/>
      <c r="FQ35" s="742"/>
      <c r="FR35" s="742"/>
      <c r="FS35" s="742"/>
      <c r="FT35" s="742"/>
      <c r="FU35" s="742"/>
      <c r="FV35" s="742"/>
      <c r="FW35" s="742"/>
      <c r="FX35" s="742"/>
      <c r="FY35" s="742"/>
      <c r="FZ35" s="742"/>
      <c r="GA35" s="742"/>
      <c r="GB35" s="742"/>
      <c r="GC35" s="742"/>
      <c r="GD35" s="742"/>
      <c r="GE35" s="742"/>
      <c r="GF35" s="742"/>
      <c r="GG35" s="742"/>
      <c r="GH35" s="742"/>
      <c r="GI35" s="742"/>
      <c r="GJ35" s="742"/>
      <c r="GK35" s="742"/>
      <c r="GL35" s="742"/>
      <c r="GM35" s="742"/>
      <c r="GN35" s="742"/>
      <c r="GO35" s="742"/>
      <c r="GP35" s="742"/>
      <c r="GQ35" s="742"/>
      <c r="GR35" s="742"/>
      <c r="GS35" s="742"/>
      <c r="GT35" s="742"/>
      <c r="GU35" s="742"/>
      <c r="GV35" s="742"/>
      <c r="GW35" s="742"/>
      <c r="GX35" s="742"/>
      <c r="GY35" s="742"/>
      <c r="GZ35" s="742"/>
      <c r="HA35" s="742"/>
      <c r="HB35" s="742"/>
      <c r="HC35" s="742"/>
      <c r="HD35" s="742"/>
      <c r="HE35" s="742"/>
      <c r="HF35" s="742"/>
      <c r="HG35" s="742"/>
      <c r="HH35" s="742"/>
      <c r="HI35" s="742"/>
      <c r="HJ35" s="742"/>
      <c r="HK35" s="742"/>
      <c r="HL35" s="742"/>
      <c r="HM35" s="742"/>
      <c r="HN35" s="742"/>
      <c r="HO35" s="742"/>
      <c r="HP35" s="742"/>
      <c r="HQ35" s="742"/>
      <c r="HR35" s="742"/>
      <c r="HS35" s="742"/>
      <c r="HT35" s="742"/>
      <c r="HU35" s="742"/>
      <c r="HV35" s="742"/>
      <c r="HW35" s="742"/>
      <c r="HX35" s="742"/>
      <c r="HY35" s="742"/>
      <c r="HZ35" s="742"/>
      <c r="IA35" s="742"/>
      <c r="IB35" s="742"/>
      <c r="IC35" s="742"/>
      <c r="ID35" s="742"/>
      <c r="IE35" s="742"/>
      <c r="IF35" s="742"/>
      <c r="IG35" s="742"/>
      <c r="IH35" s="742"/>
      <c r="II35" s="742"/>
      <c r="IJ35" s="742"/>
      <c r="IK35" s="742"/>
      <c r="IL35" s="742"/>
      <c r="IM35" s="742"/>
      <c r="IN35" s="742"/>
      <c r="IO35" s="742"/>
      <c r="IP35" s="742"/>
      <c r="IQ35" s="742"/>
      <c r="IR35" s="742"/>
      <c r="IS35" s="742"/>
      <c r="IT35" s="742"/>
      <c r="IU35" s="742"/>
      <c r="IV35" s="742"/>
      <c r="IW35" s="742"/>
    </row>
    <row r="36" customFormat="false" ht="12.75" hidden="false" customHeight="false" outlineLevel="0" collapsed="false">
      <c r="A36" s="755" t="str">
        <f aca="false">Assm!N37</f>
        <v>Total Development Costs / Fees</v>
      </c>
      <c r="B36" s="114"/>
      <c r="C36" s="176" t="n">
        <f aca="false">SUM(C33:C35)</f>
        <v>8576.6381168</v>
      </c>
      <c r="D36" s="85"/>
      <c r="E36" s="176" t="n">
        <f aca="false">SUM(E33:E35)</f>
        <v>2884.998</v>
      </c>
      <c r="F36" s="176" t="n">
        <f aca="false">SUM(F33:F35)</f>
        <v>0</v>
      </c>
      <c r="G36" s="176" t="n">
        <f aca="false">SUM(G33:G35)</f>
        <v>0</v>
      </c>
      <c r="H36" s="176" t="n">
        <f aca="false">SUM(H33:H35)</f>
        <v>0</v>
      </c>
      <c r="I36" s="176" t="n">
        <f aca="false">SUM(I33:I35)</f>
        <v>-0.078</v>
      </c>
      <c r="J36" s="176" t="n">
        <f aca="false">SUM(J33:J35)</f>
        <v>1.385</v>
      </c>
      <c r="K36" s="176" t="n">
        <f aca="false">SUM(K33:K35)</f>
        <v>-0.094</v>
      </c>
      <c r="L36" s="176" t="n">
        <f aca="false">SUM(L33:L35)</f>
        <v>1.589</v>
      </c>
      <c r="M36" s="176" t="n">
        <f aca="false">SUM(M33:M35)</f>
        <v>555.587</v>
      </c>
      <c r="N36" s="176" t="n">
        <f aca="false">SUM(N33:N35)</f>
        <v>-79.862</v>
      </c>
      <c r="O36" s="176" t="n">
        <f aca="false">SUM(O33:O35)</f>
        <v>20.897</v>
      </c>
      <c r="P36" s="176" t="n">
        <f aca="false">SUM(P33:P35)</f>
        <v>21.949</v>
      </c>
      <c r="Q36" s="176" t="n">
        <f aca="false">SUM(Q33:Q35)</f>
        <v>6.731</v>
      </c>
      <c r="R36" s="176" t="n">
        <f aca="false">SUM(R33:R35)</f>
        <v>-0.256</v>
      </c>
      <c r="S36" s="176" t="n">
        <f aca="false">SUM(S33:S35)</f>
        <v>87.049</v>
      </c>
      <c r="T36" s="176" t="n">
        <f aca="false">SUM(T33:T35)</f>
        <v>38.5</v>
      </c>
      <c r="U36" s="176" t="n">
        <f aca="false">SUM(U33:U35)</f>
        <v>834.608</v>
      </c>
      <c r="V36" s="176" t="n">
        <f aca="false">SUM(V33:V35)</f>
        <v>162.288</v>
      </c>
      <c r="W36" s="176" t="n">
        <f aca="false">SUM(W33:W35)</f>
        <v>1224.26466666667</v>
      </c>
      <c r="X36" s="176" t="n">
        <f aca="false">SUM(X33:X35)</f>
        <v>1071.96566666667</v>
      </c>
      <c r="Y36" s="176" t="n">
        <f aca="false">SUM(Y33:Y35)</f>
        <v>0</v>
      </c>
      <c r="Z36" s="176" t="n">
        <f aca="false">SUM(Z33:Z35)</f>
        <v>0</v>
      </c>
      <c r="AA36" s="176" t="n">
        <f aca="false">SUM(AA33:AA35)</f>
        <v>0</v>
      </c>
      <c r="AB36" s="176" t="n">
        <f aca="false">SUM(AB33:AB35)</f>
        <v>0</v>
      </c>
      <c r="AC36" s="176" t="n">
        <f aca="false">SUM(AC33:AC35)</f>
        <v>0</v>
      </c>
      <c r="AD36" s="176" t="n">
        <f aca="false">SUM(AD33:AD35)</f>
        <v>0</v>
      </c>
      <c r="AE36" s="176" t="n">
        <f aca="false">SUM(AE33:AE35)</f>
        <v>0</v>
      </c>
      <c r="AF36" s="176" t="n">
        <f aca="false">SUM(AF33:AF35)</f>
        <v>1745.11678346667</v>
      </c>
      <c r="AG36" s="176" t="n">
        <f aca="false">SUM(AG33:AG35)</f>
        <v>0</v>
      </c>
      <c r="AH36" s="176" t="n">
        <f aca="false">SUM(AH33:AH35)</f>
        <v>0</v>
      </c>
      <c r="AI36" s="176" t="n">
        <f aca="false">SUM(AI33:AI35)</f>
        <v>0</v>
      </c>
      <c r="AJ36" s="176" t="n">
        <f aca="false">SUM(AJ33:AJ35)</f>
        <v>0</v>
      </c>
      <c r="AK36" s="176" t="n">
        <f aca="false">SUM(AK33:AK35)</f>
        <v>0</v>
      </c>
      <c r="AL36" s="176" t="n">
        <f aca="false">SUM(AL33:AL35)</f>
        <v>0</v>
      </c>
      <c r="AM36" s="176" t="n">
        <f aca="false">SUM(AM33:AM35)</f>
        <v>0</v>
      </c>
      <c r="AN36" s="176" t="n">
        <f aca="false">SUM(AN33:AN35)</f>
        <v>0</v>
      </c>
      <c r="AO36" s="85"/>
      <c r="AP36" s="586" t="n">
        <f aca="false">SUM(E36:AO36)</f>
        <v>8576.6381168</v>
      </c>
      <c r="AQ36" s="754" t="n">
        <f aca="false">AQ35+1</f>
        <v>30</v>
      </c>
      <c r="AR36" s="742"/>
      <c r="AS36" s="742"/>
      <c r="AT36" s="742"/>
      <c r="AU36" s="742"/>
      <c r="AV36" s="742"/>
      <c r="AW36" s="742"/>
      <c r="AX36" s="742"/>
      <c r="AY36" s="742"/>
      <c r="AZ36" s="742"/>
      <c r="BA36" s="742"/>
      <c r="BB36" s="742"/>
      <c r="BC36" s="742"/>
      <c r="BD36" s="742"/>
      <c r="BE36" s="742"/>
      <c r="BF36" s="742"/>
      <c r="BG36" s="742"/>
      <c r="BH36" s="742"/>
      <c r="BI36" s="742"/>
      <c r="BJ36" s="742"/>
      <c r="BK36" s="742"/>
      <c r="BL36" s="742"/>
      <c r="BM36" s="742"/>
      <c r="BN36" s="742"/>
      <c r="BO36" s="742"/>
      <c r="BP36" s="742"/>
      <c r="BQ36" s="742"/>
      <c r="BR36" s="742"/>
      <c r="BS36" s="742"/>
      <c r="BT36" s="742"/>
      <c r="BU36" s="742"/>
      <c r="BV36" s="742"/>
      <c r="BW36" s="742"/>
      <c r="BX36" s="742"/>
      <c r="BY36" s="742"/>
      <c r="BZ36" s="742"/>
      <c r="CA36" s="742"/>
      <c r="CB36" s="742"/>
      <c r="CC36" s="742"/>
      <c r="CD36" s="742"/>
      <c r="CE36" s="742"/>
      <c r="CF36" s="742"/>
      <c r="CG36" s="742"/>
      <c r="CH36" s="742"/>
      <c r="CI36" s="742"/>
      <c r="CJ36" s="742"/>
      <c r="CK36" s="742"/>
      <c r="CL36" s="742"/>
      <c r="CM36" s="742"/>
      <c r="CN36" s="742"/>
      <c r="CO36" s="742"/>
      <c r="CP36" s="742"/>
      <c r="CQ36" s="742"/>
      <c r="CR36" s="742"/>
      <c r="CS36" s="742"/>
      <c r="CT36" s="742"/>
      <c r="CU36" s="742"/>
      <c r="CV36" s="742"/>
      <c r="CW36" s="742"/>
      <c r="CX36" s="742"/>
      <c r="CY36" s="742"/>
      <c r="CZ36" s="742"/>
      <c r="DA36" s="742"/>
      <c r="DB36" s="742"/>
      <c r="DC36" s="742"/>
      <c r="DD36" s="742"/>
      <c r="DE36" s="742"/>
      <c r="DF36" s="742"/>
      <c r="DG36" s="742"/>
      <c r="DH36" s="742"/>
      <c r="DI36" s="742"/>
      <c r="DJ36" s="742"/>
      <c r="DK36" s="742"/>
      <c r="DL36" s="742"/>
      <c r="DM36" s="742"/>
      <c r="DN36" s="742"/>
      <c r="DO36" s="742"/>
      <c r="DP36" s="742"/>
      <c r="DQ36" s="742"/>
      <c r="DR36" s="742"/>
      <c r="DS36" s="742"/>
      <c r="DT36" s="742"/>
      <c r="DU36" s="742"/>
      <c r="DV36" s="742"/>
      <c r="DW36" s="742"/>
      <c r="DX36" s="742"/>
      <c r="DY36" s="742"/>
      <c r="DZ36" s="742"/>
      <c r="EA36" s="742"/>
      <c r="EB36" s="742"/>
      <c r="EC36" s="742"/>
      <c r="ED36" s="742"/>
      <c r="EE36" s="742"/>
      <c r="EF36" s="742"/>
      <c r="EG36" s="742"/>
      <c r="EH36" s="742"/>
      <c r="EI36" s="742"/>
      <c r="EJ36" s="742"/>
      <c r="EK36" s="742"/>
      <c r="EL36" s="742"/>
      <c r="EM36" s="742"/>
      <c r="EN36" s="742"/>
      <c r="EO36" s="742"/>
      <c r="EP36" s="742"/>
      <c r="EQ36" s="742"/>
      <c r="ER36" s="742"/>
      <c r="ES36" s="742"/>
      <c r="ET36" s="742"/>
      <c r="EU36" s="742"/>
      <c r="EV36" s="742"/>
      <c r="EW36" s="742"/>
      <c r="EX36" s="742"/>
      <c r="EY36" s="742"/>
      <c r="EZ36" s="742"/>
      <c r="FA36" s="742"/>
      <c r="FB36" s="742"/>
      <c r="FC36" s="742"/>
      <c r="FD36" s="742"/>
      <c r="FE36" s="742"/>
      <c r="FF36" s="742"/>
      <c r="FG36" s="742"/>
      <c r="FH36" s="742"/>
      <c r="FI36" s="742"/>
      <c r="FJ36" s="742"/>
      <c r="FK36" s="742"/>
      <c r="FL36" s="742"/>
      <c r="FM36" s="742"/>
      <c r="FN36" s="742"/>
      <c r="FO36" s="742"/>
      <c r="FP36" s="742"/>
      <c r="FQ36" s="742"/>
      <c r="FR36" s="742"/>
      <c r="FS36" s="742"/>
      <c r="FT36" s="742"/>
      <c r="FU36" s="742"/>
      <c r="FV36" s="742"/>
      <c r="FW36" s="742"/>
      <c r="FX36" s="742"/>
      <c r="FY36" s="742"/>
      <c r="FZ36" s="742"/>
      <c r="GA36" s="742"/>
      <c r="GB36" s="742"/>
      <c r="GC36" s="742"/>
      <c r="GD36" s="742"/>
      <c r="GE36" s="742"/>
      <c r="GF36" s="742"/>
      <c r="GG36" s="742"/>
      <c r="GH36" s="742"/>
      <c r="GI36" s="742"/>
      <c r="GJ36" s="742"/>
      <c r="GK36" s="742"/>
      <c r="GL36" s="742"/>
      <c r="GM36" s="742"/>
      <c r="GN36" s="742"/>
      <c r="GO36" s="742"/>
      <c r="GP36" s="742"/>
      <c r="GQ36" s="742"/>
      <c r="GR36" s="742"/>
      <c r="GS36" s="742"/>
      <c r="GT36" s="742"/>
      <c r="GU36" s="742"/>
      <c r="GV36" s="742"/>
      <c r="GW36" s="742"/>
      <c r="GX36" s="742"/>
      <c r="GY36" s="742"/>
      <c r="GZ36" s="742"/>
      <c r="HA36" s="742"/>
      <c r="HB36" s="742"/>
      <c r="HC36" s="742"/>
      <c r="HD36" s="742"/>
      <c r="HE36" s="742"/>
      <c r="HF36" s="742"/>
      <c r="HG36" s="742"/>
      <c r="HH36" s="742"/>
      <c r="HI36" s="742"/>
      <c r="HJ36" s="742"/>
      <c r="HK36" s="742"/>
      <c r="HL36" s="742"/>
      <c r="HM36" s="742"/>
      <c r="HN36" s="742"/>
      <c r="HO36" s="742"/>
      <c r="HP36" s="742"/>
      <c r="HQ36" s="742"/>
      <c r="HR36" s="742"/>
      <c r="HS36" s="742"/>
      <c r="HT36" s="742"/>
      <c r="HU36" s="742"/>
      <c r="HV36" s="742"/>
      <c r="HW36" s="742"/>
      <c r="HX36" s="742"/>
      <c r="HY36" s="742"/>
      <c r="HZ36" s="742"/>
      <c r="IA36" s="742"/>
      <c r="IB36" s="742"/>
      <c r="IC36" s="742"/>
      <c r="ID36" s="742"/>
      <c r="IE36" s="742"/>
      <c r="IF36" s="742"/>
      <c r="IG36" s="742"/>
      <c r="IH36" s="742"/>
      <c r="II36" s="742"/>
      <c r="IJ36" s="742"/>
      <c r="IK36" s="742"/>
      <c r="IL36" s="742"/>
      <c r="IM36" s="742"/>
      <c r="IN36" s="742"/>
      <c r="IO36" s="742"/>
      <c r="IP36" s="742"/>
      <c r="IQ36" s="742"/>
      <c r="IR36" s="742"/>
      <c r="IS36" s="742"/>
      <c r="IT36" s="742"/>
      <c r="IU36" s="742"/>
      <c r="IV36" s="742"/>
      <c r="IW36" s="742"/>
    </row>
    <row r="37" customFormat="false" ht="12.75" hidden="false" customHeight="false" outlineLevel="0" collapsed="false">
      <c r="A37" s="755"/>
      <c r="B37" s="114"/>
      <c r="C37" s="85"/>
      <c r="D37" s="85"/>
      <c r="E37" s="760" t="n">
        <f aca="false">E76+E77</f>
        <v>0</v>
      </c>
      <c r="F37" s="760" t="n">
        <f aca="false">F76+F77</f>
        <v>0</v>
      </c>
      <c r="G37" s="760" t="n">
        <f aca="false">G76+G77</f>
        <v>0</v>
      </c>
      <c r="H37" s="760" t="n">
        <f aca="false">H76+H77</f>
        <v>0</v>
      </c>
      <c r="I37" s="760" t="n">
        <f aca="false">I76+I77</f>
        <v>0</v>
      </c>
      <c r="J37" s="760" t="n">
        <f aca="false">J76+J77</f>
        <v>4072.33637</v>
      </c>
      <c r="K37" s="760" t="n">
        <f aca="false">K76+K77</f>
        <v>0</v>
      </c>
      <c r="L37" s="760" t="n">
        <f aca="false">L76+L77</f>
        <v>0</v>
      </c>
      <c r="M37" s="760" t="n">
        <f aca="false">M76+M77</f>
        <v>6300</v>
      </c>
      <c r="N37" s="760" t="n">
        <f aca="false">N76+N77</f>
        <v>4327</v>
      </c>
      <c r="O37" s="760" t="n">
        <f aca="false">O76+O77</f>
        <v>2178</v>
      </c>
      <c r="P37" s="760" t="n">
        <f aca="false">P76+P77</f>
        <v>7899.509</v>
      </c>
      <c r="Q37" s="760" t="n">
        <f aca="false">Q76+Q77</f>
        <v>5560</v>
      </c>
      <c r="R37" s="760" t="n">
        <f aca="false">R76+R77</f>
        <v>4625</v>
      </c>
      <c r="S37" s="760" t="n">
        <f aca="false">S76+S77</f>
        <v>4996.159</v>
      </c>
      <c r="T37" s="760" t="n">
        <f aca="false">T76+T77</f>
        <v>19985.376</v>
      </c>
      <c r="U37" s="760" t="n">
        <f aca="false">U76+U77</f>
        <v>5445.704</v>
      </c>
      <c r="V37" s="760" t="n">
        <f aca="false">V76+V77</f>
        <v>0</v>
      </c>
      <c r="W37" s="760" t="n">
        <f aca="false">W76+W77</f>
        <v>5128</v>
      </c>
      <c r="X37" s="760" t="n">
        <f aca="false">X76+X77</f>
        <v>8600</v>
      </c>
      <c r="Y37" s="760" t="n">
        <f aca="false">Y76+Y77</f>
        <v>8200</v>
      </c>
      <c r="Z37" s="760" t="n">
        <f aca="false">Z76+Z77</f>
        <v>7594</v>
      </c>
      <c r="AA37" s="760" t="n">
        <f aca="false">AA76+AA77</f>
        <v>5990</v>
      </c>
      <c r="AB37" s="760" t="n">
        <f aca="false">AB76+AB77</f>
        <v>0</v>
      </c>
      <c r="AC37" s="760" t="n">
        <f aca="false">AC76+AC77</f>
        <v>5400</v>
      </c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753"/>
      <c r="AQ37" s="754" t="n">
        <f aca="false">AQ36+1</f>
        <v>31</v>
      </c>
      <c r="AR37" s="742"/>
      <c r="AS37" s="742"/>
      <c r="AT37" s="742"/>
      <c r="AU37" s="742"/>
      <c r="AV37" s="742"/>
      <c r="AW37" s="742"/>
      <c r="AX37" s="742"/>
      <c r="AY37" s="742"/>
      <c r="AZ37" s="742"/>
      <c r="BA37" s="742"/>
      <c r="BB37" s="742"/>
      <c r="BC37" s="742"/>
      <c r="BD37" s="742"/>
      <c r="BE37" s="742"/>
      <c r="BF37" s="742"/>
      <c r="BG37" s="742"/>
      <c r="BH37" s="742"/>
      <c r="BI37" s="742"/>
      <c r="BJ37" s="742"/>
      <c r="BK37" s="742"/>
      <c r="BL37" s="742"/>
      <c r="BM37" s="742"/>
      <c r="BN37" s="742"/>
      <c r="BO37" s="742"/>
      <c r="BP37" s="742"/>
      <c r="BQ37" s="742"/>
      <c r="BR37" s="742"/>
      <c r="BS37" s="742"/>
      <c r="BT37" s="742"/>
      <c r="BU37" s="742"/>
      <c r="BV37" s="742"/>
      <c r="BW37" s="742"/>
      <c r="BX37" s="742"/>
      <c r="BY37" s="742"/>
      <c r="BZ37" s="742"/>
      <c r="CA37" s="742"/>
      <c r="CB37" s="742"/>
      <c r="CC37" s="742"/>
      <c r="CD37" s="742"/>
      <c r="CE37" s="742"/>
      <c r="CF37" s="742"/>
      <c r="CG37" s="742"/>
      <c r="CH37" s="742"/>
      <c r="CI37" s="742"/>
      <c r="CJ37" s="742"/>
      <c r="CK37" s="742"/>
      <c r="CL37" s="742"/>
      <c r="CM37" s="742"/>
      <c r="CN37" s="742"/>
      <c r="CO37" s="742"/>
      <c r="CP37" s="742"/>
      <c r="CQ37" s="742"/>
      <c r="CR37" s="742"/>
      <c r="CS37" s="742"/>
      <c r="CT37" s="742"/>
      <c r="CU37" s="742"/>
      <c r="CV37" s="742"/>
      <c r="CW37" s="742"/>
      <c r="CX37" s="742"/>
      <c r="CY37" s="742"/>
      <c r="CZ37" s="742"/>
      <c r="DA37" s="742"/>
      <c r="DB37" s="742"/>
      <c r="DC37" s="742"/>
      <c r="DD37" s="742"/>
      <c r="DE37" s="742"/>
      <c r="DF37" s="742"/>
      <c r="DG37" s="742"/>
      <c r="DH37" s="742"/>
      <c r="DI37" s="742"/>
      <c r="DJ37" s="742"/>
      <c r="DK37" s="742"/>
      <c r="DL37" s="742"/>
      <c r="DM37" s="742"/>
      <c r="DN37" s="742"/>
      <c r="DO37" s="742"/>
      <c r="DP37" s="742"/>
      <c r="DQ37" s="742"/>
      <c r="DR37" s="742"/>
      <c r="DS37" s="742"/>
      <c r="DT37" s="742"/>
      <c r="DU37" s="742"/>
      <c r="DV37" s="742"/>
      <c r="DW37" s="742"/>
      <c r="DX37" s="742"/>
      <c r="DY37" s="742"/>
      <c r="DZ37" s="742"/>
      <c r="EA37" s="742"/>
      <c r="EB37" s="742"/>
      <c r="EC37" s="742"/>
      <c r="ED37" s="742"/>
      <c r="EE37" s="742"/>
      <c r="EF37" s="742"/>
      <c r="EG37" s="742"/>
      <c r="EH37" s="742"/>
      <c r="EI37" s="742"/>
      <c r="EJ37" s="742"/>
      <c r="EK37" s="742"/>
      <c r="EL37" s="742"/>
      <c r="EM37" s="742"/>
      <c r="EN37" s="742"/>
      <c r="EO37" s="742"/>
      <c r="EP37" s="742"/>
      <c r="EQ37" s="742"/>
      <c r="ER37" s="742"/>
      <c r="ES37" s="742"/>
      <c r="ET37" s="742"/>
      <c r="EU37" s="742"/>
      <c r="EV37" s="742"/>
      <c r="EW37" s="742"/>
      <c r="EX37" s="742"/>
      <c r="EY37" s="742"/>
      <c r="EZ37" s="742"/>
      <c r="FA37" s="742"/>
      <c r="FB37" s="742"/>
      <c r="FC37" s="742"/>
      <c r="FD37" s="742"/>
      <c r="FE37" s="742"/>
      <c r="FF37" s="742"/>
      <c r="FG37" s="742"/>
      <c r="FH37" s="742"/>
      <c r="FI37" s="742"/>
      <c r="FJ37" s="742"/>
      <c r="FK37" s="742"/>
      <c r="FL37" s="742"/>
      <c r="FM37" s="742"/>
      <c r="FN37" s="742"/>
      <c r="FO37" s="742"/>
      <c r="FP37" s="742"/>
      <c r="FQ37" s="742"/>
      <c r="FR37" s="742"/>
      <c r="FS37" s="742"/>
      <c r="FT37" s="742"/>
      <c r="FU37" s="742"/>
      <c r="FV37" s="742"/>
      <c r="FW37" s="742"/>
      <c r="FX37" s="742"/>
      <c r="FY37" s="742"/>
      <c r="FZ37" s="742"/>
      <c r="GA37" s="742"/>
      <c r="GB37" s="742"/>
      <c r="GC37" s="742"/>
      <c r="GD37" s="742"/>
      <c r="GE37" s="742"/>
      <c r="GF37" s="742"/>
      <c r="GG37" s="742"/>
      <c r="GH37" s="742"/>
      <c r="GI37" s="742"/>
      <c r="GJ37" s="742"/>
      <c r="GK37" s="742"/>
      <c r="GL37" s="742"/>
      <c r="GM37" s="742"/>
      <c r="GN37" s="742"/>
      <c r="GO37" s="742"/>
      <c r="GP37" s="742"/>
      <c r="GQ37" s="742"/>
      <c r="GR37" s="742"/>
      <c r="GS37" s="742"/>
      <c r="GT37" s="742"/>
      <c r="GU37" s="742"/>
      <c r="GV37" s="742"/>
      <c r="GW37" s="742"/>
      <c r="GX37" s="742"/>
      <c r="GY37" s="742"/>
      <c r="GZ37" s="742"/>
      <c r="HA37" s="742"/>
      <c r="HB37" s="742"/>
      <c r="HC37" s="742"/>
      <c r="HD37" s="742"/>
      <c r="HE37" s="742"/>
      <c r="HF37" s="742"/>
      <c r="HG37" s="742"/>
      <c r="HH37" s="742"/>
      <c r="HI37" s="742"/>
      <c r="HJ37" s="742"/>
      <c r="HK37" s="742"/>
      <c r="HL37" s="742"/>
      <c r="HM37" s="742"/>
      <c r="HN37" s="742"/>
      <c r="HO37" s="742"/>
      <c r="HP37" s="742"/>
      <c r="HQ37" s="742"/>
      <c r="HR37" s="742"/>
      <c r="HS37" s="742"/>
      <c r="HT37" s="742"/>
      <c r="HU37" s="742"/>
      <c r="HV37" s="742"/>
      <c r="HW37" s="742"/>
      <c r="HX37" s="742"/>
      <c r="HY37" s="742"/>
      <c r="HZ37" s="742"/>
      <c r="IA37" s="742"/>
      <c r="IB37" s="742"/>
      <c r="IC37" s="742"/>
      <c r="ID37" s="742"/>
      <c r="IE37" s="742"/>
      <c r="IF37" s="742"/>
      <c r="IG37" s="742"/>
      <c r="IH37" s="742"/>
      <c r="II37" s="742"/>
      <c r="IJ37" s="742"/>
      <c r="IK37" s="742"/>
      <c r="IL37" s="742"/>
      <c r="IM37" s="742"/>
      <c r="IN37" s="742"/>
      <c r="IO37" s="742"/>
      <c r="IP37" s="742"/>
      <c r="IQ37" s="742"/>
      <c r="IR37" s="742"/>
      <c r="IS37" s="742"/>
      <c r="IT37" s="742"/>
      <c r="IU37" s="742"/>
      <c r="IV37" s="742"/>
      <c r="IW37" s="742"/>
    </row>
    <row r="38" customFormat="false" ht="12.75" hidden="false" customHeight="false" outlineLevel="0" collapsed="false">
      <c r="A38" s="755" t="str">
        <f aca="false">Assm!N39</f>
        <v>Working Capital </v>
      </c>
      <c r="B38" s="114"/>
      <c r="C38" s="588" t="n">
        <f aca="false">Wcap</f>
        <v>0</v>
      </c>
      <c r="D38" s="85"/>
      <c r="E38" s="181" t="n">
        <f aca="false">E37-E49</f>
        <v>-4080.827</v>
      </c>
      <c r="F38" s="181" t="n">
        <f aca="false">F37-F49</f>
        <v>0</v>
      </c>
      <c r="G38" s="181" t="n">
        <f aca="false">G37-G49</f>
        <v>0</v>
      </c>
      <c r="H38" s="181" t="n">
        <f aca="false">H37-H49</f>
        <v>-189.338</v>
      </c>
      <c r="I38" s="181" t="n">
        <f aca="false">I37-I49</f>
        <v>-37.533</v>
      </c>
      <c r="J38" s="181" t="n">
        <f aca="false">J37-J49</f>
        <v>4048.33937</v>
      </c>
      <c r="K38" s="181" t="n">
        <f aca="false">K37-K49</f>
        <v>-3.651</v>
      </c>
      <c r="L38" s="181" t="n">
        <f aca="false">L37-L49</f>
        <v>-337.028</v>
      </c>
      <c r="M38" s="181" t="n">
        <f aca="false">M37-M49</f>
        <v>-616.636</v>
      </c>
      <c r="N38" s="181" t="n">
        <f aca="false">N37-N49</f>
        <v>3984.669</v>
      </c>
      <c r="O38" s="181" t="n">
        <f aca="false">O37-O49</f>
        <v>-2562.848</v>
      </c>
      <c r="P38" s="181" t="n">
        <f aca="false">P37-P49</f>
        <v>6282.683</v>
      </c>
      <c r="Q38" s="181" t="n">
        <f aca="false">Q37-Q49</f>
        <v>884.873000000001</v>
      </c>
      <c r="R38" s="181" t="n">
        <f aca="false">R37-R49</f>
        <v>1256.899</v>
      </c>
      <c r="S38" s="181" t="n">
        <f aca="false">S37-S49</f>
        <v>-507.411</v>
      </c>
      <c r="T38" s="181" t="n">
        <f aca="false">T37-T49</f>
        <v>8131.969</v>
      </c>
      <c r="U38" s="181" t="n">
        <f aca="false">U37-U49</f>
        <v>185.114</v>
      </c>
      <c r="V38" s="181" t="n">
        <f aca="false">V37-V49</f>
        <v>-8667.643</v>
      </c>
      <c r="W38" s="181" t="n">
        <f aca="false">W37-W49</f>
        <v>-3407.39936666667</v>
      </c>
      <c r="X38" s="181" t="n">
        <f aca="false">X37-X49</f>
        <v>-429.918666666666</v>
      </c>
      <c r="Y38" s="181" t="n">
        <f aca="false">Y37-Y49</f>
        <v>0</v>
      </c>
      <c r="Z38" s="181" t="n">
        <f aca="false">Z37-Z49</f>
        <v>0</v>
      </c>
      <c r="AA38" s="181" t="n">
        <f aca="false">AA37-AA49</f>
        <v>0</v>
      </c>
      <c r="AB38" s="181" t="n">
        <f aca="false">AB37-AB49</f>
        <v>0</v>
      </c>
      <c r="AC38" s="181" t="n">
        <f aca="false">AC37-AC49</f>
        <v>0</v>
      </c>
      <c r="AD38" s="181" t="n">
        <v>0</v>
      </c>
      <c r="AE38" s="181" t="n">
        <v>0</v>
      </c>
      <c r="AF38" s="181" t="n">
        <v>0</v>
      </c>
      <c r="AG38" s="181" t="n">
        <v>0</v>
      </c>
      <c r="AH38" s="181" t="n">
        <v>0</v>
      </c>
      <c r="AI38" s="181" t="n">
        <v>0</v>
      </c>
      <c r="AJ38" s="181" t="n">
        <v>0</v>
      </c>
      <c r="AK38" s="181" t="n">
        <f aca="false">-SUM(E38:AJ38)</f>
        <v>-3934.31333666667</v>
      </c>
      <c r="AL38" s="181" t="n">
        <v>0</v>
      </c>
      <c r="AM38" s="181" t="n">
        <v>0</v>
      </c>
      <c r="AN38" s="181" t="n">
        <v>0</v>
      </c>
      <c r="AO38" s="85"/>
      <c r="AP38" s="589" t="n">
        <f aca="false">SUM(E38:AO38)</f>
        <v>0</v>
      </c>
      <c r="AQ38" s="754" t="n">
        <f aca="false">AQ37+1</f>
        <v>32</v>
      </c>
      <c r="AR38" s="742"/>
      <c r="AS38" s="742"/>
      <c r="AT38" s="742"/>
      <c r="AU38" s="742"/>
      <c r="AV38" s="742"/>
      <c r="AW38" s="742"/>
      <c r="AX38" s="742"/>
      <c r="AY38" s="742"/>
      <c r="AZ38" s="742"/>
      <c r="BA38" s="742"/>
      <c r="BB38" s="742"/>
      <c r="BC38" s="742"/>
      <c r="BD38" s="742"/>
      <c r="BE38" s="742"/>
      <c r="BF38" s="742"/>
      <c r="BG38" s="742"/>
      <c r="BH38" s="742"/>
      <c r="BI38" s="742"/>
      <c r="BJ38" s="742"/>
      <c r="BK38" s="742"/>
      <c r="BL38" s="742"/>
      <c r="BM38" s="742"/>
      <c r="BN38" s="742"/>
      <c r="BO38" s="742"/>
      <c r="BP38" s="742"/>
      <c r="BQ38" s="742"/>
      <c r="BR38" s="742"/>
      <c r="BS38" s="742"/>
      <c r="BT38" s="742"/>
      <c r="BU38" s="742"/>
      <c r="BV38" s="742"/>
      <c r="BW38" s="742"/>
      <c r="BX38" s="742"/>
      <c r="BY38" s="742"/>
      <c r="BZ38" s="742"/>
      <c r="CA38" s="742"/>
      <c r="CB38" s="742"/>
      <c r="CC38" s="742"/>
      <c r="CD38" s="742"/>
      <c r="CE38" s="742"/>
      <c r="CF38" s="742"/>
      <c r="CG38" s="742"/>
      <c r="CH38" s="742"/>
      <c r="CI38" s="742"/>
      <c r="CJ38" s="742"/>
      <c r="CK38" s="742"/>
      <c r="CL38" s="742"/>
      <c r="CM38" s="742"/>
      <c r="CN38" s="742"/>
      <c r="CO38" s="742"/>
      <c r="CP38" s="742"/>
      <c r="CQ38" s="742"/>
      <c r="CR38" s="742"/>
      <c r="CS38" s="742"/>
      <c r="CT38" s="742"/>
      <c r="CU38" s="742"/>
      <c r="CV38" s="742"/>
      <c r="CW38" s="742"/>
      <c r="CX38" s="742"/>
      <c r="CY38" s="742"/>
      <c r="CZ38" s="742"/>
      <c r="DA38" s="742"/>
      <c r="DB38" s="742"/>
      <c r="DC38" s="742"/>
      <c r="DD38" s="742"/>
      <c r="DE38" s="742"/>
      <c r="DF38" s="742"/>
      <c r="DG38" s="742"/>
      <c r="DH38" s="742"/>
      <c r="DI38" s="742"/>
      <c r="DJ38" s="742"/>
      <c r="DK38" s="742"/>
      <c r="DL38" s="742"/>
      <c r="DM38" s="742"/>
      <c r="DN38" s="742"/>
      <c r="DO38" s="742"/>
      <c r="DP38" s="742"/>
      <c r="DQ38" s="742"/>
      <c r="DR38" s="742"/>
      <c r="DS38" s="742"/>
      <c r="DT38" s="742"/>
      <c r="DU38" s="742"/>
      <c r="DV38" s="742"/>
      <c r="DW38" s="742"/>
      <c r="DX38" s="742"/>
      <c r="DY38" s="742"/>
      <c r="DZ38" s="742"/>
      <c r="EA38" s="742"/>
      <c r="EB38" s="742"/>
      <c r="EC38" s="742"/>
      <c r="ED38" s="742"/>
      <c r="EE38" s="742"/>
      <c r="EF38" s="742"/>
      <c r="EG38" s="742"/>
      <c r="EH38" s="742"/>
      <c r="EI38" s="742"/>
      <c r="EJ38" s="742"/>
      <c r="EK38" s="742"/>
      <c r="EL38" s="742"/>
      <c r="EM38" s="742"/>
      <c r="EN38" s="742"/>
      <c r="EO38" s="742"/>
      <c r="EP38" s="742"/>
      <c r="EQ38" s="742"/>
      <c r="ER38" s="742"/>
      <c r="ES38" s="742"/>
      <c r="ET38" s="742"/>
      <c r="EU38" s="742"/>
      <c r="EV38" s="742"/>
      <c r="EW38" s="742"/>
      <c r="EX38" s="742"/>
      <c r="EY38" s="742"/>
      <c r="EZ38" s="742"/>
      <c r="FA38" s="742"/>
      <c r="FB38" s="742"/>
      <c r="FC38" s="742"/>
      <c r="FD38" s="742"/>
      <c r="FE38" s="742"/>
      <c r="FF38" s="742"/>
      <c r="FG38" s="742"/>
      <c r="FH38" s="742"/>
      <c r="FI38" s="742"/>
      <c r="FJ38" s="742"/>
      <c r="FK38" s="742"/>
      <c r="FL38" s="742"/>
      <c r="FM38" s="742"/>
      <c r="FN38" s="742"/>
      <c r="FO38" s="742"/>
      <c r="FP38" s="742"/>
      <c r="FQ38" s="742"/>
      <c r="FR38" s="742"/>
      <c r="FS38" s="742"/>
      <c r="FT38" s="742"/>
      <c r="FU38" s="742"/>
      <c r="FV38" s="742"/>
      <c r="FW38" s="742"/>
      <c r="FX38" s="742"/>
      <c r="FY38" s="742"/>
      <c r="FZ38" s="742"/>
      <c r="GA38" s="742"/>
      <c r="GB38" s="742"/>
      <c r="GC38" s="742"/>
      <c r="GD38" s="742"/>
      <c r="GE38" s="742"/>
      <c r="GF38" s="742"/>
      <c r="GG38" s="742"/>
      <c r="GH38" s="742"/>
      <c r="GI38" s="742"/>
      <c r="GJ38" s="742"/>
      <c r="GK38" s="742"/>
      <c r="GL38" s="742"/>
      <c r="GM38" s="742"/>
      <c r="GN38" s="742"/>
      <c r="GO38" s="742"/>
      <c r="GP38" s="742"/>
      <c r="GQ38" s="742"/>
      <c r="GR38" s="742"/>
      <c r="GS38" s="742"/>
      <c r="GT38" s="742"/>
      <c r="GU38" s="742"/>
      <c r="GV38" s="742"/>
      <c r="GW38" s="742"/>
      <c r="GX38" s="742"/>
      <c r="GY38" s="742"/>
      <c r="GZ38" s="742"/>
      <c r="HA38" s="742"/>
      <c r="HB38" s="742"/>
      <c r="HC38" s="742"/>
      <c r="HD38" s="742"/>
      <c r="HE38" s="742"/>
      <c r="HF38" s="742"/>
      <c r="HG38" s="742"/>
      <c r="HH38" s="742"/>
      <c r="HI38" s="742"/>
      <c r="HJ38" s="742"/>
      <c r="HK38" s="742"/>
      <c r="HL38" s="742"/>
      <c r="HM38" s="742"/>
      <c r="HN38" s="742"/>
      <c r="HO38" s="742"/>
      <c r="HP38" s="742"/>
      <c r="HQ38" s="742"/>
      <c r="HR38" s="742"/>
      <c r="HS38" s="742"/>
      <c r="HT38" s="742"/>
      <c r="HU38" s="742"/>
      <c r="HV38" s="742"/>
      <c r="HW38" s="742"/>
      <c r="HX38" s="742"/>
      <c r="HY38" s="742"/>
      <c r="HZ38" s="742"/>
      <c r="IA38" s="742"/>
      <c r="IB38" s="742"/>
      <c r="IC38" s="742"/>
      <c r="ID38" s="742"/>
      <c r="IE38" s="742"/>
      <c r="IF38" s="742"/>
      <c r="IG38" s="742"/>
      <c r="IH38" s="742"/>
      <c r="II38" s="742"/>
      <c r="IJ38" s="742"/>
      <c r="IK38" s="742"/>
      <c r="IL38" s="742"/>
      <c r="IM38" s="742"/>
      <c r="IN38" s="742"/>
      <c r="IO38" s="742"/>
      <c r="IP38" s="742"/>
      <c r="IQ38" s="742"/>
      <c r="IR38" s="742"/>
      <c r="IS38" s="742"/>
      <c r="IT38" s="742"/>
      <c r="IU38" s="742"/>
      <c r="IV38" s="742"/>
      <c r="IW38" s="742"/>
    </row>
    <row r="39" customFormat="false" ht="12.75" hidden="false" customHeight="false" outlineLevel="0" collapsed="false">
      <c r="A39" s="755" t="str">
        <f aca="false">Assm!N40</f>
        <v>Total Other Costs</v>
      </c>
      <c r="B39" s="114"/>
      <c r="C39" s="176" t="n">
        <f aca="false">SUM(C38)</f>
        <v>0</v>
      </c>
      <c r="D39" s="85"/>
      <c r="E39" s="176" t="n">
        <f aca="false">SUM(E38)</f>
        <v>-4080.827</v>
      </c>
      <c r="F39" s="176" t="n">
        <f aca="false">SUM(F38)</f>
        <v>0</v>
      </c>
      <c r="G39" s="176" t="n">
        <f aca="false">SUM(G38)</f>
        <v>0</v>
      </c>
      <c r="H39" s="176" t="n">
        <f aca="false">SUM(H38)</f>
        <v>-189.338</v>
      </c>
      <c r="I39" s="176" t="n">
        <f aca="false">SUM(I38)</f>
        <v>-37.533</v>
      </c>
      <c r="J39" s="176" t="n">
        <f aca="false">SUM(J38)</f>
        <v>4048.33937</v>
      </c>
      <c r="K39" s="176" t="n">
        <f aca="false">SUM(K38)</f>
        <v>-3.651</v>
      </c>
      <c r="L39" s="176" t="n">
        <f aca="false">SUM(L38)</f>
        <v>-337.028</v>
      </c>
      <c r="M39" s="176" t="n">
        <f aca="false">SUM(M38)</f>
        <v>-616.636</v>
      </c>
      <c r="N39" s="176" t="n">
        <f aca="false">SUM(N38)</f>
        <v>3984.669</v>
      </c>
      <c r="O39" s="176" t="n">
        <f aca="false">SUM(O38)</f>
        <v>-2562.848</v>
      </c>
      <c r="P39" s="176" t="n">
        <f aca="false">SUM(P38)</f>
        <v>6282.683</v>
      </c>
      <c r="Q39" s="176" t="n">
        <f aca="false">SUM(Q38)</f>
        <v>884.873000000001</v>
      </c>
      <c r="R39" s="176" t="n">
        <f aca="false">SUM(R38)</f>
        <v>1256.899</v>
      </c>
      <c r="S39" s="176" t="n">
        <f aca="false">SUM(S38)</f>
        <v>-507.411</v>
      </c>
      <c r="T39" s="176" t="n">
        <f aca="false">SUM(T38)</f>
        <v>8131.969</v>
      </c>
      <c r="U39" s="176" t="n">
        <f aca="false">SUM(U38)</f>
        <v>185.114</v>
      </c>
      <c r="V39" s="176" t="n">
        <f aca="false">SUM(V38)</f>
        <v>-8667.643</v>
      </c>
      <c r="W39" s="176" t="n">
        <f aca="false">SUM(W38)</f>
        <v>-3407.39936666667</v>
      </c>
      <c r="X39" s="176" t="n">
        <f aca="false">SUM(X38)</f>
        <v>-429.918666666666</v>
      </c>
      <c r="Y39" s="176" t="n">
        <f aca="false">SUM(Y38)</f>
        <v>0</v>
      </c>
      <c r="Z39" s="176" t="n">
        <f aca="false">SUM(Z38)</f>
        <v>0</v>
      </c>
      <c r="AA39" s="176" t="n">
        <f aca="false">SUM(AA38)</f>
        <v>0</v>
      </c>
      <c r="AB39" s="176" t="n">
        <f aca="false">SUM(AB38)</f>
        <v>0</v>
      </c>
      <c r="AC39" s="176" t="n">
        <f aca="false">SUM(AC38)</f>
        <v>0</v>
      </c>
      <c r="AD39" s="176" t="n">
        <f aca="false">SUM(AD38)</f>
        <v>0</v>
      </c>
      <c r="AE39" s="176" t="n">
        <f aca="false">SUM(AE38)</f>
        <v>0</v>
      </c>
      <c r="AF39" s="176" t="n">
        <f aca="false">SUM(AF38)</f>
        <v>0</v>
      </c>
      <c r="AG39" s="176" t="n">
        <f aca="false">SUM(AG38)</f>
        <v>0</v>
      </c>
      <c r="AH39" s="176" t="n">
        <f aca="false">SUM(AH38)</f>
        <v>0</v>
      </c>
      <c r="AI39" s="176" t="n">
        <f aca="false">SUM(AI38)</f>
        <v>0</v>
      </c>
      <c r="AJ39" s="176" t="n">
        <f aca="false">SUM(AJ38)</f>
        <v>0</v>
      </c>
      <c r="AK39" s="176" t="n">
        <f aca="false">SUM(AK38)</f>
        <v>-3934.31333666667</v>
      </c>
      <c r="AL39" s="176" t="n">
        <f aca="false">SUM(AL38)</f>
        <v>0</v>
      </c>
      <c r="AM39" s="176" t="n">
        <f aca="false">SUM(AM38)</f>
        <v>0</v>
      </c>
      <c r="AN39" s="176" t="n">
        <f aca="false">SUM(AN38)</f>
        <v>0</v>
      </c>
      <c r="AO39" s="85"/>
      <c r="AP39" s="586" t="n">
        <f aca="false">SUM(E39:AO39)</f>
        <v>0</v>
      </c>
      <c r="AQ39" s="754" t="n">
        <f aca="false">AQ38+1</f>
        <v>33</v>
      </c>
      <c r="AR39" s="742"/>
      <c r="AS39" s="742"/>
      <c r="AT39" s="742"/>
      <c r="AU39" s="742"/>
      <c r="AV39" s="742"/>
      <c r="AW39" s="742"/>
      <c r="AX39" s="742"/>
      <c r="AY39" s="742"/>
      <c r="AZ39" s="742"/>
      <c r="BA39" s="742"/>
      <c r="BB39" s="742"/>
      <c r="BC39" s="742"/>
      <c r="BD39" s="742"/>
      <c r="BE39" s="742"/>
      <c r="BF39" s="742"/>
      <c r="BG39" s="742"/>
      <c r="BH39" s="742"/>
      <c r="BI39" s="742"/>
      <c r="BJ39" s="742"/>
      <c r="BK39" s="742"/>
      <c r="BL39" s="742"/>
      <c r="BM39" s="742"/>
      <c r="BN39" s="742"/>
      <c r="BO39" s="742"/>
      <c r="BP39" s="742"/>
      <c r="BQ39" s="742"/>
      <c r="BR39" s="742"/>
      <c r="BS39" s="742"/>
      <c r="BT39" s="742"/>
      <c r="BU39" s="742"/>
      <c r="BV39" s="742"/>
      <c r="BW39" s="742"/>
      <c r="BX39" s="742"/>
      <c r="BY39" s="742"/>
      <c r="BZ39" s="742"/>
      <c r="CA39" s="742"/>
      <c r="CB39" s="742"/>
      <c r="CC39" s="742"/>
      <c r="CD39" s="742"/>
      <c r="CE39" s="742"/>
      <c r="CF39" s="742"/>
      <c r="CG39" s="742"/>
      <c r="CH39" s="742"/>
      <c r="CI39" s="742"/>
      <c r="CJ39" s="742"/>
      <c r="CK39" s="742"/>
      <c r="CL39" s="742"/>
      <c r="CM39" s="742"/>
      <c r="CN39" s="742"/>
      <c r="CO39" s="742"/>
      <c r="CP39" s="742"/>
      <c r="CQ39" s="742"/>
      <c r="CR39" s="742"/>
      <c r="CS39" s="742"/>
      <c r="CT39" s="742"/>
      <c r="CU39" s="742"/>
      <c r="CV39" s="742"/>
      <c r="CW39" s="742"/>
      <c r="CX39" s="742"/>
      <c r="CY39" s="742"/>
      <c r="CZ39" s="742"/>
      <c r="DA39" s="742"/>
      <c r="DB39" s="742"/>
      <c r="DC39" s="742"/>
      <c r="DD39" s="742"/>
      <c r="DE39" s="742"/>
      <c r="DF39" s="742"/>
      <c r="DG39" s="742"/>
      <c r="DH39" s="742"/>
      <c r="DI39" s="742"/>
      <c r="DJ39" s="742"/>
      <c r="DK39" s="742"/>
      <c r="DL39" s="742"/>
      <c r="DM39" s="742"/>
      <c r="DN39" s="742"/>
      <c r="DO39" s="742"/>
      <c r="DP39" s="742"/>
      <c r="DQ39" s="742"/>
      <c r="DR39" s="742"/>
      <c r="DS39" s="742"/>
      <c r="DT39" s="742"/>
      <c r="DU39" s="742"/>
      <c r="DV39" s="742"/>
      <c r="DW39" s="742"/>
      <c r="DX39" s="742"/>
      <c r="DY39" s="742"/>
      <c r="DZ39" s="742"/>
      <c r="EA39" s="742"/>
      <c r="EB39" s="742"/>
      <c r="EC39" s="742"/>
      <c r="ED39" s="742"/>
      <c r="EE39" s="742"/>
      <c r="EF39" s="742"/>
      <c r="EG39" s="742"/>
      <c r="EH39" s="742"/>
      <c r="EI39" s="742"/>
      <c r="EJ39" s="742"/>
      <c r="EK39" s="742"/>
      <c r="EL39" s="742"/>
      <c r="EM39" s="742"/>
      <c r="EN39" s="742"/>
      <c r="EO39" s="742"/>
      <c r="EP39" s="742"/>
      <c r="EQ39" s="742"/>
      <c r="ER39" s="742"/>
      <c r="ES39" s="742"/>
      <c r="ET39" s="742"/>
      <c r="EU39" s="742"/>
      <c r="EV39" s="742"/>
      <c r="EW39" s="742"/>
      <c r="EX39" s="742"/>
      <c r="EY39" s="742"/>
      <c r="EZ39" s="742"/>
      <c r="FA39" s="742"/>
      <c r="FB39" s="742"/>
      <c r="FC39" s="742"/>
      <c r="FD39" s="742"/>
      <c r="FE39" s="742"/>
      <c r="FF39" s="742"/>
      <c r="FG39" s="742"/>
      <c r="FH39" s="742"/>
      <c r="FI39" s="742"/>
      <c r="FJ39" s="742"/>
      <c r="FK39" s="742"/>
      <c r="FL39" s="742"/>
      <c r="FM39" s="742"/>
      <c r="FN39" s="742"/>
      <c r="FO39" s="742"/>
      <c r="FP39" s="742"/>
      <c r="FQ39" s="742"/>
      <c r="FR39" s="742"/>
      <c r="FS39" s="742"/>
      <c r="FT39" s="742"/>
      <c r="FU39" s="742"/>
      <c r="FV39" s="742"/>
      <c r="FW39" s="742"/>
      <c r="FX39" s="742"/>
      <c r="FY39" s="742"/>
      <c r="FZ39" s="742"/>
      <c r="GA39" s="742"/>
      <c r="GB39" s="742"/>
      <c r="GC39" s="742"/>
      <c r="GD39" s="742"/>
      <c r="GE39" s="742"/>
      <c r="GF39" s="742"/>
      <c r="GG39" s="742"/>
      <c r="GH39" s="742"/>
      <c r="GI39" s="742"/>
      <c r="GJ39" s="742"/>
      <c r="GK39" s="742"/>
      <c r="GL39" s="742"/>
      <c r="GM39" s="742"/>
      <c r="GN39" s="742"/>
      <c r="GO39" s="742"/>
      <c r="GP39" s="742"/>
      <c r="GQ39" s="742"/>
      <c r="GR39" s="742"/>
      <c r="GS39" s="742"/>
      <c r="GT39" s="742"/>
      <c r="GU39" s="742"/>
      <c r="GV39" s="742"/>
      <c r="GW39" s="742"/>
      <c r="GX39" s="742"/>
      <c r="GY39" s="742"/>
      <c r="GZ39" s="742"/>
      <c r="HA39" s="742"/>
      <c r="HB39" s="742"/>
      <c r="HC39" s="742"/>
      <c r="HD39" s="742"/>
      <c r="HE39" s="742"/>
      <c r="HF39" s="742"/>
      <c r="HG39" s="742"/>
      <c r="HH39" s="742"/>
      <c r="HI39" s="742"/>
      <c r="HJ39" s="742"/>
      <c r="HK39" s="742"/>
      <c r="HL39" s="742"/>
      <c r="HM39" s="742"/>
      <c r="HN39" s="742"/>
      <c r="HO39" s="742"/>
      <c r="HP39" s="742"/>
      <c r="HQ39" s="742"/>
      <c r="HR39" s="742"/>
      <c r="HS39" s="742"/>
      <c r="HT39" s="742"/>
      <c r="HU39" s="742"/>
      <c r="HV39" s="742"/>
      <c r="HW39" s="742"/>
      <c r="HX39" s="742"/>
      <c r="HY39" s="742"/>
      <c r="HZ39" s="742"/>
      <c r="IA39" s="742"/>
      <c r="IB39" s="742"/>
      <c r="IC39" s="742"/>
      <c r="ID39" s="742"/>
      <c r="IE39" s="742"/>
      <c r="IF39" s="742"/>
      <c r="IG39" s="742"/>
      <c r="IH39" s="742"/>
      <c r="II39" s="742"/>
      <c r="IJ39" s="742"/>
      <c r="IK39" s="742"/>
      <c r="IL39" s="742"/>
      <c r="IM39" s="742"/>
      <c r="IN39" s="742"/>
      <c r="IO39" s="742"/>
      <c r="IP39" s="742"/>
      <c r="IQ39" s="742"/>
      <c r="IR39" s="742"/>
      <c r="IS39" s="742"/>
      <c r="IT39" s="742"/>
      <c r="IU39" s="742"/>
      <c r="IV39" s="742"/>
      <c r="IW39" s="742"/>
    </row>
    <row r="40" customFormat="false" ht="12.75" hidden="false" customHeight="false" outlineLevel="0" collapsed="false">
      <c r="A40" s="755"/>
      <c r="B40" s="114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753"/>
      <c r="AQ40" s="754" t="n">
        <f aca="false">AQ39+1</f>
        <v>34</v>
      </c>
      <c r="AR40" s="742"/>
      <c r="AS40" s="742"/>
      <c r="AT40" s="742"/>
      <c r="AU40" s="742"/>
      <c r="AV40" s="742"/>
      <c r="AW40" s="742"/>
      <c r="AX40" s="742"/>
      <c r="AY40" s="742"/>
      <c r="AZ40" s="742"/>
      <c r="BA40" s="742"/>
      <c r="BB40" s="742"/>
      <c r="BC40" s="742"/>
      <c r="BD40" s="742"/>
      <c r="BE40" s="742"/>
      <c r="BF40" s="742"/>
      <c r="BG40" s="742"/>
      <c r="BH40" s="742"/>
      <c r="BI40" s="742"/>
      <c r="BJ40" s="742"/>
      <c r="BK40" s="742"/>
      <c r="BL40" s="742"/>
      <c r="BM40" s="742"/>
      <c r="BN40" s="742"/>
      <c r="BO40" s="742"/>
      <c r="BP40" s="742"/>
      <c r="BQ40" s="742"/>
      <c r="BR40" s="742"/>
      <c r="BS40" s="742"/>
      <c r="BT40" s="742"/>
      <c r="BU40" s="742"/>
      <c r="BV40" s="742"/>
      <c r="BW40" s="742"/>
      <c r="BX40" s="742"/>
      <c r="BY40" s="742"/>
      <c r="BZ40" s="742"/>
      <c r="CA40" s="742"/>
      <c r="CB40" s="742"/>
      <c r="CC40" s="742"/>
      <c r="CD40" s="742"/>
      <c r="CE40" s="742"/>
      <c r="CF40" s="742"/>
      <c r="CG40" s="742"/>
      <c r="CH40" s="742"/>
      <c r="CI40" s="742"/>
      <c r="CJ40" s="742"/>
      <c r="CK40" s="742"/>
      <c r="CL40" s="742"/>
      <c r="CM40" s="742"/>
      <c r="CN40" s="742"/>
      <c r="CO40" s="742"/>
      <c r="CP40" s="742"/>
      <c r="CQ40" s="742"/>
      <c r="CR40" s="742"/>
      <c r="CS40" s="742"/>
      <c r="CT40" s="742"/>
      <c r="CU40" s="742"/>
      <c r="CV40" s="742"/>
      <c r="CW40" s="742"/>
      <c r="CX40" s="742"/>
      <c r="CY40" s="742"/>
      <c r="CZ40" s="742"/>
      <c r="DA40" s="742"/>
      <c r="DB40" s="742"/>
      <c r="DC40" s="742"/>
      <c r="DD40" s="742"/>
      <c r="DE40" s="742"/>
      <c r="DF40" s="742"/>
      <c r="DG40" s="742"/>
      <c r="DH40" s="742"/>
      <c r="DI40" s="742"/>
      <c r="DJ40" s="742"/>
      <c r="DK40" s="742"/>
      <c r="DL40" s="742"/>
      <c r="DM40" s="742"/>
      <c r="DN40" s="742"/>
      <c r="DO40" s="742"/>
      <c r="DP40" s="742"/>
      <c r="DQ40" s="742"/>
      <c r="DR40" s="742"/>
      <c r="DS40" s="742"/>
      <c r="DT40" s="742"/>
      <c r="DU40" s="742"/>
      <c r="DV40" s="742"/>
      <c r="DW40" s="742"/>
      <c r="DX40" s="742"/>
      <c r="DY40" s="742"/>
      <c r="DZ40" s="742"/>
      <c r="EA40" s="742"/>
      <c r="EB40" s="742"/>
      <c r="EC40" s="742"/>
      <c r="ED40" s="742"/>
      <c r="EE40" s="742"/>
      <c r="EF40" s="742"/>
      <c r="EG40" s="742"/>
      <c r="EH40" s="742"/>
      <c r="EI40" s="742"/>
      <c r="EJ40" s="742"/>
      <c r="EK40" s="742"/>
      <c r="EL40" s="742"/>
      <c r="EM40" s="742"/>
      <c r="EN40" s="742"/>
      <c r="EO40" s="742"/>
      <c r="EP40" s="742"/>
      <c r="EQ40" s="742"/>
      <c r="ER40" s="742"/>
      <c r="ES40" s="742"/>
      <c r="ET40" s="742"/>
      <c r="EU40" s="742"/>
      <c r="EV40" s="742"/>
      <c r="EW40" s="742"/>
      <c r="EX40" s="742"/>
      <c r="EY40" s="742"/>
      <c r="EZ40" s="742"/>
      <c r="FA40" s="742"/>
      <c r="FB40" s="742"/>
      <c r="FC40" s="742"/>
      <c r="FD40" s="742"/>
      <c r="FE40" s="742"/>
      <c r="FF40" s="742"/>
      <c r="FG40" s="742"/>
      <c r="FH40" s="742"/>
      <c r="FI40" s="742"/>
      <c r="FJ40" s="742"/>
      <c r="FK40" s="742"/>
      <c r="FL40" s="742"/>
      <c r="FM40" s="742"/>
      <c r="FN40" s="742"/>
      <c r="FO40" s="742"/>
      <c r="FP40" s="742"/>
      <c r="FQ40" s="742"/>
      <c r="FR40" s="742"/>
      <c r="FS40" s="742"/>
      <c r="FT40" s="742"/>
      <c r="FU40" s="742"/>
      <c r="FV40" s="742"/>
      <c r="FW40" s="742"/>
      <c r="FX40" s="742"/>
      <c r="FY40" s="742"/>
      <c r="FZ40" s="742"/>
      <c r="GA40" s="742"/>
      <c r="GB40" s="742"/>
      <c r="GC40" s="742"/>
      <c r="GD40" s="742"/>
      <c r="GE40" s="742"/>
      <c r="GF40" s="742"/>
      <c r="GG40" s="742"/>
      <c r="GH40" s="742"/>
      <c r="GI40" s="742"/>
      <c r="GJ40" s="742"/>
      <c r="GK40" s="742"/>
      <c r="GL40" s="742"/>
      <c r="GM40" s="742"/>
      <c r="GN40" s="742"/>
      <c r="GO40" s="742"/>
      <c r="GP40" s="742"/>
      <c r="GQ40" s="742"/>
      <c r="GR40" s="742"/>
      <c r="GS40" s="742"/>
      <c r="GT40" s="742"/>
      <c r="GU40" s="742"/>
      <c r="GV40" s="742"/>
      <c r="GW40" s="742"/>
      <c r="GX40" s="742"/>
      <c r="GY40" s="742"/>
      <c r="GZ40" s="742"/>
      <c r="HA40" s="742"/>
      <c r="HB40" s="742"/>
      <c r="HC40" s="742"/>
      <c r="HD40" s="742"/>
      <c r="HE40" s="742"/>
      <c r="HF40" s="742"/>
      <c r="HG40" s="742"/>
      <c r="HH40" s="742"/>
      <c r="HI40" s="742"/>
      <c r="HJ40" s="742"/>
      <c r="HK40" s="742"/>
      <c r="HL40" s="742"/>
      <c r="HM40" s="742"/>
      <c r="HN40" s="742"/>
      <c r="HO40" s="742"/>
      <c r="HP40" s="742"/>
      <c r="HQ40" s="742"/>
      <c r="HR40" s="742"/>
      <c r="HS40" s="742"/>
      <c r="HT40" s="742"/>
      <c r="HU40" s="742"/>
      <c r="HV40" s="742"/>
      <c r="HW40" s="742"/>
      <c r="HX40" s="742"/>
      <c r="HY40" s="742"/>
      <c r="HZ40" s="742"/>
      <c r="IA40" s="742"/>
      <c r="IB40" s="742"/>
      <c r="IC40" s="742"/>
      <c r="ID40" s="742"/>
      <c r="IE40" s="742"/>
      <c r="IF40" s="742"/>
      <c r="IG40" s="742"/>
      <c r="IH40" s="742"/>
      <c r="II40" s="742"/>
      <c r="IJ40" s="742"/>
      <c r="IK40" s="742"/>
      <c r="IL40" s="742"/>
      <c r="IM40" s="742"/>
      <c r="IN40" s="742"/>
      <c r="IO40" s="742"/>
      <c r="IP40" s="742"/>
      <c r="IQ40" s="742"/>
      <c r="IR40" s="742"/>
      <c r="IS40" s="742"/>
      <c r="IT40" s="742"/>
      <c r="IU40" s="742"/>
      <c r="IV40" s="742"/>
      <c r="IW40" s="742"/>
    </row>
    <row r="41" customFormat="false" ht="12.75" hidden="false" customHeight="false" outlineLevel="0" collapsed="false">
      <c r="A41" s="755" t="str">
        <f aca="false">Assm!N42</f>
        <v>Contingency - Change Orders</v>
      </c>
      <c r="B41" s="114"/>
      <c r="C41" s="176" t="n">
        <f aca="false">Assm!R42</f>
        <v>5227.097</v>
      </c>
      <c r="D41" s="85"/>
      <c r="E41" s="159" t="n">
        <v>0</v>
      </c>
      <c r="F41" s="159" t="n">
        <v>0</v>
      </c>
      <c r="G41" s="159" t="n">
        <v>0</v>
      </c>
      <c r="H41" s="159" t="n">
        <v>0</v>
      </c>
      <c r="I41" s="159" t="n">
        <v>0</v>
      </c>
      <c r="J41" s="159" t="n">
        <v>0</v>
      </c>
      <c r="K41" s="159" t="n">
        <v>0</v>
      </c>
      <c r="L41" s="159" t="n">
        <v>0</v>
      </c>
      <c r="M41" s="159" t="n">
        <v>0</v>
      </c>
      <c r="N41" s="159" t="n">
        <v>0</v>
      </c>
      <c r="O41" s="159" t="n">
        <v>0</v>
      </c>
      <c r="P41" s="159" t="n">
        <v>0</v>
      </c>
      <c r="Q41" s="159" t="n">
        <v>0</v>
      </c>
      <c r="R41" s="159" t="n">
        <v>0</v>
      </c>
      <c r="S41" s="159" t="n">
        <v>0</v>
      </c>
      <c r="T41" s="159" t="n">
        <v>0</v>
      </c>
      <c r="U41" s="159" t="n">
        <v>0</v>
      </c>
      <c r="V41" s="159" t="n">
        <v>0</v>
      </c>
      <c r="W41" s="159" t="n">
        <v>0</v>
      </c>
      <c r="X41" s="159" t="n">
        <v>0</v>
      </c>
      <c r="Y41" s="159" t="n">
        <v>0</v>
      </c>
      <c r="Z41" s="159" t="n">
        <v>0</v>
      </c>
      <c r="AA41" s="159" t="n">
        <v>0</v>
      </c>
      <c r="AB41" s="159" t="n">
        <v>0</v>
      </c>
      <c r="AC41" s="159" t="n">
        <v>0</v>
      </c>
      <c r="AD41" s="159" t="n">
        <v>0</v>
      </c>
      <c r="AE41" s="159" t="n">
        <v>0</v>
      </c>
      <c r="AF41" s="159" t="n">
        <v>0</v>
      </c>
      <c r="AG41" s="159" t="n">
        <v>0</v>
      </c>
      <c r="AH41" s="159" t="n">
        <v>0</v>
      </c>
      <c r="AI41" s="159" t="n">
        <v>0</v>
      </c>
      <c r="AJ41" s="159" t="n">
        <v>0</v>
      </c>
      <c r="AK41" s="159" t="n">
        <f aca="false">C41</f>
        <v>5227.097</v>
      </c>
      <c r="AL41" s="159" t="n">
        <v>0</v>
      </c>
      <c r="AM41" s="159" t="n">
        <v>0</v>
      </c>
      <c r="AN41" s="159" t="n">
        <v>0</v>
      </c>
      <c r="AO41" s="85"/>
      <c r="AP41" s="586" t="n">
        <f aca="false">SUM(E41:AO41)</f>
        <v>5227.097</v>
      </c>
      <c r="AQ41" s="754" t="n">
        <f aca="false">AQ40+1</f>
        <v>35</v>
      </c>
      <c r="AR41" s="742"/>
      <c r="AS41" s="742"/>
      <c r="AT41" s="742"/>
      <c r="AU41" s="742"/>
      <c r="AV41" s="742"/>
      <c r="AW41" s="742"/>
      <c r="AX41" s="742"/>
      <c r="AY41" s="742"/>
      <c r="AZ41" s="742"/>
      <c r="BA41" s="742"/>
      <c r="BB41" s="742"/>
      <c r="BC41" s="742"/>
      <c r="BD41" s="742"/>
      <c r="BE41" s="742"/>
      <c r="BF41" s="742"/>
      <c r="BG41" s="742"/>
      <c r="BH41" s="742"/>
      <c r="BI41" s="742"/>
      <c r="BJ41" s="742"/>
      <c r="BK41" s="742"/>
      <c r="BL41" s="742"/>
      <c r="BM41" s="742"/>
      <c r="BN41" s="742"/>
      <c r="BO41" s="742"/>
      <c r="BP41" s="742"/>
      <c r="BQ41" s="742"/>
      <c r="BR41" s="742"/>
      <c r="BS41" s="742"/>
      <c r="BT41" s="742"/>
      <c r="BU41" s="742"/>
      <c r="BV41" s="742"/>
      <c r="BW41" s="742"/>
      <c r="BX41" s="742"/>
      <c r="BY41" s="742"/>
      <c r="BZ41" s="742"/>
      <c r="CA41" s="742"/>
      <c r="CB41" s="742"/>
      <c r="CC41" s="742"/>
      <c r="CD41" s="742"/>
      <c r="CE41" s="742"/>
      <c r="CF41" s="742"/>
      <c r="CG41" s="742"/>
      <c r="CH41" s="742"/>
      <c r="CI41" s="742"/>
      <c r="CJ41" s="742"/>
      <c r="CK41" s="742"/>
      <c r="CL41" s="742"/>
      <c r="CM41" s="742"/>
      <c r="CN41" s="742"/>
      <c r="CO41" s="742"/>
      <c r="CP41" s="742"/>
      <c r="CQ41" s="742"/>
      <c r="CR41" s="742"/>
      <c r="CS41" s="742"/>
      <c r="CT41" s="742"/>
      <c r="CU41" s="742"/>
      <c r="CV41" s="742"/>
      <c r="CW41" s="742"/>
      <c r="CX41" s="742"/>
      <c r="CY41" s="742"/>
      <c r="CZ41" s="742"/>
      <c r="DA41" s="742"/>
      <c r="DB41" s="742"/>
      <c r="DC41" s="742"/>
      <c r="DD41" s="742"/>
      <c r="DE41" s="742"/>
      <c r="DF41" s="742"/>
      <c r="DG41" s="742"/>
      <c r="DH41" s="742"/>
      <c r="DI41" s="742"/>
      <c r="DJ41" s="742"/>
      <c r="DK41" s="742"/>
      <c r="DL41" s="742"/>
      <c r="DM41" s="742"/>
      <c r="DN41" s="742"/>
      <c r="DO41" s="742"/>
      <c r="DP41" s="742"/>
      <c r="DQ41" s="742"/>
      <c r="DR41" s="742"/>
      <c r="DS41" s="742"/>
      <c r="DT41" s="742"/>
      <c r="DU41" s="742"/>
      <c r="DV41" s="742"/>
      <c r="DW41" s="742"/>
      <c r="DX41" s="742"/>
      <c r="DY41" s="742"/>
      <c r="DZ41" s="742"/>
      <c r="EA41" s="742"/>
      <c r="EB41" s="742"/>
      <c r="EC41" s="742"/>
      <c r="ED41" s="742"/>
      <c r="EE41" s="742"/>
      <c r="EF41" s="742"/>
      <c r="EG41" s="742"/>
      <c r="EH41" s="742"/>
      <c r="EI41" s="742"/>
      <c r="EJ41" s="742"/>
      <c r="EK41" s="742"/>
      <c r="EL41" s="742"/>
      <c r="EM41" s="742"/>
      <c r="EN41" s="742"/>
      <c r="EO41" s="742"/>
      <c r="EP41" s="742"/>
      <c r="EQ41" s="742"/>
      <c r="ER41" s="742"/>
      <c r="ES41" s="742"/>
      <c r="ET41" s="742"/>
      <c r="EU41" s="742"/>
      <c r="EV41" s="742"/>
      <c r="EW41" s="742"/>
      <c r="EX41" s="742"/>
      <c r="EY41" s="742"/>
      <c r="EZ41" s="742"/>
      <c r="FA41" s="742"/>
      <c r="FB41" s="742"/>
      <c r="FC41" s="742"/>
      <c r="FD41" s="742"/>
      <c r="FE41" s="742"/>
      <c r="FF41" s="742"/>
      <c r="FG41" s="742"/>
      <c r="FH41" s="742"/>
      <c r="FI41" s="742"/>
      <c r="FJ41" s="742"/>
      <c r="FK41" s="742"/>
      <c r="FL41" s="742"/>
      <c r="FM41" s="742"/>
      <c r="FN41" s="742"/>
      <c r="FO41" s="742"/>
      <c r="FP41" s="742"/>
      <c r="FQ41" s="742"/>
      <c r="FR41" s="742"/>
      <c r="FS41" s="742"/>
      <c r="FT41" s="742"/>
      <c r="FU41" s="742"/>
      <c r="FV41" s="742"/>
      <c r="FW41" s="742"/>
      <c r="FX41" s="742"/>
      <c r="FY41" s="742"/>
      <c r="FZ41" s="742"/>
      <c r="GA41" s="742"/>
      <c r="GB41" s="742"/>
      <c r="GC41" s="742"/>
      <c r="GD41" s="742"/>
      <c r="GE41" s="742"/>
      <c r="GF41" s="742"/>
      <c r="GG41" s="742"/>
      <c r="GH41" s="742"/>
      <c r="GI41" s="742"/>
      <c r="GJ41" s="742"/>
      <c r="GK41" s="742"/>
      <c r="GL41" s="742"/>
      <c r="GM41" s="742"/>
      <c r="GN41" s="742"/>
      <c r="GO41" s="742"/>
      <c r="GP41" s="742"/>
      <c r="GQ41" s="742"/>
      <c r="GR41" s="742"/>
      <c r="GS41" s="742"/>
      <c r="GT41" s="742"/>
      <c r="GU41" s="742"/>
      <c r="GV41" s="742"/>
      <c r="GW41" s="742"/>
      <c r="GX41" s="742"/>
      <c r="GY41" s="742"/>
      <c r="GZ41" s="742"/>
      <c r="HA41" s="742"/>
      <c r="HB41" s="742"/>
      <c r="HC41" s="742"/>
      <c r="HD41" s="742"/>
      <c r="HE41" s="742"/>
      <c r="HF41" s="742"/>
      <c r="HG41" s="742"/>
      <c r="HH41" s="742"/>
      <c r="HI41" s="742"/>
      <c r="HJ41" s="742"/>
      <c r="HK41" s="742"/>
      <c r="HL41" s="742"/>
      <c r="HM41" s="742"/>
      <c r="HN41" s="742"/>
      <c r="HO41" s="742"/>
      <c r="HP41" s="742"/>
      <c r="HQ41" s="742"/>
      <c r="HR41" s="742"/>
      <c r="HS41" s="742"/>
      <c r="HT41" s="742"/>
      <c r="HU41" s="742"/>
      <c r="HV41" s="742"/>
      <c r="HW41" s="742"/>
      <c r="HX41" s="742"/>
      <c r="HY41" s="742"/>
      <c r="HZ41" s="742"/>
      <c r="IA41" s="742"/>
      <c r="IB41" s="742"/>
      <c r="IC41" s="742"/>
      <c r="ID41" s="742"/>
      <c r="IE41" s="742"/>
      <c r="IF41" s="742"/>
      <c r="IG41" s="742"/>
      <c r="IH41" s="742"/>
      <c r="II41" s="742"/>
      <c r="IJ41" s="742"/>
      <c r="IK41" s="742"/>
      <c r="IL41" s="742"/>
      <c r="IM41" s="742"/>
      <c r="IN41" s="742"/>
      <c r="IO41" s="742"/>
      <c r="IP41" s="742"/>
      <c r="IQ41" s="742"/>
      <c r="IR41" s="742"/>
      <c r="IS41" s="742"/>
      <c r="IT41" s="742"/>
      <c r="IU41" s="742"/>
      <c r="IV41" s="742"/>
      <c r="IW41" s="742"/>
    </row>
    <row r="42" customFormat="false" ht="12.75" hidden="false" customHeight="false" outlineLevel="0" collapsed="false">
      <c r="A42" s="755" t="str">
        <f aca="false">Assm!N43</f>
        <v>Contingency - Other</v>
      </c>
      <c r="B42" s="114"/>
      <c r="C42" s="588" t="n">
        <f aca="false">Assm!R43</f>
        <v>0</v>
      </c>
      <c r="D42" s="757"/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f aca="false">C42</f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757"/>
      <c r="AP42" s="589" t="n">
        <f aca="false">SUM(E42:AO42)</f>
        <v>0</v>
      </c>
      <c r="AQ42" s="754" t="n">
        <f aca="false">AQ41+1</f>
        <v>36</v>
      </c>
      <c r="AR42" s="742"/>
      <c r="AS42" s="742"/>
      <c r="AT42" s="742"/>
      <c r="AU42" s="742"/>
      <c r="AV42" s="742"/>
      <c r="AW42" s="742"/>
      <c r="AX42" s="742"/>
      <c r="AY42" s="742"/>
      <c r="AZ42" s="742"/>
      <c r="BA42" s="742"/>
      <c r="BB42" s="742"/>
      <c r="BC42" s="742"/>
      <c r="BD42" s="742"/>
      <c r="BE42" s="742"/>
      <c r="BF42" s="742"/>
      <c r="BG42" s="742"/>
      <c r="BH42" s="742"/>
      <c r="BI42" s="742"/>
      <c r="BJ42" s="742"/>
      <c r="BK42" s="742"/>
      <c r="BL42" s="742"/>
      <c r="BM42" s="742"/>
      <c r="BN42" s="742"/>
      <c r="BO42" s="742"/>
      <c r="BP42" s="742"/>
      <c r="BQ42" s="742"/>
      <c r="BR42" s="742"/>
      <c r="BS42" s="742"/>
      <c r="BT42" s="742"/>
      <c r="BU42" s="742"/>
      <c r="BV42" s="742"/>
      <c r="BW42" s="742"/>
      <c r="BX42" s="742"/>
      <c r="BY42" s="742"/>
      <c r="BZ42" s="742"/>
      <c r="CA42" s="742"/>
      <c r="CB42" s="742"/>
      <c r="CC42" s="742"/>
      <c r="CD42" s="742"/>
      <c r="CE42" s="742"/>
      <c r="CF42" s="742"/>
      <c r="CG42" s="742"/>
      <c r="CH42" s="742"/>
      <c r="CI42" s="742"/>
      <c r="CJ42" s="742"/>
      <c r="CK42" s="742"/>
      <c r="CL42" s="742"/>
      <c r="CM42" s="742"/>
      <c r="CN42" s="742"/>
      <c r="CO42" s="742"/>
      <c r="CP42" s="742"/>
      <c r="CQ42" s="742"/>
      <c r="CR42" s="742"/>
      <c r="CS42" s="742"/>
      <c r="CT42" s="742"/>
      <c r="CU42" s="742"/>
      <c r="CV42" s="742"/>
      <c r="CW42" s="742"/>
      <c r="CX42" s="742"/>
      <c r="CY42" s="742"/>
      <c r="CZ42" s="742"/>
      <c r="DA42" s="742"/>
      <c r="DB42" s="742"/>
      <c r="DC42" s="742"/>
      <c r="DD42" s="742"/>
      <c r="DE42" s="742"/>
      <c r="DF42" s="742"/>
      <c r="DG42" s="742"/>
      <c r="DH42" s="742"/>
      <c r="DI42" s="742"/>
      <c r="DJ42" s="742"/>
      <c r="DK42" s="742"/>
      <c r="DL42" s="742"/>
      <c r="DM42" s="742"/>
      <c r="DN42" s="742"/>
      <c r="DO42" s="742"/>
      <c r="DP42" s="742"/>
      <c r="DQ42" s="742"/>
      <c r="DR42" s="742"/>
      <c r="DS42" s="742"/>
      <c r="DT42" s="742"/>
      <c r="DU42" s="742"/>
      <c r="DV42" s="742"/>
      <c r="DW42" s="742"/>
      <c r="DX42" s="742"/>
      <c r="DY42" s="742"/>
      <c r="DZ42" s="742"/>
      <c r="EA42" s="742"/>
      <c r="EB42" s="742"/>
      <c r="EC42" s="742"/>
      <c r="ED42" s="742"/>
      <c r="EE42" s="742"/>
      <c r="EF42" s="742"/>
      <c r="EG42" s="742"/>
      <c r="EH42" s="742"/>
      <c r="EI42" s="742"/>
      <c r="EJ42" s="742"/>
      <c r="EK42" s="742"/>
      <c r="EL42" s="742"/>
      <c r="EM42" s="742"/>
      <c r="EN42" s="742"/>
      <c r="EO42" s="742"/>
      <c r="EP42" s="742"/>
      <c r="EQ42" s="742"/>
      <c r="ER42" s="742"/>
      <c r="ES42" s="742"/>
      <c r="ET42" s="742"/>
      <c r="EU42" s="742"/>
      <c r="EV42" s="742"/>
      <c r="EW42" s="742"/>
      <c r="EX42" s="742"/>
      <c r="EY42" s="742"/>
      <c r="EZ42" s="742"/>
      <c r="FA42" s="742"/>
      <c r="FB42" s="742"/>
      <c r="FC42" s="742"/>
      <c r="FD42" s="742"/>
      <c r="FE42" s="742"/>
      <c r="FF42" s="742"/>
      <c r="FG42" s="742"/>
      <c r="FH42" s="742"/>
      <c r="FI42" s="742"/>
      <c r="FJ42" s="742"/>
      <c r="FK42" s="742"/>
      <c r="FL42" s="742"/>
      <c r="FM42" s="742"/>
      <c r="FN42" s="742"/>
      <c r="FO42" s="742"/>
      <c r="FP42" s="742"/>
      <c r="FQ42" s="742"/>
      <c r="FR42" s="742"/>
      <c r="FS42" s="742"/>
      <c r="FT42" s="742"/>
      <c r="FU42" s="742"/>
      <c r="FV42" s="742"/>
      <c r="FW42" s="742"/>
      <c r="FX42" s="742"/>
      <c r="FY42" s="742"/>
      <c r="FZ42" s="742"/>
      <c r="GA42" s="742"/>
      <c r="GB42" s="742"/>
      <c r="GC42" s="742"/>
      <c r="GD42" s="742"/>
      <c r="GE42" s="742"/>
      <c r="GF42" s="742"/>
      <c r="GG42" s="742"/>
      <c r="GH42" s="742"/>
      <c r="GI42" s="742"/>
      <c r="GJ42" s="742"/>
      <c r="GK42" s="742"/>
      <c r="GL42" s="742"/>
      <c r="GM42" s="742"/>
      <c r="GN42" s="742"/>
      <c r="GO42" s="742"/>
      <c r="GP42" s="742"/>
      <c r="GQ42" s="742"/>
      <c r="GR42" s="742"/>
      <c r="GS42" s="742"/>
      <c r="GT42" s="742"/>
      <c r="GU42" s="742"/>
      <c r="GV42" s="742"/>
      <c r="GW42" s="742"/>
      <c r="GX42" s="742"/>
      <c r="GY42" s="742"/>
      <c r="GZ42" s="742"/>
      <c r="HA42" s="742"/>
      <c r="HB42" s="742"/>
      <c r="HC42" s="742"/>
      <c r="HD42" s="742"/>
      <c r="HE42" s="742"/>
      <c r="HF42" s="742"/>
      <c r="HG42" s="742"/>
      <c r="HH42" s="742"/>
      <c r="HI42" s="742"/>
      <c r="HJ42" s="742"/>
      <c r="HK42" s="742"/>
      <c r="HL42" s="742"/>
      <c r="HM42" s="742"/>
      <c r="HN42" s="742"/>
      <c r="HO42" s="742"/>
      <c r="HP42" s="742"/>
      <c r="HQ42" s="742"/>
      <c r="HR42" s="742"/>
      <c r="HS42" s="742"/>
      <c r="HT42" s="742"/>
      <c r="HU42" s="742"/>
      <c r="HV42" s="742"/>
      <c r="HW42" s="742"/>
      <c r="HX42" s="742"/>
      <c r="HY42" s="742"/>
      <c r="HZ42" s="742"/>
      <c r="IA42" s="742"/>
      <c r="IB42" s="742"/>
      <c r="IC42" s="742"/>
      <c r="ID42" s="742"/>
      <c r="IE42" s="742"/>
      <c r="IF42" s="742"/>
      <c r="IG42" s="742"/>
      <c r="IH42" s="742"/>
      <c r="II42" s="742"/>
      <c r="IJ42" s="742"/>
      <c r="IK42" s="742"/>
      <c r="IL42" s="742"/>
      <c r="IM42" s="742"/>
      <c r="IN42" s="742"/>
      <c r="IO42" s="742"/>
      <c r="IP42" s="742"/>
      <c r="IQ42" s="742"/>
      <c r="IR42" s="742"/>
      <c r="IS42" s="742"/>
      <c r="IT42" s="742"/>
      <c r="IU42" s="742"/>
      <c r="IV42" s="742"/>
      <c r="IW42" s="742"/>
    </row>
    <row r="43" customFormat="false" ht="12.75" hidden="false" customHeight="false" outlineLevel="0" collapsed="false">
      <c r="A43" s="755" t="str">
        <f aca="false">Assm!N44</f>
        <v>Total Contingency</v>
      </c>
      <c r="B43" s="114"/>
      <c r="C43" s="176" t="n">
        <f aca="false">SUM(C41:C42)</f>
        <v>5227.097</v>
      </c>
      <c r="D43" s="85"/>
      <c r="E43" s="176" t="n">
        <f aca="false">SUM(E41:E42)</f>
        <v>0</v>
      </c>
      <c r="F43" s="176" t="n">
        <f aca="false">SUM(F41:F42)</f>
        <v>0</v>
      </c>
      <c r="G43" s="176" t="n">
        <f aca="false">SUM(G41:G42)</f>
        <v>0</v>
      </c>
      <c r="H43" s="176" t="n">
        <f aca="false">SUM(H41:H42)</f>
        <v>0</v>
      </c>
      <c r="I43" s="176" t="n">
        <f aca="false">SUM(I41:I42)</f>
        <v>0</v>
      </c>
      <c r="J43" s="176" t="n">
        <f aca="false">SUM(J41:J42)</f>
        <v>0</v>
      </c>
      <c r="K43" s="176" t="n">
        <f aca="false">SUM(K41:K42)</f>
        <v>0</v>
      </c>
      <c r="L43" s="176" t="n">
        <f aca="false">SUM(L41:L42)</f>
        <v>0</v>
      </c>
      <c r="M43" s="176" t="n">
        <f aca="false">SUM(M41:M42)</f>
        <v>0</v>
      </c>
      <c r="N43" s="176" t="n">
        <f aca="false">SUM(N41:N42)</f>
        <v>0</v>
      </c>
      <c r="O43" s="176" t="n">
        <f aca="false">SUM(O41:O42)</f>
        <v>0</v>
      </c>
      <c r="P43" s="176" t="n">
        <f aca="false">SUM(P41:P42)</f>
        <v>0</v>
      </c>
      <c r="Q43" s="176" t="n">
        <f aca="false">SUM(Q41:Q42)</f>
        <v>0</v>
      </c>
      <c r="R43" s="176" t="n">
        <f aca="false">SUM(R41:R42)</f>
        <v>0</v>
      </c>
      <c r="S43" s="176" t="n">
        <f aca="false">SUM(S41:S42)</f>
        <v>0</v>
      </c>
      <c r="T43" s="176" t="n">
        <f aca="false">SUM(T41:T42)</f>
        <v>0</v>
      </c>
      <c r="U43" s="176" t="n">
        <f aca="false">SUM(U41:U42)</f>
        <v>0</v>
      </c>
      <c r="V43" s="176" t="n">
        <f aca="false">SUM(V41:V42)</f>
        <v>0</v>
      </c>
      <c r="W43" s="176" t="n">
        <f aca="false">SUM(W41:W42)</f>
        <v>0</v>
      </c>
      <c r="X43" s="176" t="n">
        <f aca="false">SUM(X41:X42)</f>
        <v>0</v>
      </c>
      <c r="Y43" s="176" t="n">
        <f aca="false">SUM(Y41:Y42)</f>
        <v>0</v>
      </c>
      <c r="Z43" s="176" t="n">
        <f aca="false">SUM(Z41:Z42)</f>
        <v>0</v>
      </c>
      <c r="AA43" s="176" t="n">
        <f aca="false">SUM(AA41:AA42)</f>
        <v>0</v>
      </c>
      <c r="AB43" s="176" t="n">
        <f aca="false">SUM(AB41:AB42)</f>
        <v>0</v>
      </c>
      <c r="AC43" s="176" t="n">
        <f aca="false">SUM(AC41:AC42)</f>
        <v>0</v>
      </c>
      <c r="AD43" s="176" t="n">
        <f aca="false">SUM(AD41:AD42)</f>
        <v>0</v>
      </c>
      <c r="AE43" s="176" t="n">
        <f aca="false">SUM(AE41:AE42)</f>
        <v>0</v>
      </c>
      <c r="AF43" s="176" t="n">
        <f aca="false">SUM(AF41:AF42)</f>
        <v>0</v>
      </c>
      <c r="AG43" s="176" t="n">
        <f aca="false">SUM(AG41:AG42)</f>
        <v>0</v>
      </c>
      <c r="AH43" s="176" t="n">
        <f aca="false">SUM(AH41:AH42)</f>
        <v>0</v>
      </c>
      <c r="AI43" s="176" t="n">
        <f aca="false">SUM(AI41:AI42)</f>
        <v>0</v>
      </c>
      <c r="AJ43" s="176" t="n">
        <f aca="false">SUM(AJ41:AJ42)</f>
        <v>0</v>
      </c>
      <c r="AK43" s="176" t="n">
        <f aca="false">SUM(AK41:AK42)</f>
        <v>5227.097</v>
      </c>
      <c r="AL43" s="176" t="n">
        <f aca="false">SUM(AL41:AL42)</f>
        <v>0</v>
      </c>
      <c r="AM43" s="176" t="n">
        <f aca="false">SUM(AM41:AM42)</f>
        <v>0</v>
      </c>
      <c r="AN43" s="176" t="n">
        <f aca="false">SUM(AN41:AN42)</f>
        <v>0</v>
      </c>
      <c r="AO43" s="85"/>
      <c r="AP43" s="586" t="n">
        <f aca="false">SUM(E43:AO43)</f>
        <v>5227.097</v>
      </c>
      <c r="AQ43" s="754" t="n">
        <f aca="false">AQ42+1</f>
        <v>37</v>
      </c>
      <c r="AR43" s="742"/>
      <c r="AS43" s="742"/>
      <c r="AT43" s="742"/>
      <c r="AU43" s="742"/>
      <c r="AV43" s="742"/>
      <c r="AW43" s="742"/>
      <c r="AX43" s="742"/>
      <c r="AY43" s="742"/>
      <c r="AZ43" s="742"/>
      <c r="BA43" s="742"/>
      <c r="BB43" s="742"/>
      <c r="BC43" s="742"/>
      <c r="BD43" s="742"/>
      <c r="BE43" s="742"/>
      <c r="BF43" s="742"/>
      <c r="BG43" s="742"/>
      <c r="BH43" s="742"/>
      <c r="BI43" s="742"/>
      <c r="BJ43" s="742"/>
      <c r="BK43" s="742"/>
      <c r="BL43" s="742"/>
      <c r="BM43" s="742"/>
      <c r="BN43" s="742"/>
      <c r="BO43" s="742"/>
      <c r="BP43" s="742"/>
      <c r="BQ43" s="742"/>
      <c r="BR43" s="742"/>
      <c r="BS43" s="742"/>
      <c r="BT43" s="742"/>
      <c r="BU43" s="742"/>
      <c r="BV43" s="742"/>
      <c r="BW43" s="742"/>
      <c r="BX43" s="742"/>
      <c r="BY43" s="742"/>
      <c r="BZ43" s="742"/>
      <c r="CA43" s="742"/>
      <c r="CB43" s="742"/>
      <c r="CC43" s="742"/>
      <c r="CD43" s="742"/>
      <c r="CE43" s="742"/>
      <c r="CF43" s="742"/>
      <c r="CG43" s="742"/>
      <c r="CH43" s="742"/>
      <c r="CI43" s="742"/>
      <c r="CJ43" s="742"/>
      <c r="CK43" s="742"/>
      <c r="CL43" s="742"/>
      <c r="CM43" s="742"/>
      <c r="CN43" s="742"/>
      <c r="CO43" s="742"/>
      <c r="CP43" s="742"/>
      <c r="CQ43" s="742"/>
      <c r="CR43" s="742"/>
      <c r="CS43" s="742"/>
      <c r="CT43" s="742"/>
      <c r="CU43" s="742"/>
      <c r="CV43" s="742"/>
      <c r="CW43" s="742"/>
      <c r="CX43" s="742"/>
      <c r="CY43" s="742"/>
      <c r="CZ43" s="742"/>
      <c r="DA43" s="742"/>
      <c r="DB43" s="742"/>
      <c r="DC43" s="742"/>
      <c r="DD43" s="742"/>
      <c r="DE43" s="742"/>
      <c r="DF43" s="742"/>
      <c r="DG43" s="742"/>
      <c r="DH43" s="742"/>
      <c r="DI43" s="742"/>
      <c r="DJ43" s="742"/>
      <c r="DK43" s="742"/>
      <c r="DL43" s="742"/>
      <c r="DM43" s="742"/>
      <c r="DN43" s="742"/>
      <c r="DO43" s="742"/>
      <c r="DP43" s="742"/>
      <c r="DQ43" s="742"/>
      <c r="DR43" s="742"/>
      <c r="DS43" s="742"/>
      <c r="DT43" s="742"/>
      <c r="DU43" s="742"/>
      <c r="DV43" s="742"/>
      <c r="DW43" s="742"/>
      <c r="DX43" s="742"/>
      <c r="DY43" s="742"/>
      <c r="DZ43" s="742"/>
      <c r="EA43" s="742"/>
      <c r="EB43" s="742"/>
      <c r="EC43" s="742"/>
      <c r="ED43" s="742"/>
      <c r="EE43" s="742"/>
      <c r="EF43" s="742"/>
      <c r="EG43" s="742"/>
      <c r="EH43" s="742"/>
      <c r="EI43" s="742"/>
      <c r="EJ43" s="742"/>
      <c r="EK43" s="742"/>
      <c r="EL43" s="742"/>
      <c r="EM43" s="742"/>
      <c r="EN43" s="742"/>
      <c r="EO43" s="742"/>
      <c r="EP43" s="742"/>
      <c r="EQ43" s="742"/>
      <c r="ER43" s="742"/>
      <c r="ES43" s="742"/>
      <c r="ET43" s="742"/>
      <c r="EU43" s="742"/>
      <c r="EV43" s="742"/>
      <c r="EW43" s="742"/>
      <c r="EX43" s="742"/>
      <c r="EY43" s="742"/>
      <c r="EZ43" s="742"/>
      <c r="FA43" s="742"/>
      <c r="FB43" s="742"/>
      <c r="FC43" s="742"/>
      <c r="FD43" s="742"/>
      <c r="FE43" s="742"/>
      <c r="FF43" s="742"/>
      <c r="FG43" s="742"/>
      <c r="FH43" s="742"/>
      <c r="FI43" s="742"/>
      <c r="FJ43" s="742"/>
      <c r="FK43" s="742"/>
      <c r="FL43" s="742"/>
      <c r="FM43" s="742"/>
      <c r="FN43" s="742"/>
      <c r="FO43" s="742"/>
      <c r="FP43" s="742"/>
      <c r="FQ43" s="742"/>
      <c r="FR43" s="742"/>
      <c r="FS43" s="742"/>
      <c r="FT43" s="742"/>
      <c r="FU43" s="742"/>
      <c r="FV43" s="742"/>
      <c r="FW43" s="742"/>
      <c r="FX43" s="742"/>
      <c r="FY43" s="742"/>
      <c r="FZ43" s="742"/>
      <c r="GA43" s="742"/>
      <c r="GB43" s="742"/>
      <c r="GC43" s="742"/>
      <c r="GD43" s="742"/>
      <c r="GE43" s="742"/>
      <c r="GF43" s="742"/>
      <c r="GG43" s="742"/>
      <c r="GH43" s="742"/>
      <c r="GI43" s="742"/>
      <c r="GJ43" s="742"/>
      <c r="GK43" s="742"/>
      <c r="GL43" s="742"/>
      <c r="GM43" s="742"/>
      <c r="GN43" s="742"/>
      <c r="GO43" s="742"/>
      <c r="GP43" s="742"/>
      <c r="GQ43" s="742"/>
      <c r="GR43" s="742"/>
      <c r="GS43" s="742"/>
      <c r="GT43" s="742"/>
      <c r="GU43" s="742"/>
      <c r="GV43" s="742"/>
      <c r="GW43" s="742"/>
      <c r="GX43" s="742"/>
      <c r="GY43" s="742"/>
      <c r="GZ43" s="742"/>
      <c r="HA43" s="742"/>
      <c r="HB43" s="742"/>
      <c r="HC43" s="742"/>
      <c r="HD43" s="742"/>
      <c r="HE43" s="742"/>
      <c r="HF43" s="742"/>
      <c r="HG43" s="742"/>
      <c r="HH43" s="742"/>
      <c r="HI43" s="742"/>
      <c r="HJ43" s="742"/>
      <c r="HK43" s="742"/>
      <c r="HL43" s="742"/>
      <c r="HM43" s="742"/>
      <c r="HN43" s="742"/>
      <c r="HO43" s="742"/>
      <c r="HP43" s="742"/>
      <c r="HQ43" s="742"/>
      <c r="HR43" s="742"/>
      <c r="HS43" s="742"/>
      <c r="HT43" s="742"/>
      <c r="HU43" s="742"/>
      <c r="HV43" s="742"/>
      <c r="HW43" s="742"/>
      <c r="HX43" s="742"/>
      <c r="HY43" s="742"/>
      <c r="HZ43" s="742"/>
      <c r="IA43" s="742"/>
      <c r="IB43" s="742"/>
      <c r="IC43" s="742"/>
      <c r="ID43" s="742"/>
      <c r="IE43" s="742"/>
      <c r="IF43" s="742"/>
      <c r="IG43" s="742"/>
      <c r="IH43" s="742"/>
      <c r="II43" s="742"/>
      <c r="IJ43" s="742"/>
      <c r="IK43" s="742"/>
      <c r="IL43" s="742"/>
      <c r="IM43" s="742"/>
      <c r="IN43" s="742"/>
      <c r="IO43" s="742"/>
      <c r="IP43" s="742"/>
      <c r="IQ43" s="742"/>
      <c r="IR43" s="742"/>
      <c r="IS43" s="742"/>
      <c r="IT43" s="742"/>
      <c r="IU43" s="742"/>
      <c r="IV43" s="742"/>
      <c r="IW43" s="742"/>
    </row>
    <row r="44" customFormat="false" ht="12.75" hidden="false" customHeight="false" outlineLevel="0" collapsed="false">
      <c r="A44" s="755"/>
      <c r="B44" s="114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753"/>
      <c r="AQ44" s="754" t="n">
        <f aca="false">AQ43+1</f>
        <v>38</v>
      </c>
      <c r="AR44" s="761"/>
      <c r="AS44" s="762" t="s">
        <v>76</v>
      </c>
      <c r="AT44" s="763"/>
      <c r="AU44" s="742"/>
      <c r="AV44" s="742"/>
      <c r="AW44" s="742"/>
      <c r="AX44" s="742"/>
      <c r="AY44" s="742"/>
      <c r="AZ44" s="742"/>
      <c r="BA44" s="742"/>
      <c r="BB44" s="742"/>
      <c r="BC44" s="742"/>
      <c r="BD44" s="742"/>
      <c r="BE44" s="742"/>
      <c r="BF44" s="742"/>
      <c r="BG44" s="742"/>
      <c r="BH44" s="742"/>
      <c r="BI44" s="742"/>
      <c r="BJ44" s="742"/>
      <c r="BK44" s="742"/>
      <c r="BL44" s="742"/>
      <c r="BM44" s="742"/>
      <c r="BN44" s="742"/>
      <c r="BO44" s="742"/>
      <c r="BP44" s="742"/>
      <c r="BQ44" s="742"/>
      <c r="BR44" s="742"/>
      <c r="BS44" s="742"/>
      <c r="BT44" s="742"/>
      <c r="BU44" s="742"/>
      <c r="BV44" s="742"/>
      <c r="BW44" s="742"/>
      <c r="BX44" s="742"/>
      <c r="BY44" s="742"/>
      <c r="BZ44" s="742"/>
      <c r="CA44" s="742"/>
      <c r="CB44" s="742"/>
      <c r="CC44" s="742"/>
      <c r="CD44" s="742"/>
      <c r="CE44" s="742"/>
      <c r="CF44" s="742"/>
      <c r="CG44" s="742"/>
      <c r="CH44" s="742"/>
      <c r="CI44" s="742"/>
      <c r="CJ44" s="742"/>
      <c r="CK44" s="742"/>
      <c r="CL44" s="742"/>
      <c r="CM44" s="742"/>
      <c r="CN44" s="742"/>
      <c r="CO44" s="742"/>
      <c r="CP44" s="742"/>
      <c r="CQ44" s="742"/>
      <c r="CR44" s="742"/>
      <c r="CS44" s="742"/>
      <c r="CT44" s="742"/>
      <c r="CU44" s="742"/>
      <c r="CV44" s="742"/>
      <c r="CW44" s="742"/>
      <c r="CX44" s="742"/>
      <c r="CY44" s="742"/>
      <c r="CZ44" s="742"/>
      <c r="DA44" s="742"/>
      <c r="DB44" s="742"/>
      <c r="DC44" s="742"/>
      <c r="DD44" s="742"/>
      <c r="DE44" s="742"/>
      <c r="DF44" s="742"/>
      <c r="DG44" s="742"/>
      <c r="DH44" s="742"/>
      <c r="DI44" s="742"/>
      <c r="DJ44" s="742"/>
      <c r="DK44" s="742"/>
      <c r="DL44" s="742"/>
      <c r="DM44" s="742"/>
      <c r="DN44" s="742"/>
      <c r="DO44" s="742"/>
      <c r="DP44" s="742"/>
      <c r="DQ44" s="742"/>
      <c r="DR44" s="742"/>
      <c r="DS44" s="742"/>
      <c r="DT44" s="742"/>
      <c r="DU44" s="742"/>
      <c r="DV44" s="742"/>
      <c r="DW44" s="742"/>
      <c r="DX44" s="742"/>
      <c r="DY44" s="742"/>
      <c r="DZ44" s="742"/>
      <c r="EA44" s="742"/>
      <c r="EB44" s="742"/>
      <c r="EC44" s="742"/>
      <c r="ED44" s="742"/>
      <c r="EE44" s="742"/>
      <c r="EF44" s="742"/>
      <c r="EG44" s="742"/>
      <c r="EH44" s="742"/>
      <c r="EI44" s="742"/>
      <c r="EJ44" s="742"/>
      <c r="EK44" s="742"/>
      <c r="EL44" s="742"/>
      <c r="EM44" s="742"/>
      <c r="EN44" s="742"/>
      <c r="EO44" s="742"/>
      <c r="EP44" s="742"/>
      <c r="EQ44" s="742"/>
      <c r="ER44" s="742"/>
      <c r="ES44" s="742"/>
      <c r="ET44" s="742"/>
      <c r="EU44" s="742"/>
      <c r="EV44" s="742"/>
      <c r="EW44" s="742"/>
      <c r="EX44" s="742"/>
      <c r="EY44" s="742"/>
      <c r="EZ44" s="742"/>
      <c r="FA44" s="742"/>
      <c r="FB44" s="742"/>
      <c r="FC44" s="742"/>
      <c r="FD44" s="742"/>
      <c r="FE44" s="742"/>
      <c r="FF44" s="742"/>
      <c r="FG44" s="742"/>
      <c r="FH44" s="742"/>
      <c r="FI44" s="742"/>
      <c r="FJ44" s="742"/>
      <c r="FK44" s="742"/>
      <c r="FL44" s="742"/>
      <c r="FM44" s="742"/>
      <c r="FN44" s="742"/>
      <c r="FO44" s="742"/>
      <c r="FP44" s="742"/>
      <c r="FQ44" s="742"/>
      <c r="FR44" s="742"/>
      <c r="FS44" s="742"/>
      <c r="FT44" s="742"/>
      <c r="FU44" s="742"/>
      <c r="FV44" s="742"/>
      <c r="FW44" s="742"/>
      <c r="FX44" s="742"/>
      <c r="FY44" s="742"/>
      <c r="FZ44" s="742"/>
      <c r="GA44" s="742"/>
      <c r="GB44" s="742"/>
      <c r="GC44" s="742"/>
      <c r="GD44" s="742"/>
      <c r="GE44" s="742"/>
      <c r="GF44" s="742"/>
      <c r="GG44" s="742"/>
      <c r="GH44" s="742"/>
      <c r="GI44" s="742"/>
      <c r="GJ44" s="742"/>
      <c r="GK44" s="742"/>
      <c r="GL44" s="742"/>
      <c r="GM44" s="742"/>
      <c r="GN44" s="742"/>
      <c r="GO44" s="742"/>
      <c r="GP44" s="742"/>
      <c r="GQ44" s="742"/>
      <c r="GR44" s="742"/>
      <c r="GS44" s="742"/>
      <c r="GT44" s="742"/>
      <c r="GU44" s="742"/>
      <c r="GV44" s="742"/>
      <c r="GW44" s="742"/>
      <c r="GX44" s="742"/>
      <c r="GY44" s="742"/>
      <c r="GZ44" s="742"/>
      <c r="HA44" s="742"/>
      <c r="HB44" s="742"/>
      <c r="HC44" s="742"/>
      <c r="HD44" s="742"/>
      <c r="HE44" s="742"/>
      <c r="HF44" s="742"/>
      <c r="HG44" s="742"/>
      <c r="HH44" s="742"/>
      <c r="HI44" s="742"/>
      <c r="HJ44" s="742"/>
      <c r="HK44" s="742"/>
      <c r="HL44" s="742"/>
      <c r="HM44" s="742"/>
      <c r="HN44" s="742"/>
      <c r="HO44" s="742"/>
      <c r="HP44" s="742"/>
      <c r="HQ44" s="742"/>
      <c r="HR44" s="742"/>
      <c r="HS44" s="742"/>
      <c r="HT44" s="742"/>
      <c r="HU44" s="742"/>
      <c r="HV44" s="742"/>
      <c r="HW44" s="742"/>
      <c r="HX44" s="742"/>
      <c r="HY44" s="742"/>
      <c r="HZ44" s="742"/>
      <c r="IA44" s="742"/>
      <c r="IB44" s="742"/>
      <c r="IC44" s="742"/>
      <c r="ID44" s="742"/>
      <c r="IE44" s="742"/>
      <c r="IF44" s="742"/>
      <c r="IG44" s="742"/>
      <c r="IH44" s="742"/>
      <c r="II44" s="742"/>
      <c r="IJ44" s="742"/>
      <c r="IK44" s="742"/>
      <c r="IL44" s="742"/>
      <c r="IM44" s="742"/>
      <c r="IN44" s="742"/>
      <c r="IO44" s="742"/>
      <c r="IP44" s="742"/>
      <c r="IQ44" s="742"/>
      <c r="IR44" s="742"/>
      <c r="IS44" s="742"/>
      <c r="IT44" s="742"/>
      <c r="IU44" s="742"/>
      <c r="IV44" s="742"/>
      <c r="IW44" s="742"/>
    </row>
    <row r="45" customFormat="false" ht="12.75" hidden="false" customHeight="false" outlineLevel="0" collapsed="false">
      <c r="A45" s="764" t="s">
        <v>76</v>
      </c>
      <c r="B45" s="765"/>
      <c r="C45" s="766" t="n">
        <f aca="false">Assm!R26</f>
        <v>18.0419761241514</v>
      </c>
      <c r="D45" s="767"/>
      <c r="E45" s="766" t="n">
        <f aca="false">IDC!E83</f>
        <v>0</v>
      </c>
      <c r="F45" s="766" t="n">
        <f aca="false">IDC!F83</f>
        <v>0</v>
      </c>
      <c r="G45" s="766" t="n">
        <f aca="false">IDC!G83</f>
        <v>0</v>
      </c>
      <c r="H45" s="766" t="n">
        <f aca="false">IDC!H83</f>
        <v>0</v>
      </c>
      <c r="I45" s="766" t="n">
        <f aca="false">IDC!I83</f>
        <v>0</v>
      </c>
      <c r="J45" s="766" t="n">
        <f aca="false">IDC!J83</f>
        <v>0</v>
      </c>
      <c r="K45" s="766" t="n">
        <f aca="false">IDC!K83</f>
        <v>0</v>
      </c>
      <c r="L45" s="766" t="n">
        <f aca="false">IDC!L83</f>
        <v>0</v>
      </c>
      <c r="M45" s="766" t="n">
        <f aca="false">IDC!M83</f>
        <v>0</v>
      </c>
      <c r="N45" s="766" t="n">
        <f aca="false">IDC!N83</f>
        <v>0</v>
      </c>
      <c r="O45" s="766" t="n">
        <f aca="false">IDC!O83</f>
        <v>0</v>
      </c>
      <c r="P45" s="766" t="n">
        <f aca="false">IDC!P83</f>
        <v>0</v>
      </c>
      <c r="Q45" s="766" t="n">
        <f aca="false">IDC!Q83</f>
        <v>0</v>
      </c>
      <c r="R45" s="766" t="n">
        <f aca="false">IDC!R83</f>
        <v>0</v>
      </c>
      <c r="S45" s="766" t="n">
        <f aca="false">IDC!S83</f>
        <v>0</v>
      </c>
      <c r="T45" s="766" t="n">
        <f aca="false">IDC!T83</f>
        <v>0</v>
      </c>
      <c r="U45" s="766" t="n">
        <f aca="false">IDC!U83</f>
        <v>0</v>
      </c>
      <c r="V45" s="766" t="n">
        <f aca="false">IDC!V83</f>
        <v>0</v>
      </c>
      <c r="W45" s="766" t="n">
        <f aca="false">IDC!W83</f>
        <v>0</v>
      </c>
      <c r="X45" s="766" t="n">
        <f aca="false">IDC!X83</f>
        <v>0</v>
      </c>
      <c r="Y45" s="766" t="n">
        <f aca="false">IDC!Y83</f>
        <v>0</v>
      </c>
      <c r="Z45" s="766" t="n">
        <f aca="false">IDC!Z83</f>
        <v>0</v>
      </c>
      <c r="AA45" s="766" t="n">
        <f aca="false">IDC!AA83</f>
        <v>0</v>
      </c>
      <c r="AB45" s="766" t="n">
        <f aca="false">IDC!AB83</f>
        <v>0</v>
      </c>
      <c r="AC45" s="766" t="n">
        <f aca="false">IDC!AC83</f>
        <v>0</v>
      </c>
      <c r="AD45" s="766" t="n">
        <f aca="false">IDC!AD83</f>
        <v>0</v>
      </c>
      <c r="AE45" s="766" t="n">
        <f aca="false">IDC!AE83</f>
        <v>0</v>
      </c>
      <c r="AF45" s="766" t="n">
        <f aca="false">IDC!AF83</f>
        <v>0</v>
      </c>
      <c r="AG45" s="766" t="n">
        <f aca="false">IDC!AG83</f>
        <v>0</v>
      </c>
      <c r="AH45" s="766" t="n">
        <f aca="false">IDC!AH83</f>
        <v>7.84565158571809</v>
      </c>
      <c r="AI45" s="766" t="n">
        <f aca="false">IDC!AI83</f>
        <v>5.66324714243518</v>
      </c>
      <c r="AJ45" s="766" t="n">
        <f aca="false">IDC!AJ83</f>
        <v>3.46153269582001</v>
      </c>
      <c r="AK45" s="766" t="n">
        <f aca="false">IDC!AK83</f>
        <v>0.713315858659159</v>
      </c>
      <c r="AL45" s="766" t="n">
        <f aca="false">IDC!AL83</f>
        <v>0.358228841518961</v>
      </c>
      <c r="AM45" s="766" t="n">
        <f aca="false">IDC!AM83</f>
        <v>4.68958205601666E-015</v>
      </c>
      <c r="AN45" s="766" t="n">
        <f aca="false">IDC!AN83</f>
        <v>4.68521868551918E-015</v>
      </c>
      <c r="AO45" s="767"/>
      <c r="AP45" s="768" t="n">
        <f aca="false">SUM(E45:AO45)</f>
        <v>18.0419761241514</v>
      </c>
      <c r="AQ45" s="769" t="n">
        <f aca="false">AQ44+1</f>
        <v>39</v>
      </c>
      <c r="AR45" s="770"/>
      <c r="AS45" s="771" t="s">
        <v>819</v>
      </c>
      <c r="AT45" s="772"/>
      <c r="AU45" s="773"/>
      <c r="AV45" s="773"/>
      <c r="AW45" s="773"/>
      <c r="AX45" s="773"/>
      <c r="AY45" s="773"/>
      <c r="AZ45" s="773"/>
      <c r="BA45" s="773"/>
      <c r="BB45" s="773"/>
      <c r="BC45" s="773"/>
      <c r="BD45" s="773"/>
      <c r="BE45" s="773"/>
      <c r="BF45" s="773"/>
      <c r="BG45" s="773"/>
      <c r="BH45" s="773"/>
      <c r="BI45" s="773"/>
      <c r="BJ45" s="773"/>
      <c r="BK45" s="773"/>
      <c r="BL45" s="773"/>
      <c r="BM45" s="773"/>
      <c r="BN45" s="773"/>
      <c r="BO45" s="773"/>
      <c r="BP45" s="773"/>
      <c r="BQ45" s="773"/>
      <c r="BR45" s="773"/>
      <c r="BS45" s="773"/>
      <c r="BT45" s="773"/>
      <c r="BU45" s="773"/>
      <c r="BV45" s="773"/>
      <c r="BW45" s="773"/>
      <c r="BX45" s="773"/>
      <c r="BY45" s="773"/>
      <c r="BZ45" s="773"/>
      <c r="CA45" s="773"/>
      <c r="CB45" s="773"/>
      <c r="CC45" s="773"/>
      <c r="CD45" s="773"/>
      <c r="CE45" s="773"/>
      <c r="CF45" s="773"/>
      <c r="CG45" s="773"/>
      <c r="CH45" s="773"/>
      <c r="CI45" s="773"/>
      <c r="CJ45" s="773"/>
      <c r="CK45" s="773"/>
      <c r="CL45" s="773"/>
      <c r="CM45" s="773"/>
      <c r="CN45" s="773"/>
      <c r="CO45" s="773"/>
      <c r="CP45" s="773"/>
      <c r="CQ45" s="773"/>
      <c r="CR45" s="773"/>
      <c r="CS45" s="773"/>
      <c r="CT45" s="773"/>
      <c r="CU45" s="773"/>
      <c r="CV45" s="773"/>
      <c r="CW45" s="773"/>
      <c r="CX45" s="773"/>
      <c r="CY45" s="773"/>
      <c r="CZ45" s="773"/>
      <c r="DA45" s="773"/>
      <c r="DB45" s="773"/>
      <c r="DC45" s="773"/>
      <c r="DD45" s="773"/>
      <c r="DE45" s="773"/>
      <c r="DF45" s="773"/>
      <c r="DG45" s="773"/>
      <c r="DH45" s="773"/>
      <c r="DI45" s="773"/>
      <c r="DJ45" s="773"/>
      <c r="DK45" s="773"/>
      <c r="DL45" s="773"/>
      <c r="DM45" s="773"/>
      <c r="DN45" s="773"/>
      <c r="DO45" s="773"/>
      <c r="DP45" s="773"/>
      <c r="DQ45" s="773"/>
      <c r="DR45" s="773"/>
      <c r="DS45" s="773"/>
      <c r="DT45" s="773"/>
      <c r="DU45" s="773"/>
      <c r="DV45" s="773"/>
      <c r="DW45" s="773"/>
      <c r="DX45" s="773"/>
      <c r="DY45" s="773"/>
      <c r="DZ45" s="773"/>
      <c r="EA45" s="773"/>
      <c r="EB45" s="773"/>
      <c r="EC45" s="773"/>
      <c r="ED45" s="773"/>
      <c r="EE45" s="773"/>
      <c r="EF45" s="773"/>
      <c r="EG45" s="773"/>
      <c r="EH45" s="773"/>
      <c r="EI45" s="773"/>
      <c r="EJ45" s="773"/>
      <c r="EK45" s="773"/>
      <c r="EL45" s="773"/>
      <c r="EM45" s="773"/>
      <c r="EN45" s="773"/>
      <c r="EO45" s="773"/>
      <c r="EP45" s="773"/>
      <c r="EQ45" s="773"/>
      <c r="ER45" s="773"/>
      <c r="ES45" s="773"/>
      <c r="ET45" s="773"/>
      <c r="EU45" s="773"/>
      <c r="EV45" s="773"/>
      <c r="EW45" s="773"/>
      <c r="EX45" s="773"/>
      <c r="EY45" s="773"/>
      <c r="EZ45" s="773"/>
      <c r="FA45" s="773"/>
      <c r="FB45" s="773"/>
      <c r="FC45" s="773"/>
      <c r="FD45" s="773"/>
      <c r="FE45" s="773"/>
      <c r="FF45" s="773"/>
      <c r="FG45" s="773"/>
      <c r="FH45" s="773"/>
      <c r="FI45" s="773"/>
      <c r="FJ45" s="773"/>
      <c r="FK45" s="773"/>
      <c r="FL45" s="773"/>
      <c r="FM45" s="773"/>
      <c r="FN45" s="773"/>
      <c r="FO45" s="773"/>
      <c r="FP45" s="773"/>
      <c r="FQ45" s="773"/>
      <c r="FR45" s="773"/>
      <c r="FS45" s="773"/>
      <c r="FT45" s="773"/>
      <c r="FU45" s="773"/>
      <c r="FV45" s="773"/>
      <c r="FW45" s="773"/>
      <c r="FX45" s="773"/>
      <c r="FY45" s="773"/>
      <c r="FZ45" s="773"/>
      <c r="GA45" s="773"/>
      <c r="GB45" s="773"/>
      <c r="GC45" s="773"/>
      <c r="GD45" s="773"/>
      <c r="GE45" s="773"/>
      <c r="GF45" s="773"/>
      <c r="GG45" s="773"/>
      <c r="GH45" s="773"/>
      <c r="GI45" s="773"/>
      <c r="GJ45" s="773"/>
      <c r="GK45" s="773"/>
      <c r="GL45" s="773"/>
      <c r="GM45" s="773"/>
      <c r="GN45" s="773"/>
      <c r="GO45" s="773"/>
      <c r="GP45" s="773"/>
      <c r="GQ45" s="773"/>
      <c r="GR45" s="773"/>
      <c r="GS45" s="773"/>
      <c r="GT45" s="773"/>
      <c r="GU45" s="773"/>
      <c r="GV45" s="773"/>
      <c r="GW45" s="773"/>
      <c r="GX45" s="773"/>
      <c r="GY45" s="773"/>
      <c r="GZ45" s="773"/>
      <c r="HA45" s="773"/>
      <c r="HB45" s="773"/>
      <c r="HC45" s="773"/>
      <c r="HD45" s="773"/>
      <c r="HE45" s="773"/>
      <c r="HF45" s="773"/>
      <c r="HG45" s="773"/>
      <c r="HH45" s="773"/>
      <c r="HI45" s="773"/>
      <c r="HJ45" s="773"/>
      <c r="HK45" s="773"/>
      <c r="HL45" s="773"/>
      <c r="HM45" s="773"/>
      <c r="HN45" s="773"/>
      <c r="HO45" s="773"/>
      <c r="HP45" s="773"/>
      <c r="HQ45" s="773"/>
      <c r="HR45" s="773"/>
      <c r="HS45" s="773"/>
      <c r="HT45" s="773"/>
      <c r="HU45" s="773"/>
      <c r="HV45" s="773"/>
      <c r="HW45" s="773"/>
      <c r="HX45" s="773"/>
      <c r="HY45" s="773"/>
      <c r="HZ45" s="773"/>
      <c r="IA45" s="773"/>
      <c r="IB45" s="773"/>
      <c r="IC45" s="773"/>
      <c r="ID45" s="773"/>
      <c r="IE45" s="773"/>
      <c r="IF45" s="773"/>
      <c r="IG45" s="773"/>
      <c r="IH45" s="773"/>
      <c r="II45" s="773"/>
      <c r="IJ45" s="773"/>
      <c r="IK45" s="773"/>
      <c r="IL45" s="773"/>
      <c r="IM45" s="773"/>
      <c r="IN45" s="773"/>
      <c r="IO45" s="773"/>
      <c r="IP45" s="773"/>
      <c r="IQ45" s="773"/>
      <c r="IR45" s="773"/>
      <c r="IS45" s="773"/>
      <c r="IT45" s="773"/>
      <c r="IU45" s="773"/>
      <c r="IV45" s="773"/>
      <c r="IW45" s="773"/>
    </row>
    <row r="46" customFormat="false" ht="12.75" hidden="false" customHeight="false" outlineLevel="0" collapsed="false">
      <c r="A46" s="755" t="s">
        <v>820</v>
      </c>
      <c r="B46" s="114"/>
      <c r="C46" s="176" t="n">
        <f aca="false">SUM(C45)</f>
        <v>18.0419761241514</v>
      </c>
      <c r="D46" s="85"/>
      <c r="E46" s="176" t="n">
        <f aca="false">SUM(E45)</f>
        <v>0</v>
      </c>
      <c r="F46" s="176" t="n">
        <f aca="false">SUM(F45)</f>
        <v>0</v>
      </c>
      <c r="G46" s="176" t="n">
        <f aca="false">SUM(G45)</f>
        <v>0</v>
      </c>
      <c r="H46" s="176" t="n">
        <f aca="false">SUM(H45)</f>
        <v>0</v>
      </c>
      <c r="I46" s="176" t="n">
        <f aca="false">SUM(I45)</f>
        <v>0</v>
      </c>
      <c r="J46" s="176" t="n">
        <f aca="false">SUM(J45)</f>
        <v>0</v>
      </c>
      <c r="K46" s="176" t="n">
        <f aca="false">SUM(K45)</f>
        <v>0</v>
      </c>
      <c r="L46" s="176" t="n">
        <f aca="false">SUM(L45)</f>
        <v>0</v>
      </c>
      <c r="M46" s="176" t="n">
        <f aca="false">SUM(M45)</f>
        <v>0</v>
      </c>
      <c r="N46" s="176" t="n">
        <f aca="false">SUM(N45)</f>
        <v>0</v>
      </c>
      <c r="O46" s="176" t="n">
        <f aca="false">SUM(O45)</f>
        <v>0</v>
      </c>
      <c r="P46" s="176" t="n">
        <f aca="false">SUM(P45)</f>
        <v>0</v>
      </c>
      <c r="Q46" s="176" t="n">
        <f aca="false">SUM(Q45)</f>
        <v>0</v>
      </c>
      <c r="R46" s="176" t="n">
        <f aca="false">SUM(R45)</f>
        <v>0</v>
      </c>
      <c r="S46" s="176" t="n">
        <f aca="false">SUM(S45)</f>
        <v>0</v>
      </c>
      <c r="T46" s="176" t="n">
        <f aca="false">SUM(T45)</f>
        <v>0</v>
      </c>
      <c r="U46" s="176" t="n">
        <f aca="false">SUM(U45)</f>
        <v>0</v>
      </c>
      <c r="V46" s="176" t="n">
        <f aca="false">SUM(V45)</f>
        <v>0</v>
      </c>
      <c r="W46" s="176" t="n">
        <f aca="false">SUM(W45)</f>
        <v>0</v>
      </c>
      <c r="X46" s="176" t="n">
        <f aca="false">SUM(X45)</f>
        <v>0</v>
      </c>
      <c r="Y46" s="176" t="n">
        <f aca="false">SUM(Y45)</f>
        <v>0</v>
      </c>
      <c r="Z46" s="176" t="n">
        <f aca="false">SUM(Z45)</f>
        <v>0</v>
      </c>
      <c r="AA46" s="176" t="n">
        <f aca="false">SUM(AA45)</f>
        <v>0</v>
      </c>
      <c r="AB46" s="176" t="n">
        <f aca="false">SUM(AB45)</f>
        <v>0</v>
      </c>
      <c r="AC46" s="176" t="n">
        <f aca="false">SUM(AC45)</f>
        <v>0</v>
      </c>
      <c r="AD46" s="176" t="n">
        <f aca="false">SUM(AD45)</f>
        <v>0</v>
      </c>
      <c r="AE46" s="176" t="n">
        <f aca="false">SUM(AE45)</f>
        <v>0</v>
      </c>
      <c r="AF46" s="176" t="n">
        <f aca="false">SUM(AF45)</f>
        <v>0</v>
      </c>
      <c r="AG46" s="176" t="n">
        <f aca="false">SUM(AG45)</f>
        <v>0</v>
      </c>
      <c r="AH46" s="176" t="n">
        <f aca="false">SUM(AH45)</f>
        <v>7.84565158571809</v>
      </c>
      <c r="AI46" s="176" t="n">
        <f aca="false">SUM(AI45)</f>
        <v>5.66324714243518</v>
      </c>
      <c r="AJ46" s="176" t="n">
        <f aca="false">SUM(AJ45)</f>
        <v>3.46153269582001</v>
      </c>
      <c r="AK46" s="176" t="n">
        <f aca="false">SUM(AK45)</f>
        <v>0.713315858659159</v>
      </c>
      <c r="AL46" s="176" t="n">
        <f aca="false">SUM(AL45)</f>
        <v>0.358228841518961</v>
      </c>
      <c r="AM46" s="176" t="n">
        <f aca="false">SUM(AM45)</f>
        <v>4.68958205601666E-015</v>
      </c>
      <c r="AN46" s="176" t="n">
        <f aca="false">SUM(AN45)</f>
        <v>4.68521868551918E-015</v>
      </c>
      <c r="AO46" s="85"/>
      <c r="AP46" s="586" t="n">
        <f aca="false">SUM(E46:AO46)</f>
        <v>18.0419761241514</v>
      </c>
      <c r="AQ46" s="754" t="n">
        <f aca="false">AQ45+1</f>
        <v>40</v>
      </c>
      <c r="AR46" s="774"/>
      <c r="AS46" s="775" t="n">
        <f aca="false">IF(AP46=0,0,IF(ABS(AP46-IDC!AO84)&lt;0.005,0,1))</f>
        <v>0</v>
      </c>
      <c r="AT46" s="776"/>
      <c r="AU46" s="742"/>
      <c r="AV46" s="742"/>
      <c r="AW46" s="742"/>
      <c r="AX46" s="742"/>
      <c r="AY46" s="742"/>
      <c r="AZ46" s="742"/>
      <c r="BA46" s="742"/>
      <c r="BB46" s="742"/>
      <c r="BC46" s="742"/>
      <c r="BD46" s="742"/>
      <c r="BE46" s="742"/>
      <c r="BF46" s="742"/>
      <c r="BG46" s="742"/>
      <c r="BH46" s="742"/>
      <c r="BI46" s="742"/>
      <c r="BJ46" s="742"/>
      <c r="BK46" s="742"/>
      <c r="BL46" s="742"/>
      <c r="BM46" s="742"/>
      <c r="BN46" s="742"/>
      <c r="BO46" s="742"/>
      <c r="BP46" s="742"/>
      <c r="BQ46" s="742"/>
      <c r="BR46" s="742"/>
      <c r="BS46" s="742"/>
      <c r="BT46" s="742"/>
      <c r="BU46" s="742"/>
      <c r="BV46" s="742"/>
      <c r="BW46" s="742"/>
      <c r="BX46" s="742"/>
      <c r="BY46" s="742"/>
      <c r="BZ46" s="742"/>
      <c r="CA46" s="742"/>
      <c r="CB46" s="742"/>
      <c r="CC46" s="742"/>
      <c r="CD46" s="742"/>
      <c r="CE46" s="742"/>
      <c r="CF46" s="742"/>
      <c r="CG46" s="742"/>
      <c r="CH46" s="742"/>
      <c r="CI46" s="742"/>
      <c r="CJ46" s="742"/>
      <c r="CK46" s="742"/>
      <c r="CL46" s="742"/>
      <c r="CM46" s="742"/>
      <c r="CN46" s="742"/>
      <c r="CO46" s="742"/>
      <c r="CP46" s="742"/>
      <c r="CQ46" s="742"/>
      <c r="CR46" s="742"/>
      <c r="CS46" s="742"/>
      <c r="CT46" s="742"/>
      <c r="CU46" s="742"/>
      <c r="CV46" s="742"/>
      <c r="CW46" s="742"/>
      <c r="CX46" s="742"/>
      <c r="CY46" s="742"/>
      <c r="CZ46" s="742"/>
      <c r="DA46" s="742"/>
      <c r="DB46" s="742"/>
      <c r="DC46" s="742"/>
      <c r="DD46" s="742"/>
      <c r="DE46" s="742"/>
      <c r="DF46" s="742"/>
      <c r="DG46" s="742"/>
      <c r="DH46" s="742"/>
      <c r="DI46" s="742"/>
      <c r="DJ46" s="742"/>
      <c r="DK46" s="742"/>
      <c r="DL46" s="742"/>
      <c r="DM46" s="742"/>
      <c r="DN46" s="742"/>
      <c r="DO46" s="742"/>
      <c r="DP46" s="742"/>
      <c r="DQ46" s="742"/>
      <c r="DR46" s="742"/>
      <c r="DS46" s="742"/>
      <c r="DT46" s="742"/>
      <c r="DU46" s="742"/>
      <c r="DV46" s="742"/>
      <c r="DW46" s="742"/>
      <c r="DX46" s="742"/>
      <c r="DY46" s="742"/>
      <c r="DZ46" s="742"/>
      <c r="EA46" s="742"/>
      <c r="EB46" s="742"/>
      <c r="EC46" s="742"/>
      <c r="ED46" s="742"/>
      <c r="EE46" s="742"/>
      <c r="EF46" s="742"/>
      <c r="EG46" s="742"/>
      <c r="EH46" s="742"/>
      <c r="EI46" s="742"/>
      <c r="EJ46" s="742"/>
      <c r="EK46" s="742"/>
      <c r="EL46" s="742"/>
      <c r="EM46" s="742"/>
      <c r="EN46" s="742"/>
      <c r="EO46" s="742"/>
      <c r="EP46" s="742"/>
      <c r="EQ46" s="742"/>
      <c r="ER46" s="742"/>
      <c r="ES46" s="742"/>
      <c r="ET46" s="742"/>
      <c r="EU46" s="742"/>
      <c r="EV46" s="742"/>
      <c r="EW46" s="742"/>
      <c r="EX46" s="742"/>
      <c r="EY46" s="742"/>
      <c r="EZ46" s="742"/>
      <c r="FA46" s="742"/>
      <c r="FB46" s="742"/>
      <c r="FC46" s="742"/>
      <c r="FD46" s="742"/>
      <c r="FE46" s="742"/>
      <c r="FF46" s="742"/>
      <c r="FG46" s="742"/>
      <c r="FH46" s="742"/>
      <c r="FI46" s="742"/>
      <c r="FJ46" s="742"/>
      <c r="FK46" s="742"/>
      <c r="FL46" s="742"/>
      <c r="FM46" s="742"/>
      <c r="FN46" s="742"/>
      <c r="FO46" s="742"/>
      <c r="FP46" s="742"/>
      <c r="FQ46" s="742"/>
      <c r="FR46" s="742"/>
      <c r="FS46" s="742"/>
      <c r="FT46" s="742"/>
      <c r="FU46" s="742"/>
      <c r="FV46" s="742"/>
      <c r="FW46" s="742"/>
      <c r="FX46" s="742"/>
      <c r="FY46" s="742"/>
      <c r="FZ46" s="742"/>
      <c r="GA46" s="742"/>
      <c r="GB46" s="742"/>
      <c r="GC46" s="742"/>
      <c r="GD46" s="742"/>
      <c r="GE46" s="742"/>
      <c r="GF46" s="742"/>
      <c r="GG46" s="742"/>
      <c r="GH46" s="742"/>
      <c r="GI46" s="742"/>
      <c r="GJ46" s="742"/>
      <c r="GK46" s="742"/>
      <c r="GL46" s="742"/>
      <c r="GM46" s="742"/>
      <c r="GN46" s="742"/>
      <c r="GO46" s="742"/>
      <c r="GP46" s="742"/>
      <c r="GQ46" s="742"/>
      <c r="GR46" s="742"/>
      <c r="GS46" s="742"/>
      <c r="GT46" s="742"/>
      <c r="GU46" s="742"/>
      <c r="GV46" s="742"/>
      <c r="GW46" s="742"/>
      <c r="GX46" s="742"/>
      <c r="GY46" s="742"/>
      <c r="GZ46" s="742"/>
      <c r="HA46" s="742"/>
      <c r="HB46" s="742"/>
      <c r="HC46" s="742"/>
      <c r="HD46" s="742"/>
      <c r="HE46" s="742"/>
      <c r="HF46" s="742"/>
      <c r="HG46" s="742"/>
      <c r="HH46" s="742"/>
      <c r="HI46" s="742"/>
      <c r="HJ46" s="742"/>
      <c r="HK46" s="742"/>
      <c r="HL46" s="742"/>
      <c r="HM46" s="742"/>
      <c r="HN46" s="742"/>
      <c r="HO46" s="742"/>
      <c r="HP46" s="742"/>
      <c r="HQ46" s="742"/>
      <c r="HR46" s="742"/>
      <c r="HS46" s="742"/>
      <c r="HT46" s="742"/>
      <c r="HU46" s="742"/>
      <c r="HV46" s="742"/>
      <c r="HW46" s="742"/>
      <c r="HX46" s="742"/>
      <c r="HY46" s="742"/>
      <c r="HZ46" s="742"/>
      <c r="IA46" s="742"/>
      <c r="IB46" s="742"/>
      <c r="IC46" s="742"/>
      <c r="ID46" s="742"/>
      <c r="IE46" s="742"/>
      <c r="IF46" s="742"/>
      <c r="IG46" s="742"/>
      <c r="IH46" s="742"/>
      <c r="II46" s="742"/>
      <c r="IJ46" s="742"/>
      <c r="IK46" s="742"/>
      <c r="IL46" s="742"/>
      <c r="IM46" s="742"/>
      <c r="IN46" s="742"/>
      <c r="IO46" s="742"/>
      <c r="IP46" s="742"/>
      <c r="IQ46" s="742"/>
      <c r="IR46" s="742"/>
      <c r="IS46" s="742"/>
      <c r="IT46" s="742"/>
      <c r="IU46" s="742"/>
      <c r="IV46" s="742"/>
      <c r="IW46" s="742"/>
    </row>
    <row r="47" customFormat="false" ht="12.75" hidden="false" customHeight="false" outlineLevel="0" collapsed="false">
      <c r="A47" s="755"/>
      <c r="B47" s="114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753"/>
      <c r="AQ47" s="754" t="n">
        <f aca="false">AQ46+1</f>
        <v>41</v>
      </c>
      <c r="AR47" s="742"/>
      <c r="AS47" s="742"/>
      <c r="AT47" s="742"/>
      <c r="AU47" s="742"/>
      <c r="AV47" s="742"/>
      <c r="AW47" s="742"/>
      <c r="AX47" s="742"/>
      <c r="AY47" s="742"/>
      <c r="AZ47" s="742"/>
      <c r="BA47" s="742"/>
      <c r="BB47" s="742"/>
      <c r="BC47" s="742"/>
      <c r="BD47" s="742"/>
      <c r="BE47" s="742"/>
      <c r="BF47" s="742"/>
      <c r="BG47" s="742"/>
      <c r="BH47" s="742"/>
      <c r="BI47" s="742"/>
      <c r="BJ47" s="742"/>
      <c r="BK47" s="742"/>
      <c r="BL47" s="742"/>
      <c r="BM47" s="742"/>
      <c r="BN47" s="742"/>
      <c r="BO47" s="742"/>
      <c r="BP47" s="742"/>
      <c r="BQ47" s="742"/>
      <c r="BR47" s="742"/>
      <c r="BS47" s="742"/>
      <c r="BT47" s="742"/>
      <c r="BU47" s="742"/>
      <c r="BV47" s="742"/>
      <c r="BW47" s="742"/>
      <c r="BX47" s="742"/>
      <c r="BY47" s="742"/>
      <c r="BZ47" s="742"/>
      <c r="CA47" s="742"/>
      <c r="CB47" s="742"/>
      <c r="CC47" s="742"/>
      <c r="CD47" s="742"/>
      <c r="CE47" s="742"/>
      <c r="CF47" s="742"/>
      <c r="CG47" s="742"/>
      <c r="CH47" s="742"/>
      <c r="CI47" s="742"/>
      <c r="CJ47" s="742"/>
      <c r="CK47" s="742"/>
      <c r="CL47" s="742"/>
      <c r="CM47" s="742"/>
      <c r="CN47" s="742"/>
      <c r="CO47" s="742"/>
      <c r="CP47" s="742"/>
      <c r="CQ47" s="742"/>
      <c r="CR47" s="742"/>
      <c r="CS47" s="742"/>
      <c r="CT47" s="742"/>
      <c r="CU47" s="742"/>
      <c r="CV47" s="742"/>
      <c r="CW47" s="742"/>
      <c r="CX47" s="742"/>
      <c r="CY47" s="742"/>
      <c r="CZ47" s="742"/>
      <c r="DA47" s="742"/>
      <c r="DB47" s="742"/>
      <c r="DC47" s="742"/>
      <c r="DD47" s="742"/>
      <c r="DE47" s="742"/>
      <c r="DF47" s="742"/>
      <c r="DG47" s="742"/>
      <c r="DH47" s="742"/>
      <c r="DI47" s="742"/>
      <c r="DJ47" s="742"/>
      <c r="DK47" s="742"/>
      <c r="DL47" s="742"/>
      <c r="DM47" s="742"/>
      <c r="DN47" s="742"/>
      <c r="DO47" s="742"/>
      <c r="DP47" s="742"/>
      <c r="DQ47" s="742"/>
      <c r="DR47" s="742"/>
      <c r="DS47" s="742"/>
      <c r="DT47" s="742"/>
      <c r="DU47" s="742"/>
      <c r="DV47" s="742"/>
      <c r="DW47" s="742"/>
      <c r="DX47" s="742"/>
      <c r="DY47" s="742"/>
      <c r="DZ47" s="742"/>
      <c r="EA47" s="742"/>
      <c r="EB47" s="742"/>
      <c r="EC47" s="742"/>
      <c r="ED47" s="742"/>
      <c r="EE47" s="742"/>
      <c r="EF47" s="742"/>
      <c r="EG47" s="742"/>
      <c r="EH47" s="742"/>
      <c r="EI47" s="742"/>
      <c r="EJ47" s="742"/>
      <c r="EK47" s="742"/>
      <c r="EL47" s="742"/>
      <c r="EM47" s="742"/>
      <c r="EN47" s="742"/>
      <c r="EO47" s="742"/>
      <c r="EP47" s="742"/>
      <c r="EQ47" s="742"/>
      <c r="ER47" s="742"/>
      <c r="ES47" s="742"/>
      <c r="ET47" s="742"/>
      <c r="EU47" s="742"/>
      <c r="EV47" s="742"/>
      <c r="EW47" s="742"/>
      <c r="EX47" s="742"/>
      <c r="EY47" s="742"/>
      <c r="EZ47" s="742"/>
      <c r="FA47" s="742"/>
      <c r="FB47" s="742"/>
      <c r="FC47" s="742"/>
      <c r="FD47" s="742"/>
      <c r="FE47" s="742"/>
      <c r="FF47" s="742"/>
      <c r="FG47" s="742"/>
      <c r="FH47" s="742"/>
      <c r="FI47" s="742"/>
      <c r="FJ47" s="742"/>
      <c r="FK47" s="742"/>
      <c r="FL47" s="742"/>
      <c r="FM47" s="742"/>
      <c r="FN47" s="742"/>
      <c r="FO47" s="742"/>
      <c r="FP47" s="742"/>
      <c r="FQ47" s="742"/>
      <c r="FR47" s="742"/>
      <c r="FS47" s="742"/>
      <c r="FT47" s="742"/>
      <c r="FU47" s="742"/>
      <c r="FV47" s="742"/>
      <c r="FW47" s="742"/>
      <c r="FX47" s="742"/>
      <c r="FY47" s="742"/>
      <c r="FZ47" s="742"/>
      <c r="GA47" s="742"/>
      <c r="GB47" s="742"/>
      <c r="GC47" s="742"/>
      <c r="GD47" s="742"/>
      <c r="GE47" s="742"/>
      <c r="GF47" s="742"/>
      <c r="GG47" s="742"/>
      <c r="GH47" s="742"/>
      <c r="GI47" s="742"/>
      <c r="GJ47" s="742"/>
      <c r="GK47" s="742"/>
      <c r="GL47" s="742"/>
      <c r="GM47" s="742"/>
      <c r="GN47" s="742"/>
      <c r="GO47" s="742"/>
      <c r="GP47" s="742"/>
      <c r="GQ47" s="742"/>
      <c r="GR47" s="742"/>
      <c r="GS47" s="742"/>
      <c r="GT47" s="742"/>
      <c r="GU47" s="742"/>
      <c r="GV47" s="742"/>
      <c r="GW47" s="742"/>
      <c r="GX47" s="742"/>
      <c r="GY47" s="742"/>
      <c r="GZ47" s="742"/>
      <c r="HA47" s="742"/>
      <c r="HB47" s="742"/>
      <c r="HC47" s="742"/>
      <c r="HD47" s="742"/>
      <c r="HE47" s="742"/>
      <c r="HF47" s="742"/>
      <c r="HG47" s="742"/>
      <c r="HH47" s="742"/>
      <c r="HI47" s="742"/>
      <c r="HJ47" s="742"/>
      <c r="HK47" s="742"/>
      <c r="HL47" s="742"/>
      <c r="HM47" s="742"/>
      <c r="HN47" s="742"/>
      <c r="HO47" s="742"/>
      <c r="HP47" s="742"/>
      <c r="HQ47" s="742"/>
      <c r="HR47" s="742"/>
      <c r="HS47" s="742"/>
      <c r="HT47" s="742"/>
      <c r="HU47" s="742"/>
      <c r="HV47" s="742"/>
      <c r="HW47" s="742"/>
      <c r="HX47" s="742"/>
      <c r="HY47" s="742"/>
      <c r="HZ47" s="742"/>
      <c r="IA47" s="742"/>
      <c r="IB47" s="742"/>
      <c r="IC47" s="742"/>
      <c r="ID47" s="742"/>
      <c r="IE47" s="742"/>
      <c r="IF47" s="742"/>
      <c r="IG47" s="742"/>
      <c r="IH47" s="742"/>
      <c r="II47" s="742"/>
      <c r="IJ47" s="742"/>
      <c r="IK47" s="742"/>
      <c r="IL47" s="742"/>
      <c r="IM47" s="742"/>
      <c r="IN47" s="742"/>
      <c r="IO47" s="742"/>
      <c r="IP47" s="742"/>
      <c r="IQ47" s="742"/>
      <c r="IR47" s="742"/>
      <c r="IS47" s="742"/>
      <c r="IT47" s="742"/>
      <c r="IU47" s="742"/>
      <c r="IV47" s="742"/>
      <c r="IW47" s="742"/>
    </row>
    <row r="48" customFormat="false" ht="13.5" hidden="false" customHeight="false" outlineLevel="0" collapsed="false">
      <c r="A48" s="777" t="s">
        <v>821</v>
      </c>
      <c r="B48" s="640"/>
      <c r="C48" s="778" t="n">
        <f aca="false">SUM(C15,C24,C31,C36,C39,C43,C46)</f>
        <v>147753.206269012</v>
      </c>
      <c r="D48" s="748"/>
      <c r="E48" s="778" t="n">
        <f aca="false">SUM(E15,E24,E31,E36,E39,E43,E46)</f>
        <v>0</v>
      </c>
      <c r="F48" s="778" t="n">
        <f aca="false">SUM(F15,F24,F31,F36,F39,F43,F46)</f>
        <v>0</v>
      </c>
      <c r="G48" s="778" t="n">
        <f aca="false">SUM(G15,G24,G31,G36,G39,G43,G46)</f>
        <v>0</v>
      </c>
      <c r="H48" s="778" t="n">
        <f aca="false">SUM(H15,H24,H31,H36,H39,H43,H46)</f>
        <v>0</v>
      </c>
      <c r="I48" s="778" t="n">
        <f aca="false">SUM(I15,I24,I31,I36,I39,I43,I46)</f>
        <v>0</v>
      </c>
      <c r="J48" s="778" t="n">
        <f aca="false">SUM(J15,J24,J31,J36,J39,J43,J46)</f>
        <v>4072.33637</v>
      </c>
      <c r="K48" s="778" t="n">
        <f aca="false">SUM(K15,K24,K31,K36,K39,K43,K46)</f>
        <v>0</v>
      </c>
      <c r="L48" s="778" t="n">
        <f aca="false">SUM(L15,L24,L31,L36,L39,L43,L46)</f>
        <v>0</v>
      </c>
      <c r="M48" s="778" t="n">
        <f aca="false">SUM(M15,M24,M31,M36,M39,M43,M46)</f>
        <v>6300</v>
      </c>
      <c r="N48" s="778" t="n">
        <f aca="false">SUM(N15,N24,N31,N36,N39,N43,N46)</f>
        <v>4327</v>
      </c>
      <c r="O48" s="778" t="n">
        <f aca="false">SUM(O15,O24,O31,O36,O39,O43,O46)</f>
        <v>2178</v>
      </c>
      <c r="P48" s="778" t="n">
        <f aca="false">SUM(P15,P24,P31,P36,P39,P43,P46)</f>
        <v>7899.509</v>
      </c>
      <c r="Q48" s="778" t="n">
        <f aca="false">SUM(Q15,Q24,Q31,Q36,Q39,Q43,Q46)</f>
        <v>5560</v>
      </c>
      <c r="R48" s="778" t="n">
        <f aca="false">SUM(R15,R24,R31,R36,R39,R43,R46)</f>
        <v>4625</v>
      </c>
      <c r="S48" s="778" t="n">
        <f aca="false">SUM(S15,S24,S31,S36,S39,S43,S46)</f>
        <v>4996.159</v>
      </c>
      <c r="T48" s="778" t="n">
        <f aca="false">SUM(T15,T24,T31,T36,T39,T43,T46)</f>
        <v>19985.376</v>
      </c>
      <c r="U48" s="778" t="n">
        <f aca="false">SUM(U15,U24,U31,U36,U39,U43,U46)</f>
        <v>5445.704</v>
      </c>
      <c r="V48" s="778" t="n">
        <f aca="false">SUM(V15,V24,V31,V36,V39,V43,V46)</f>
        <v>0</v>
      </c>
      <c r="W48" s="778" t="n">
        <f aca="false">SUM(W15,W24,W31,W36,W39,W43,W46)</f>
        <v>5128</v>
      </c>
      <c r="X48" s="778" t="n">
        <f aca="false">SUM(X15,X24,X31,X36,X39,X43,X46)</f>
        <v>8600</v>
      </c>
      <c r="Y48" s="778" t="n">
        <f aca="false">SUM(Y15,Y24,Y31,Y36,Y39,Y43,Y46)</f>
        <v>4637.21104949602</v>
      </c>
      <c r="Z48" s="778" t="n">
        <f aca="false">SUM(Z15,Z24,Z31,Z36,Z39,Z43,Z46)</f>
        <v>4637.21104949602</v>
      </c>
      <c r="AA48" s="778" t="n">
        <f aca="false">SUM(AA15,AA24,AA31,AA36,AA39,AA43,AA46)</f>
        <v>4637.21104949602</v>
      </c>
      <c r="AB48" s="778" t="n">
        <f aca="false">SUM(AB15,AB24,AB31,AB36,AB39,AB43,AB46)</f>
        <v>4637.21104949602</v>
      </c>
      <c r="AC48" s="778" t="n">
        <f aca="false">SUM(AC15,AC24,AC31,AC36,AC39,AC43,AC46)</f>
        <v>4637.21104949602</v>
      </c>
      <c r="AD48" s="778" t="n">
        <f aca="false">SUM(AD15,AD24,AD31,AD36,AD39,AD43,AD46)</f>
        <v>4637.21104949602</v>
      </c>
      <c r="AE48" s="778" t="n">
        <f aca="false">SUM(AE15,AE24,AE31,AE36,AE39,AE43,AE46)</f>
        <v>4637.21104949602</v>
      </c>
      <c r="AF48" s="778" t="n">
        <f aca="false">SUM(AF15,AF24,AF31,AF36,AF39,AF43,AF46)</f>
        <v>10273.1068329627</v>
      </c>
      <c r="AG48" s="778" t="n">
        <f aca="false">SUM(AG15,AG24,AG31,AG36,AG39,AG43,AG46)</f>
        <v>4637.21104949602</v>
      </c>
      <c r="AH48" s="778" t="n">
        <f aca="false">SUM(AH15,AH24,AH31,AH36,AH39,AH43,AH46)</f>
        <v>6050.71353372092</v>
      </c>
      <c r="AI48" s="778" t="n">
        <f aca="false">SUM(AI15,AI24,AI31,AI36,AI39,AI43,AI46)</f>
        <v>4642.87429663846</v>
      </c>
      <c r="AJ48" s="778" t="n">
        <f aca="false">SUM(AJ15,AJ24,AJ31,AJ36,AJ39,AJ43,AJ46)</f>
        <v>4640.67258219184</v>
      </c>
      <c r="AK48" s="778" t="n">
        <f aca="false">SUM(AK15,AK24,AK31,AK36,AK39,AK43,AK46)</f>
        <v>5930.70802868801</v>
      </c>
      <c r="AL48" s="778" t="n">
        <f aca="false">SUM(AL15,AL24,AL31,AL36,AL39,AL43,AL46)</f>
        <v>0.358228841518961</v>
      </c>
      <c r="AM48" s="778" t="n">
        <f aca="false">SUM(AM15,AM24,AM31,AM36,AM39,AM43,AM46)</f>
        <v>4.68958205601666E-015</v>
      </c>
      <c r="AN48" s="778" t="n">
        <f aca="false">SUM(AN15,AN24,AN31,AN36,AN39,AN43,AN46)</f>
        <v>4.68521868551918E-015</v>
      </c>
      <c r="AO48" s="748"/>
      <c r="AP48" s="779" t="n">
        <f aca="false">SUM(E48:AO48)</f>
        <v>147753.206269012</v>
      </c>
      <c r="AQ48" s="754" t="n">
        <f aca="false">AQ47+1</f>
        <v>42</v>
      </c>
      <c r="AR48" s="742"/>
      <c r="AS48" s="742"/>
      <c r="AT48" s="742"/>
      <c r="AU48" s="742"/>
      <c r="AV48" s="742"/>
      <c r="AW48" s="742"/>
      <c r="AX48" s="742"/>
      <c r="AY48" s="742"/>
      <c r="AZ48" s="742"/>
      <c r="BA48" s="742"/>
      <c r="BB48" s="742"/>
      <c r="BC48" s="742"/>
      <c r="BD48" s="742"/>
      <c r="BE48" s="742"/>
      <c r="BF48" s="742"/>
      <c r="BG48" s="742"/>
      <c r="BH48" s="742"/>
      <c r="BI48" s="742"/>
      <c r="BJ48" s="742"/>
      <c r="BK48" s="742"/>
      <c r="BL48" s="742"/>
      <c r="BM48" s="742"/>
      <c r="BN48" s="742"/>
      <c r="BO48" s="742"/>
      <c r="BP48" s="742"/>
      <c r="BQ48" s="742"/>
      <c r="BR48" s="742"/>
      <c r="BS48" s="742"/>
      <c r="BT48" s="742"/>
      <c r="BU48" s="742"/>
      <c r="BV48" s="742"/>
      <c r="BW48" s="742"/>
      <c r="BX48" s="742"/>
      <c r="BY48" s="742"/>
      <c r="BZ48" s="742"/>
      <c r="CA48" s="742"/>
      <c r="CB48" s="742"/>
      <c r="CC48" s="742"/>
      <c r="CD48" s="742"/>
      <c r="CE48" s="742"/>
      <c r="CF48" s="742"/>
      <c r="CG48" s="742"/>
      <c r="CH48" s="742"/>
      <c r="CI48" s="742"/>
      <c r="CJ48" s="742"/>
      <c r="CK48" s="742"/>
      <c r="CL48" s="742"/>
      <c r="CM48" s="742"/>
      <c r="CN48" s="742"/>
      <c r="CO48" s="742"/>
      <c r="CP48" s="742"/>
      <c r="CQ48" s="742"/>
      <c r="CR48" s="742"/>
      <c r="CS48" s="742"/>
      <c r="CT48" s="742"/>
      <c r="CU48" s="742"/>
      <c r="CV48" s="742"/>
      <c r="CW48" s="742"/>
      <c r="CX48" s="742"/>
      <c r="CY48" s="742"/>
      <c r="CZ48" s="742"/>
      <c r="DA48" s="742"/>
      <c r="DB48" s="742"/>
      <c r="DC48" s="742"/>
      <c r="DD48" s="742"/>
      <c r="DE48" s="742"/>
      <c r="DF48" s="742"/>
      <c r="DG48" s="742"/>
      <c r="DH48" s="742"/>
      <c r="DI48" s="742"/>
      <c r="DJ48" s="742"/>
      <c r="DK48" s="742"/>
      <c r="DL48" s="742"/>
      <c r="DM48" s="742"/>
      <c r="DN48" s="742"/>
      <c r="DO48" s="742"/>
      <c r="DP48" s="742"/>
      <c r="DQ48" s="742"/>
      <c r="DR48" s="742"/>
      <c r="DS48" s="742"/>
      <c r="DT48" s="742"/>
      <c r="DU48" s="742"/>
      <c r="DV48" s="742"/>
      <c r="DW48" s="742"/>
      <c r="DX48" s="742"/>
      <c r="DY48" s="742"/>
      <c r="DZ48" s="742"/>
      <c r="EA48" s="742"/>
      <c r="EB48" s="742"/>
      <c r="EC48" s="742"/>
      <c r="ED48" s="742"/>
      <c r="EE48" s="742"/>
      <c r="EF48" s="742"/>
      <c r="EG48" s="742"/>
      <c r="EH48" s="742"/>
      <c r="EI48" s="742"/>
      <c r="EJ48" s="742"/>
      <c r="EK48" s="742"/>
      <c r="EL48" s="742"/>
      <c r="EM48" s="742"/>
      <c r="EN48" s="742"/>
      <c r="EO48" s="742"/>
      <c r="EP48" s="742"/>
      <c r="EQ48" s="742"/>
      <c r="ER48" s="742"/>
      <c r="ES48" s="742"/>
      <c r="ET48" s="742"/>
      <c r="EU48" s="742"/>
      <c r="EV48" s="742"/>
      <c r="EW48" s="742"/>
      <c r="EX48" s="742"/>
      <c r="EY48" s="742"/>
      <c r="EZ48" s="742"/>
      <c r="FA48" s="742"/>
      <c r="FB48" s="742"/>
      <c r="FC48" s="742"/>
      <c r="FD48" s="742"/>
      <c r="FE48" s="742"/>
      <c r="FF48" s="742"/>
      <c r="FG48" s="742"/>
      <c r="FH48" s="742"/>
      <c r="FI48" s="742"/>
      <c r="FJ48" s="742"/>
      <c r="FK48" s="742"/>
      <c r="FL48" s="742"/>
      <c r="FM48" s="742"/>
      <c r="FN48" s="742"/>
      <c r="FO48" s="742"/>
      <c r="FP48" s="742"/>
      <c r="FQ48" s="742"/>
      <c r="FR48" s="742"/>
      <c r="FS48" s="742"/>
      <c r="FT48" s="742"/>
      <c r="FU48" s="742"/>
      <c r="FV48" s="742"/>
      <c r="FW48" s="742"/>
      <c r="FX48" s="742"/>
      <c r="FY48" s="742"/>
      <c r="FZ48" s="742"/>
      <c r="GA48" s="742"/>
      <c r="GB48" s="742"/>
      <c r="GC48" s="742"/>
      <c r="GD48" s="742"/>
      <c r="GE48" s="742"/>
      <c r="GF48" s="742"/>
      <c r="GG48" s="742"/>
      <c r="GH48" s="742"/>
      <c r="GI48" s="742"/>
      <c r="GJ48" s="742"/>
      <c r="GK48" s="742"/>
      <c r="GL48" s="742"/>
      <c r="GM48" s="742"/>
      <c r="GN48" s="742"/>
      <c r="GO48" s="742"/>
      <c r="GP48" s="742"/>
      <c r="GQ48" s="742"/>
      <c r="GR48" s="742"/>
      <c r="GS48" s="742"/>
      <c r="GT48" s="742"/>
      <c r="GU48" s="742"/>
      <c r="GV48" s="742"/>
      <c r="GW48" s="742"/>
      <c r="GX48" s="742"/>
      <c r="GY48" s="742"/>
      <c r="GZ48" s="742"/>
      <c r="HA48" s="742"/>
      <c r="HB48" s="742"/>
      <c r="HC48" s="742"/>
      <c r="HD48" s="742"/>
      <c r="HE48" s="742"/>
      <c r="HF48" s="742"/>
      <c r="HG48" s="742"/>
      <c r="HH48" s="742"/>
      <c r="HI48" s="742"/>
      <c r="HJ48" s="742"/>
      <c r="HK48" s="742"/>
      <c r="HL48" s="742"/>
      <c r="HM48" s="742"/>
      <c r="HN48" s="742"/>
      <c r="HO48" s="742"/>
      <c r="HP48" s="742"/>
      <c r="HQ48" s="742"/>
      <c r="HR48" s="742"/>
      <c r="HS48" s="742"/>
      <c r="HT48" s="742"/>
      <c r="HU48" s="742"/>
      <c r="HV48" s="742"/>
      <c r="HW48" s="742"/>
      <c r="HX48" s="742"/>
      <c r="HY48" s="742"/>
      <c r="HZ48" s="742"/>
      <c r="IA48" s="742"/>
      <c r="IB48" s="742"/>
      <c r="IC48" s="742"/>
      <c r="ID48" s="742"/>
      <c r="IE48" s="742"/>
      <c r="IF48" s="742"/>
      <c r="IG48" s="742"/>
      <c r="IH48" s="742"/>
      <c r="II48" s="742"/>
      <c r="IJ48" s="742"/>
      <c r="IK48" s="742"/>
      <c r="IL48" s="742"/>
      <c r="IM48" s="742"/>
      <c r="IN48" s="742"/>
      <c r="IO48" s="742"/>
      <c r="IP48" s="742"/>
      <c r="IQ48" s="742"/>
      <c r="IR48" s="742"/>
      <c r="IS48" s="742"/>
      <c r="IT48" s="742"/>
      <c r="IU48" s="742"/>
      <c r="IV48" s="742"/>
      <c r="IW48" s="742"/>
    </row>
    <row r="49" customFormat="false" ht="12.75" hidden="false" customHeight="false" outlineLevel="0" collapsed="false">
      <c r="A49" s="780"/>
      <c r="B49" s="85"/>
      <c r="C49" s="85"/>
      <c r="D49" s="85"/>
      <c r="E49" s="781" t="n">
        <v>4080.827</v>
      </c>
      <c r="F49" s="781" t="n">
        <v>0</v>
      </c>
      <c r="G49" s="781" t="n">
        <v>0</v>
      </c>
      <c r="H49" s="781" t="n">
        <v>189.338</v>
      </c>
      <c r="I49" s="781" t="n">
        <v>37.533</v>
      </c>
      <c r="J49" s="781" t="n">
        <v>23.997</v>
      </c>
      <c r="K49" s="781" t="n">
        <v>3.651</v>
      </c>
      <c r="L49" s="781" t="n">
        <v>337.028</v>
      </c>
      <c r="M49" s="781" t="n">
        <v>6916.636</v>
      </c>
      <c r="N49" s="781" t="n">
        <v>342.331</v>
      </c>
      <c r="O49" s="781" t="n">
        <v>4740.848</v>
      </c>
      <c r="P49" s="781" t="n">
        <v>1616.826</v>
      </c>
      <c r="Q49" s="781" t="n">
        <v>4675.127</v>
      </c>
      <c r="R49" s="781" t="n">
        <v>3368.101</v>
      </c>
      <c r="S49" s="781" t="n">
        <v>5503.57</v>
      </c>
      <c r="T49" s="781" t="n">
        <v>11853.407</v>
      </c>
      <c r="U49" s="781" t="n">
        <v>5260.59</v>
      </c>
      <c r="V49" s="781" t="n">
        <v>8667.643</v>
      </c>
      <c r="W49" s="781" t="n">
        <v>8535.39936666667</v>
      </c>
      <c r="X49" s="781" t="n">
        <v>9029.91866666667</v>
      </c>
      <c r="Y49" s="781" t="n">
        <v>8200</v>
      </c>
      <c r="Z49" s="781" t="n">
        <v>7594</v>
      </c>
      <c r="AA49" s="781" t="n">
        <v>5990</v>
      </c>
      <c r="AB49" s="781" t="n">
        <v>0</v>
      </c>
      <c r="AC49" s="781" t="n">
        <v>5400</v>
      </c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753"/>
      <c r="AQ49" s="754" t="n">
        <f aca="false">AQ48+1</f>
        <v>43</v>
      </c>
      <c r="AR49" s="742" t="s">
        <v>312</v>
      </c>
      <c r="AS49" s="742"/>
      <c r="AT49" s="742"/>
      <c r="AU49" s="742"/>
      <c r="AV49" s="742"/>
      <c r="AW49" s="742"/>
      <c r="AX49" s="742"/>
      <c r="AY49" s="742"/>
      <c r="AZ49" s="742"/>
      <c r="BA49" s="742"/>
      <c r="BB49" s="742"/>
      <c r="BC49" s="742"/>
      <c r="BD49" s="742"/>
      <c r="BE49" s="742"/>
      <c r="BF49" s="742"/>
      <c r="BG49" s="742"/>
      <c r="BH49" s="742"/>
      <c r="BI49" s="742"/>
      <c r="BJ49" s="742"/>
      <c r="BK49" s="742"/>
      <c r="BL49" s="742"/>
      <c r="BM49" s="742"/>
      <c r="BN49" s="742"/>
      <c r="BO49" s="742"/>
      <c r="BP49" s="742"/>
      <c r="BQ49" s="742"/>
      <c r="BR49" s="742"/>
      <c r="BS49" s="742"/>
      <c r="BT49" s="742"/>
      <c r="BU49" s="742"/>
      <c r="BV49" s="742"/>
      <c r="BW49" s="742"/>
      <c r="BX49" s="742"/>
      <c r="BY49" s="742"/>
      <c r="BZ49" s="742"/>
      <c r="CA49" s="742"/>
      <c r="CB49" s="742"/>
      <c r="CC49" s="742"/>
      <c r="CD49" s="742"/>
      <c r="CE49" s="742"/>
      <c r="CF49" s="742"/>
      <c r="CG49" s="742"/>
      <c r="CH49" s="742"/>
      <c r="CI49" s="742"/>
      <c r="CJ49" s="742"/>
      <c r="CK49" s="742"/>
      <c r="CL49" s="742"/>
      <c r="CM49" s="742"/>
      <c r="CN49" s="742"/>
      <c r="CO49" s="742"/>
      <c r="CP49" s="742"/>
      <c r="CQ49" s="742"/>
      <c r="CR49" s="742"/>
      <c r="CS49" s="742"/>
      <c r="CT49" s="742"/>
      <c r="CU49" s="742"/>
      <c r="CV49" s="742"/>
      <c r="CW49" s="742"/>
      <c r="CX49" s="742"/>
      <c r="CY49" s="742"/>
      <c r="CZ49" s="742"/>
      <c r="DA49" s="742"/>
      <c r="DB49" s="742"/>
      <c r="DC49" s="742"/>
      <c r="DD49" s="742"/>
      <c r="DE49" s="742"/>
      <c r="DF49" s="742"/>
      <c r="DG49" s="742"/>
      <c r="DH49" s="742"/>
      <c r="DI49" s="742"/>
      <c r="DJ49" s="742"/>
      <c r="DK49" s="742"/>
      <c r="DL49" s="742"/>
      <c r="DM49" s="742"/>
      <c r="DN49" s="742"/>
      <c r="DO49" s="742"/>
      <c r="DP49" s="742"/>
      <c r="DQ49" s="742"/>
      <c r="DR49" s="742"/>
      <c r="DS49" s="742"/>
      <c r="DT49" s="742"/>
      <c r="DU49" s="742"/>
      <c r="DV49" s="742"/>
      <c r="DW49" s="742"/>
      <c r="DX49" s="742"/>
      <c r="DY49" s="742"/>
      <c r="DZ49" s="742"/>
      <c r="EA49" s="742"/>
      <c r="EB49" s="742"/>
      <c r="EC49" s="742"/>
      <c r="ED49" s="742"/>
      <c r="EE49" s="742"/>
      <c r="EF49" s="742"/>
      <c r="EG49" s="742"/>
      <c r="EH49" s="742"/>
      <c r="EI49" s="742"/>
      <c r="EJ49" s="742"/>
      <c r="EK49" s="742"/>
      <c r="EL49" s="742"/>
      <c r="EM49" s="742"/>
      <c r="EN49" s="742"/>
      <c r="EO49" s="742"/>
      <c r="EP49" s="742"/>
      <c r="EQ49" s="742"/>
      <c r="ER49" s="742"/>
      <c r="ES49" s="742"/>
      <c r="ET49" s="742"/>
      <c r="EU49" s="742"/>
      <c r="EV49" s="742"/>
      <c r="EW49" s="742"/>
      <c r="EX49" s="742"/>
      <c r="EY49" s="742"/>
      <c r="EZ49" s="742"/>
      <c r="FA49" s="742"/>
      <c r="FB49" s="742"/>
      <c r="FC49" s="742"/>
      <c r="FD49" s="742"/>
      <c r="FE49" s="742"/>
      <c r="FF49" s="742"/>
      <c r="FG49" s="742"/>
      <c r="FH49" s="742"/>
      <c r="FI49" s="742"/>
      <c r="FJ49" s="742"/>
      <c r="FK49" s="742"/>
      <c r="FL49" s="742"/>
      <c r="FM49" s="742"/>
      <c r="FN49" s="742"/>
      <c r="FO49" s="742"/>
      <c r="FP49" s="742"/>
      <c r="FQ49" s="742"/>
      <c r="FR49" s="742"/>
      <c r="FS49" s="742"/>
      <c r="FT49" s="742"/>
      <c r="FU49" s="742"/>
      <c r="FV49" s="742"/>
      <c r="FW49" s="742"/>
      <c r="FX49" s="742"/>
      <c r="FY49" s="742"/>
      <c r="FZ49" s="742"/>
      <c r="GA49" s="742"/>
      <c r="GB49" s="742"/>
      <c r="GC49" s="742"/>
      <c r="GD49" s="742"/>
      <c r="GE49" s="742"/>
      <c r="GF49" s="742"/>
      <c r="GG49" s="742"/>
      <c r="GH49" s="742"/>
      <c r="GI49" s="742"/>
      <c r="GJ49" s="742"/>
      <c r="GK49" s="742"/>
      <c r="GL49" s="742"/>
      <c r="GM49" s="742"/>
      <c r="GN49" s="742"/>
      <c r="GO49" s="742"/>
      <c r="GP49" s="742"/>
      <c r="GQ49" s="742"/>
      <c r="GR49" s="742"/>
      <c r="GS49" s="742"/>
      <c r="GT49" s="742"/>
      <c r="GU49" s="742"/>
      <c r="GV49" s="742"/>
      <c r="GW49" s="742"/>
      <c r="GX49" s="742"/>
      <c r="GY49" s="742"/>
      <c r="GZ49" s="742"/>
      <c r="HA49" s="742"/>
      <c r="HB49" s="742"/>
      <c r="HC49" s="742"/>
      <c r="HD49" s="742"/>
      <c r="HE49" s="742"/>
      <c r="HF49" s="742"/>
      <c r="HG49" s="742"/>
      <c r="HH49" s="742"/>
      <c r="HI49" s="742"/>
      <c r="HJ49" s="742"/>
      <c r="HK49" s="742"/>
      <c r="HL49" s="742"/>
      <c r="HM49" s="742"/>
      <c r="HN49" s="742"/>
      <c r="HO49" s="742"/>
      <c r="HP49" s="742"/>
      <c r="HQ49" s="742"/>
      <c r="HR49" s="742"/>
      <c r="HS49" s="742"/>
      <c r="HT49" s="742"/>
      <c r="HU49" s="742"/>
      <c r="HV49" s="742"/>
      <c r="HW49" s="742"/>
      <c r="HX49" s="742"/>
      <c r="HY49" s="742"/>
      <c r="HZ49" s="742"/>
      <c r="IA49" s="742"/>
      <c r="IB49" s="742"/>
      <c r="IC49" s="742"/>
      <c r="ID49" s="742"/>
      <c r="IE49" s="742"/>
      <c r="IF49" s="742"/>
      <c r="IG49" s="742"/>
      <c r="IH49" s="742"/>
      <c r="II49" s="742"/>
      <c r="IJ49" s="742"/>
      <c r="IK49" s="742"/>
      <c r="IL49" s="742"/>
      <c r="IM49" s="742"/>
      <c r="IN49" s="742"/>
      <c r="IO49" s="742"/>
      <c r="IP49" s="742"/>
      <c r="IQ49" s="742"/>
      <c r="IR49" s="742"/>
      <c r="IS49" s="742"/>
      <c r="IT49" s="742"/>
      <c r="IU49" s="742"/>
      <c r="IV49" s="742"/>
      <c r="IW49" s="742"/>
    </row>
    <row r="50" customFormat="false" ht="12.75" hidden="false" customHeight="false" outlineLevel="0" collapsed="false">
      <c r="A50" s="780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753"/>
      <c r="AQ50" s="754" t="n">
        <f aca="false">AQ49+1</f>
        <v>44</v>
      </c>
      <c r="AR50" s="747" t="s">
        <v>822</v>
      </c>
      <c r="AS50" s="742"/>
      <c r="AT50" s="742"/>
      <c r="AU50" s="742"/>
      <c r="AV50" s="742"/>
      <c r="AW50" s="742"/>
      <c r="AX50" s="742"/>
      <c r="AY50" s="742"/>
      <c r="AZ50" s="742"/>
      <c r="BA50" s="742"/>
      <c r="BB50" s="742"/>
      <c r="BC50" s="742"/>
      <c r="BD50" s="742"/>
      <c r="BE50" s="742"/>
      <c r="BF50" s="742"/>
      <c r="BG50" s="742"/>
      <c r="BH50" s="742"/>
      <c r="BI50" s="742"/>
      <c r="BJ50" s="742"/>
      <c r="BK50" s="742"/>
      <c r="BL50" s="742"/>
      <c r="BM50" s="742"/>
      <c r="BN50" s="742"/>
      <c r="BO50" s="742"/>
      <c r="BP50" s="742"/>
      <c r="BQ50" s="742"/>
      <c r="BR50" s="742"/>
      <c r="BS50" s="742"/>
      <c r="BT50" s="742"/>
      <c r="BU50" s="742"/>
      <c r="BV50" s="742"/>
      <c r="BW50" s="742"/>
      <c r="BX50" s="742"/>
      <c r="BY50" s="742"/>
      <c r="BZ50" s="742"/>
      <c r="CA50" s="742"/>
      <c r="CB50" s="742"/>
      <c r="CC50" s="742"/>
      <c r="CD50" s="742"/>
      <c r="CE50" s="742"/>
      <c r="CF50" s="742"/>
      <c r="CG50" s="742"/>
      <c r="CH50" s="742"/>
      <c r="CI50" s="742"/>
      <c r="CJ50" s="742"/>
      <c r="CK50" s="742"/>
      <c r="CL50" s="742"/>
      <c r="CM50" s="742"/>
      <c r="CN50" s="742"/>
      <c r="CO50" s="742"/>
      <c r="CP50" s="742"/>
      <c r="CQ50" s="742"/>
      <c r="CR50" s="742"/>
      <c r="CS50" s="742"/>
      <c r="CT50" s="742"/>
      <c r="CU50" s="742"/>
      <c r="CV50" s="742"/>
      <c r="CW50" s="742"/>
      <c r="CX50" s="742"/>
      <c r="CY50" s="742"/>
      <c r="CZ50" s="742"/>
      <c r="DA50" s="742"/>
      <c r="DB50" s="742"/>
      <c r="DC50" s="742"/>
      <c r="DD50" s="742"/>
      <c r="DE50" s="742"/>
      <c r="DF50" s="742"/>
      <c r="DG50" s="742"/>
      <c r="DH50" s="742"/>
      <c r="DI50" s="742"/>
      <c r="DJ50" s="742"/>
      <c r="DK50" s="742"/>
      <c r="DL50" s="742"/>
      <c r="DM50" s="742"/>
      <c r="DN50" s="742"/>
      <c r="DO50" s="742"/>
      <c r="DP50" s="742"/>
      <c r="DQ50" s="742"/>
      <c r="DR50" s="742"/>
      <c r="DS50" s="742"/>
      <c r="DT50" s="742"/>
      <c r="DU50" s="742"/>
      <c r="DV50" s="742"/>
      <c r="DW50" s="742"/>
      <c r="DX50" s="742"/>
      <c r="DY50" s="742"/>
      <c r="DZ50" s="742"/>
      <c r="EA50" s="742"/>
      <c r="EB50" s="742"/>
      <c r="EC50" s="742"/>
      <c r="ED50" s="742"/>
      <c r="EE50" s="742"/>
      <c r="EF50" s="742"/>
      <c r="EG50" s="742"/>
      <c r="EH50" s="742"/>
      <c r="EI50" s="742"/>
      <c r="EJ50" s="742"/>
      <c r="EK50" s="742"/>
      <c r="EL50" s="742"/>
      <c r="EM50" s="742"/>
      <c r="EN50" s="742"/>
      <c r="EO50" s="742"/>
      <c r="EP50" s="742"/>
      <c r="EQ50" s="742"/>
      <c r="ER50" s="742"/>
      <c r="ES50" s="742"/>
      <c r="ET50" s="742"/>
      <c r="EU50" s="742"/>
      <c r="EV50" s="742"/>
      <c r="EW50" s="742"/>
      <c r="EX50" s="742"/>
      <c r="EY50" s="742"/>
      <c r="EZ50" s="742"/>
      <c r="FA50" s="742"/>
      <c r="FB50" s="742"/>
      <c r="FC50" s="742"/>
      <c r="FD50" s="742"/>
      <c r="FE50" s="742"/>
      <c r="FF50" s="742"/>
      <c r="FG50" s="742"/>
      <c r="FH50" s="742"/>
      <c r="FI50" s="742"/>
      <c r="FJ50" s="742"/>
      <c r="FK50" s="742"/>
      <c r="FL50" s="742"/>
      <c r="FM50" s="742"/>
      <c r="FN50" s="742"/>
      <c r="FO50" s="742"/>
      <c r="FP50" s="742"/>
      <c r="FQ50" s="742"/>
      <c r="FR50" s="742"/>
      <c r="FS50" s="742"/>
      <c r="FT50" s="742"/>
      <c r="FU50" s="742"/>
      <c r="FV50" s="742"/>
      <c r="FW50" s="742"/>
      <c r="FX50" s="742"/>
      <c r="FY50" s="742"/>
      <c r="FZ50" s="742"/>
      <c r="GA50" s="742"/>
      <c r="GB50" s="742"/>
      <c r="GC50" s="742"/>
      <c r="GD50" s="742"/>
      <c r="GE50" s="742"/>
      <c r="GF50" s="742"/>
      <c r="GG50" s="742"/>
      <c r="GH50" s="742"/>
      <c r="GI50" s="742"/>
      <c r="GJ50" s="742"/>
      <c r="GK50" s="742"/>
      <c r="GL50" s="742"/>
      <c r="GM50" s="742"/>
      <c r="GN50" s="742"/>
      <c r="GO50" s="742"/>
      <c r="GP50" s="742"/>
      <c r="GQ50" s="742"/>
      <c r="GR50" s="742"/>
      <c r="GS50" s="742"/>
      <c r="GT50" s="742"/>
      <c r="GU50" s="742"/>
      <c r="GV50" s="742"/>
      <c r="GW50" s="742"/>
      <c r="GX50" s="742"/>
      <c r="GY50" s="742"/>
      <c r="GZ50" s="742"/>
      <c r="HA50" s="742"/>
      <c r="HB50" s="742"/>
      <c r="HC50" s="742"/>
      <c r="HD50" s="742"/>
      <c r="HE50" s="742"/>
      <c r="HF50" s="742"/>
      <c r="HG50" s="742"/>
      <c r="HH50" s="742"/>
      <c r="HI50" s="742"/>
      <c r="HJ50" s="742"/>
      <c r="HK50" s="742"/>
      <c r="HL50" s="742"/>
      <c r="HM50" s="742"/>
      <c r="HN50" s="742"/>
      <c r="HO50" s="742"/>
      <c r="HP50" s="742"/>
      <c r="HQ50" s="742"/>
      <c r="HR50" s="742"/>
      <c r="HS50" s="742"/>
      <c r="HT50" s="742"/>
      <c r="HU50" s="742"/>
      <c r="HV50" s="742"/>
      <c r="HW50" s="742"/>
      <c r="HX50" s="742"/>
      <c r="HY50" s="742"/>
      <c r="HZ50" s="742"/>
      <c r="IA50" s="742"/>
      <c r="IB50" s="742"/>
      <c r="IC50" s="742"/>
      <c r="ID50" s="742"/>
      <c r="IE50" s="742"/>
      <c r="IF50" s="742"/>
      <c r="IG50" s="742"/>
      <c r="IH50" s="742"/>
      <c r="II50" s="742"/>
      <c r="IJ50" s="742"/>
      <c r="IK50" s="742"/>
      <c r="IL50" s="742"/>
      <c r="IM50" s="742"/>
      <c r="IN50" s="742"/>
      <c r="IO50" s="742"/>
      <c r="IP50" s="742"/>
      <c r="IQ50" s="742"/>
      <c r="IR50" s="742"/>
      <c r="IS50" s="742"/>
      <c r="IT50" s="742"/>
      <c r="IU50" s="742"/>
      <c r="IV50" s="742"/>
      <c r="IW50" s="742"/>
    </row>
    <row r="51" customFormat="false" ht="12.75" hidden="false" customHeight="false" outlineLevel="0" collapsed="false">
      <c r="A51" s="782" t="s">
        <v>823</v>
      </c>
      <c r="B51" s="783"/>
      <c r="C51" s="783"/>
      <c r="D51" s="783"/>
      <c r="E51" s="784" t="n">
        <v>35886</v>
      </c>
      <c r="F51" s="785" t="n">
        <f aca="false">EDATE(E51,1)</f>
        <v>35916</v>
      </c>
      <c r="G51" s="785" t="n">
        <f aca="false">EDATE(F51,1)</f>
        <v>35947</v>
      </c>
      <c r="H51" s="785" t="n">
        <f aca="false">EDATE(G51,1)</f>
        <v>35977</v>
      </c>
      <c r="I51" s="785" t="n">
        <f aca="false">EDATE(H51,1)</f>
        <v>36008</v>
      </c>
      <c r="J51" s="785" t="n">
        <f aca="false">EDATE(I51,1)</f>
        <v>36039</v>
      </c>
      <c r="K51" s="785" t="n">
        <f aca="false">EDATE(J51,1)</f>
        <v>36069</v>
      </c>
      <c r="L51" s="785" t="n">
        <f aca="false">EDATE(K51,1)</f>
        <v>36100</v>
      </c>
      <c r="M51" s="785" t="n">
        <f aca="false">EDATE(L51,1)</f>
        <v>36130</v>
      </c>
      <c r="N51" s="785" t="n">
        <f aca="false">EDATE(M51,1)</f>
        <v>36161</v>
      </c>
      <c r="O51" s="785" t="n">
        <f aca="false">EDATE(N51,1)</f>
        <v>36192</v>
      </c>
      <c r="P51" s="785" t="n">
        <f aca="false">EDATE(O51,1)</f>
        <v>36220</v>
      </c>
      <c r="Q51" s="785" t="n">
        <f aca="false">EDATE(P51,1)</f>
        <v>36251</v>
      </c>
      <c r="R51" s="785" t="n">
        <f aca="false">EDATE(Q51,1)</f>
        <v>36281</v>
      </c>
      <c r="S51" s="785" t="n">
        <f aca="false">EDATE(R51,1)</f>
        <v>36312</v>
      </c>
      <c r="T51" s="785" t="n">
        <f aca="false">EDATE(S51,1)</f>
        <v>36342</v>
      </c>
      <c r="U51" s="785" t="n">
        <f aca="false">EDATE(T51,1)</f>
        <v>36373</v>
      </c>
      <c r="V51" s="785" t="n">
        <f aca="false">EDATE(U51,1)</f>
        <v>36404</v>
      </c>
      <c r="W51" s="785" t="n">
        <f aca="false">EDATE(V51,1)</f>
        <v>36434</v>
      </c>
      <c r="X51" s="785" t="n">
        <f aca="false">EDATE(W51,1)</f>
        <v>36465</v>
      </c>
      <c r="Y51" s="785" t="n">
        <f aca="false">EDATE(X51,1)</f>
        <v>36495</v>
      </c>
      <c r="Z51" s="785" t="n">
        <f aca="false">EDATE(Y51,1)</f>
        <v>36526</v>
      </c>
      <c r="AA51" s="785" t="n">
        <f aca="false">EDATE(Z51,1)</f>
        <v>36557</v>
      </c>
      <c r="AB51" s="785" t="n">
        <f aca="false">EDATE(AA51,1)</f>
        <v>36586</v>
      </c>
      <c r="AC51" s="785" t="n">
        <f aca="false">EDATE(AB51,1)</f>
        <v>36617</v>
      </c>
      <c r="AD51" s="785" t="n">
        <f aca="false">EDATE(AC51,1)</f>
        <v>36647</v>
      </c>
      <c r="AE51" s="785" t="n">
        <f aca="false">EDATE(AD51,1)</f>
        <v>36678</v>
      </c>
      <c r="AF51" s="785" t="n">
        <f aca="false">EDATE(AE51,1)</f>
        <v>36708</v>
      </c>
      <c r="AG51" s="785" t="n">
        <f aca="false">EDATE(AF51,1)</f>
        <v>36739</v>
      </c>
      <c r="AH51" s="785" t="n">
        <f aca="false">EDATE(AG51,1)</f>
        <v>36770</v>
      </c>
      <c r="AI51" s="785" t="n">
        <f aca="false">EDATE(AH51,1)</f>
        <v>36800</v>
      </c>
      <c r="AJ51" s="785" t="n">
        <f aca="false">EDATE(AI51,1)</f>
        <v>36831</v>
      </c>
      <c r="AK51" s="785" t="n">
        <f aca="false">EDATE(AJ51,1)</f>
        <v>36861</v>
      </c>
      <c r="AL51" s="785" t="n">
        <f aca="false">EDATE(AK51,1)</f>
        <v>36892</v>
      </c>
      <c r="AM51" s="785" t="n">
        <f aca="false">EDATE(AL51,1)</f>
        <v>36923</v>
      </c>
      <c r="AN51" s="785" t="n">
        <f aca="false">EDATE(AM51,1)</f>
        <v>36951</v>
      </c>
      <c r="AO51" s="783"/>
      <c r="AP51" s="786"/>
      <c r="AQ51" s="754" t="n">
        <f aca="false">AQ50+1</f>
        <v>45</v>
      </c>
      <c r="AR51" s="787" t="n">
        <v>1</v>
      </c>
      <c r="AS51" s="742"/>
      <c r="AT51" s="742"/>
      <c r="AU51" s="742"/>
      <c r="AV51" s="742"/>
      <c r="AW51" s="742"/>
      <c r="AX51" s="742"/>
      <c r="AY51" s="742"/>
      <c r="AZ51" s="742"/>
      <c r="BA51" s="742"/>
      <c r="BB51" s="742"/>
      <c r="BC51" s="742"/>
      <c r="BD51" s="742"/>
      <c r="BE51" s="742"/>
      <c r="BF51" s="742"/>
      <c r="BG51" s="742"/>
      <c r="BH51" s="742"/>
      <c r="BI51" s="742"/>
      <c r="BJ51" s="742"/>
      <c r="BK51" s="742"/>
      <c r="BL51" s="742"/>
      <c r="BM51" s="742"/>
      <c r="BN51" s="742"/>
      <c r="BO51" s="742"/>
      <c r="BP51" s="742"/>
      <c r="BQ51" s="742"/>
      <c r="BR51" s="742"/>
      <c r="BS51" s="742"/>
      <c r="BT51" s="742"/>
      <c r="BU51" s="742"/>
      <c r="BV51" s="742"/>
      <c r="BW51" s="742"/>
      <c r="BX51" s="742"/>
      <c r="BY51" s="742"/>
      <c r="BZ51" s="742"/>
      <c r="CA51" s="742"/>
      <c r="CB51" s="742"/>
      <c r="CC51" s="742"/>
      <c r="CD51" s="742"/>
      <c r="CE51" s="742"/>
      <c r="CF51" s="742"/>
      <c r="CG51" s="742"/>
      <c r="CH51" s="742"/>
      <c r="CI51" s="742"/>
      <c r="CJ51" s="742"/>
      <c r="CK51" s="742"/>
      <c r="CL51" s="742"/>
      <c r="CM51" s="742"/>
      <c r="CN51" s="742"/>
      <c r="CO51" s="742"/>
      <c r="CP51" s="742"/>
      <c r="CQ51" s="742"/>
      <c r="CR51" s="742"/>
      <c r="CS51" s="742"/>
      <c r="CT51" s="742"/>
      <c r="CU51" s="742"/>
      <c r="CV51" s="742"/>
      <c r="CW51" s="742"/>
      <c r="CX51" s="742"/>
      <c r="CY51" s="742"/>
      <c r="CZ51" s="742"/>
      <c r="DA51" s="742"/>
      <c r="DB51" s="742"/>
      <c r="DC51" s="742"/>
      <c r="DD51" s="742"/>
      <c r="DE51" s="742"/>
      <c r="DF51" s="742"/>
      <c r="DG51" s="742"/>
      <c r="DH51" s="742"/>
      <c r="DI51" s="742"/>
      <c r="DJ51" s="742"/>
      <c r="DK51" s="742"/>
      <c r="DL51" s="742"/>
      <c r="DM51" s="742"/>
      <c r="DN51" s="742"/>
      <c r="DO51" s="742"/>
      <c r="DP51" s="742"/>
      <c r="DQ51" s="742"/>
      <c r="DR51" s="742"/>
      <c r="DS51" s="742"/>
      <c r="DT51" s="742"/>
      <c r="DU51" s="742"/>
      <c r="DV51" s="742"/>
      <c r="DW51" s="742"/>
      <c r="DX51" s="742"/>
      <c r="DY51" s="742"/>
      <c r="DZ51" s="742"/>
      <c r="EA51" s="742"/>
      <c r="EB51" s="742"/>
      <c r="EC51" s="742"/>
      <c r="ED51" s="742"/>
      <c r="EE51" s="742"/>
      <c r="EF51" s="742"/>
      <c r="EG51" s="742"/>
      <c r="EH51" s="742"/>
      <c r="EI51" s="742"/>
      <c r="EJ51" s="742"/>
      <c r="EK51" s="742"/>
      <c r="EL51" s="742"/>
      <c r="EM51" s="742"/>
      <c r="EN51" s="742"/>
      <c r="EO51" s="742"/>
      <c r="EP51" s="742"/>
      <c r="EQ51" s="742"/>
      <c r="ER51" s="742"/>
      <c r="ES51" s="742"/>
      <c r="ET51" s="742"/>
      <c r="EU51" s="742"/>
      <c r="EV51" s="742"/>
      <c r="EW51" s="742"/>
      <c r="EX51" s="742"/>
      <c r="EY51" s="742"/>
      <c r="EZ51" s="742"/>
      <c r="FA51" s="742"/>
      <c r="FB51" s="742"/>
      <c r="FC51" s="742"/>
      <c r="FD51" s="742"/>
      <c r="FE51" s="742"/>
      <c r="FF51" s="742"/>
      <c r="FG51" s="742"/>
      <c r="FH51" s="742"/>
      <c r="FI51" s="742"/>
      <c r="FJ51" s="742"/>
      <c r="FK51" s="742"/>
      <c r="FL51" s="742"/>
      <c r="FM51" s="742"/>
      <c r="FN51" s="742"/>
      <c r="FO51" s="742"/>
      <c r="FP51" s="742"/>
      <c r="FQ51" s="742"/>
      <c r="FR51" s="742"/>
      <c r="FS51" s="742"/>
      <c r="FT51" s="742"/>
      <c r="FU51" s="742"/>
      <c r="FV51" s="742"/>
      <c r="FW51" s="742"/>
      <c r="FX51" s="742"/>
      <c r="FY51" s="742"/>
      <c r="FZ51" s="742"/>
      <c r="GA51" s="742"/>
      <c r="GB51" s="742"/>
      <c r="GC51" s="742"/>
      <c r="GD51" s="742"/>
      <c r="GE51" s="742"/>
      <c r="GF51" s="742"/>
      <c r="GG51" s="742"/>
      <c r="GH51" s="742"/>
      <c r="GI51" s="742"/>
      <c r="GJ51" s="742"/>
      <c r="GK51" s="742"/>
      <c r="GL51" s="742"/>
      <c r="GM51" s="742"/>
      <c r="GN51" s="742"/>
      <c r="GO51" s="742"/>
      <c r="GP51" s="742"/>
      <c r="GQ51" s="742"/>
      <c r="GR51" s="742"/>
      <c r="GS51" s="742"/>
      <c r="GT51" s="742"/>
      <c r="GU51" s="742"/>
      <c r="GV51" s="742"/>
      <c r="GW51" s="742"/>
      <c r="GX51" s="742"/>
      <c r="GY51" s="742"/>
      <c r="GZ51" s="742"/>
      <c r="HA51" s="742"/>
      <c r="HB51" s="742"/>
      <c r="HC51" s="742"/>
      <c r="HD51" s="742"/>
      <c r="HE51" s="742"/>
      <c r="HF51" s="742"/>
      <c r="HG51" s="742"/>
      <c r="HH51" s="742"/>
      <c r="HI51" s="742"/>
      <c r="HJ51" s="742"/>
      <c r="HK51" s="742"/>
      <c r="HL51" s="742"/>
      <c r="HM51" s="742"/>
      <c r="HN51" s="742"/>
      <c r="HO51" s="742"/>
      <c r="HP51" s="742"/>
      <c r="HQ51" s="742"/>
      <c r="HR51" s="742"/>
      <c r="HS51" s="742"/>
      <c r="HT51" s="742"/>
      <c r="HU51" s="742"/>
      <c r="HV51" s="742"/>
      <c r="HW51" s="742"/>
      <c r="HX51" s="742"/>
      <c r="HY51" s="742"/>
      <c r="HZ51" s="742"/>
      <c r="IA51" s="742"/>
      <c r="IB51" s="742"/>
      <c r="IC51" s="742"/>
      <c r="ID51" s="742"/>
      <c r="IE51" s="742"/>
      <c r="IF51" s="742"/>
      <c r="IG51" s="742"/>
      <c r="IH51" s="742"/>
      <c r="II51" s="742"/>
      <c r="IJ51" s="742"/>
      <c r="IK51" s="742"/>
      <c r="IL51" s="742"/>
      <c r="IM51" s="742"/>
      <c r="IN51" s="742"/>
      <c r="IO51" s="742"/>
      <c r="IP51" s="742"/>
      <c r="IQ51" s="742"/>
      <c r="IR51" s="742"/>
      <c r="IS51" s="742"/>
      <c r="IT51" s="742"/>
      <c r="IU51" s="742"/>
      <c r="IV51" s="742"/>
      <c r="IW51" s="742"/>
    </row>
    <row r="52" customFormat="false" ht="12.75" hidden="false" customHeight="false" outlineLevel="0" collapsed="false">
      <c r="A52" s="788" t="s">
        <v>824</v>
      </c>
      <c r="B52" s="789"/>
      <c r="C52" s="789"/>
      <c r="D52" s="789"/>
      <c r="E52" s="790" t="n">
        <f aca="false">E$6</f>
        <v>1</v>
      </c>
      <c r="F52" s="790" t="n">
        <f aca="false">F$6</f>
        <v>2</v>
      </c>
      <c r="G52" s="790" t="n">
        <f aca="false">G$6</f>
        <v>3</v>
      </c>
      <c r="H52" s="790" t="n">
        <f aca="false">H$6</f>
        <v>4</v>
      </c>
      <c r="I52" s="790" t="n">
        <f aca="false">I$6</f>
        <v>5</v>
      </c>
      <c r="J52" s="790" t="n">
        <f aca="false">J$6</f>
        <v>6</v>
      </c>
      <c r="K52" s="790" t="n">
        <f aca="false">K$6</f>
        <v>7</v>
      </c>
      <c r="L52" s="790" t="n">
        <f aca="false">L$6</f>
        <v>8</v>
      </c>
      <c r="M52" s="790" t="n">
        <f aca="false">M$6</f>
        <v>9</v>
      </c>
      <c r="N52" s="790" t="n">
        <f aca="false">N$6</f>
        <v>10</v>
      </c>
      <c r="O52" s="790" t="n">
        <f aca="false">O$6</f>
        <v>11</v>
      </c>
      <c r="P52" s="790" t="n">
        <f aca="false">P$6</f>
        <v>12</v>
      </c>
      <c r="Q52" s="790" t="n">
        <f aca="false">Q$6</f>
        <v>13</v>
      </c>
      <c r="R52" s="790" t="n">
        <f aca="false">R$6</f>
        <v>14</v>
      </c>
      <c r="S52" s="790" t="n">
        <f aca="false">S$6</f>
        <v>15</v>
      </c>
      <c r="T52" s="790" t="n">
        <f aca="false">T$6</f>
        <v>16</v>
      </c>
      <c r="U52" s="790" t="n">
        <f aca="false">U$6</f>
        <v>17</v>
      </c>
      <c r="V52" s="790" t="n">
        <f aca="false">V$6</f>
        <v>18</v>
      </c>
      <c r="W52" s="790" t="n">
        <f aca="false">W$6</f>
        <v>19</v>
      </c>
      <c r="X52" s="790" t="n">
        <f aca="false">X$6</f>
        <v>20</v>
      </c>
      <c r="Y52" s="790" t="n">
        <f aca="false">Y$6</f>
        <v>21</v>
      </c>
      <c r="Z52" s="790" t="n">
        <f aca="false">Z$6</f>
        <v>22</v>
      </c>
      <c r="AA52" s="790" t="n">
        <f aca="false">AA$6</f>
        <v>23</v>
      </c>
      <c r="AB52" s="790" t="n">
        <f aca="false">AB$6</f>
        <v>24</v>
      </c>
      <c r="AC52" s="790" t="n">
        <f aca="false">AC$6</f>
        <v>25</v>
      </c>
      <c r="AD52" s="790" t="n">
        <f aca="false">AD$6</f>
        <v>26</v>
      </c>
      <c r="AE52" s="790" t="n">
        <f aca="false">AE$6</f>
        <v>27</v>
      </c>
      <c r="AF52" s="790" t="n">
        <f aca="false">AF$6</f>
        <v>28</v>
      </c>
      <c r="AG52" s="790" t="n">
        <f aca="false">AG$6</f>
        <v>29</v>
      </c>
      <c r="AH52" s="790" t="n">
        <f aca="false">AH$6</f>
        <v>30</v>
      </c>
      <c r="AI52" s="790" t="n">
        <f aca="false">AI$6</f>
        <v>31</v>
      </c>
      <c r="AJ52" s="790" t="n">
        <f aca="false">AJ$6</f>
        <v>32</v>
      </c>
      <c r="AK52" s="790" t="n">
        <f aca="false">AK$6</f>
        <v>33</v>
      </c>
      <c r="AL52" s="790" t="n">
        <f aca="false">AL$6</f>
        <v>34</v>
      </c>
      <c r="AM52" s="790" t="n">
        <f aca="false">AM$6</f>
        <v>35</v>
      </c>
      <c r="AN52" s="790" t="n">
        <f aca="false">AN$6</f>
        <v>36</v>
      </c>
      <c r="AO52" s="789"/>
      <c r="AP52" s="791"/>
      <c r="AQ52" s="754" t="n">
        <f aca="false">AQ51+1</f>
        <v>46</v>
      </c>
      <c r="AR52" s="792" t="n">
        <f aca="false">AR51+1</f>
        <v>2</v>
      </c>
      <c r="AS52" s="742"/>
      <c r="AT52" s="742"/>
      <c r="AU52" s="742"/>
      <c r="AV52" s="742"/>
      <c r="AW52" s="742"/>
      <c r="AX52" s="742"/>
      <c r="AY52" s="742"/>
      <c r="AZ52" s="742"/>
      <c r="BA52" s="742"/>
      <c r="BB52" s="742"/>
      <c r="BC52" s="742"/>
      <c r="BD52" s="742"/>
      <c r="BE52" s="742"/>
      <c r="BF52" s="742"/>
      <c r="BG52" s="742"/>
      <c r="BH52" s="742"/>
      <c r="BI52" s="742"/>
      <c r="BJ52" s="742"/>
      <c r="BK52" s="742"/>
      <c r="BL52" s="742"/>
      <c r="BM52" s="742"/>
      <c r="BN52" s="742"/>
      <c r="BO52" s="742"/>
      <c r="BP52" s="742"/>
      <c r="BQ52" s="742"/>
      <c r="BR52" s="742"/>
      <c r="BS52" s="742"/>
      <c r="BT52" s="742"/>
      <c r="BU52" s="742"/>
      <c r="BV52" s="742"/>
      <c r="BW52" s="742"/>
      <c r="BX52" s="742"/>
      <c r="BY52" s="742"/>
      <c r="BZ52" s="742"/>
      <c r="CA52" s="742"/>
      <c r="CB52" s="742"/>
      <c r="CC52" s="742"/>
      <c r="CD52" s="742"/>
      <c r="CE52" s="742"/>
      <c r="CF52" s="742"/>
      <c r="CG52" s="742"/>
      <c r="CH52" s="742"/>
      <c r="CI52" s="742"/>
      <c r="CJ52" s="742"/>
      <c r="CK52" s="742"/>
      <c r="CL52" s="742"/>
      <c r="CM52" s="742"/>
      <c r="CN52" s="742"/>
      <c r="CO52" s="742"/>
      <c r="CP52" s="742"/>
      <c r="CQ52" s="742"/>
      <c r="CR52" s="742"/>
      <c r="CS52" s="742"/>
      <c r="CT52" s="742"/>
      <c r="CU52" s="742"/>
      <c r="CV52" s="742"/>
      <c r="CW52" s="742"/>
      <c r="CX52" s="742"/>
      <c r="CY52" s="742"/>
      <c r="CZ52" s="742"/>
      <c r="DA52" s="742"/>
      <c r="DB52" s="742"/>
      <c r="DC52" s="742"/>
      <c r="DD52" s="742"/>
      <c r="DE52" s="742"/>
      <c r="DF52" s="742"/>
      <c r="DG52" s="742"/>
      <c r="DH52" s="742"/>
      <c r="DI52" s="742"/>
      <c r="DJ52" s="742"/>
      <c r="DK52" s="742"/>
      <c r="DL52" s="742"/>
      <c r="DM52" s="742"/>
      <c r="DN52" s="742"/>
      <c r="DO52" s="742"/>
      <c r="DP52" s="742"/>
      <c r="DQ52" s="742"/>
      <c r="DR52" s="742"/>
      <c r="DS52" s="742"/>
      <c r="DT52" s="742"/>
      <c r="DU52" s="742"/>
      <c r="DV52" s="742"/>
      <c r="DW52" s="742"/>
      <c r="DX52" s="742"/>
      <c r="DY52" s="742"/>
      <c r="DZ52" s="742"/>
      <c r="EA52" s="742"/>
      <c r="EB52" s="742"/>
      <c r="EC52" s="742"/>
      <c r="ED52" s="742"/>
      <c r="EE52" s="742"/>
      <c r="EF52" s="742"/>
      <c r="EG52" s="742"/>
      <c r="EH52" s="742"/>
      <c r="EI52" s="742"/>
      <c r="EJ52" s="742"/>
      <c r="EK52" s="742"/>
      <c r="EL52" s="742"/>
      <c r="EM52" s="742"/>
      <c r="EN52" s="742"/>
      <c r="EO52" s="742"/>
      <c r="EP52" s="742"/>
      <c r="EQ52" s="742"/>
      <c r="ER52" s="742"/>
      <c r="ES52" s="742"/>
      <c r="ET52" s="742"/>
      <c r="EU52" s="742"/>
      <c r="EV52" s="742"/>
      <c r="EW52" s="742"/>
      <c r="EX52" s="742"/>
      <c r="EY52" s="742"/>
      <c r="EZ52" s="742"/>
      <c r="FA52" s="742"/>
      <c r="FB52" s="742"/>
      <c r="FC52" s="742"/>
      <c r="FD52" s="742"/>
      <c r="FE52" s="742"/>
      <c r="FF52" s="742"/>
      <c r="FG52" s="742"/>
      <c r="FH52" s="742"/>
      <c r="FI52" s="742"/>
      <c r="FJ52" s="742"/>
      <c r="FK52" s="742"/>
      <c r="FL52" s="742"/>
      <c r="FM52" s="742"/>
      <c r="FN52" s="742"/>
      <c r="FO52" s="742"/>
      <c r="FP52" s="742"/>
      <c r="FQ52" s="742"/>
      <c r="FR52" s="742"/>
      <c r="FS52" s="742"/>
      <c r="FT52" s="742"/>
      <c r="FU52" s="742"/>
      <c r="FV52" s="742"/>
      <c r="FW52" s="742"/>
      <c r="FX52" s="742"/>
      <c r="FY52" s="742"/>
      <c r="FZ52" s="742"/>
      <c r="GA52" s="742"/>
      <c r="GB52" s="742"/>
      <c r="GC52" s="742"/>
      <c r="GD52" s="742"/>
      <c r="GE52" s="742"/>
      <c r="GF52" s="742"/>
      <c r="GG52" s="742"/>
      <c r="GH52" s="742"/>
      <c r="GI52" s="742"/>
      <c r="GJ52" s="742"/>
      <c r="GK52" s="742"/>
      <c r="GL52" s="742"/>
      <c r="GM52" s="742"/>
      <c r="GN52" s="742"/>
      <c r="GO52" s="742"/>
      <c r="GP52" s="742"/>
      <c r="GQ52" s="742"/>
      <c r="GR52" s="742"/>
      <c r="GS52" s="742"/>
      <c r="GT52" s="742"/>
      <c r="GU52" s="742"/>
      <c r="GV52" s="742"/>
      <c r="GW52" s="742"/>
      <c r="GX52" s="742"/>
      <c r="GY52" s="742"/>
      <c r="GZ52" s="742"/>
      <c r="HA52" s="742"/>
      <c r="HB52" s="742"/>
      <c r="HC52" s="742"/>
      <c r="HD52" s="742"/>
      <c r="HE52" s="742"/>
      <c r="HF52" s="742"/>
      <c r="HG52" s="742"/>
      <c r="HH52" s="742"/>
      <c r="HI52" s="742"/>
      <c r="HJ52" s="742"/>
      <c r="HK52" s="742"/>
      <c r="HL52" s="742"/>
      <c r="HM52" s="742"/>
      <c r="HN52" s="742"/>
      <c r="HO52" s="742"/>
      <c r="HP52" s="742"/>
      <c r="HQ52" s="742"/>
      <c r="HR52" s="742"/>
      <c r="HS52" s="742"/>
      <c r="HT52" s="742"/>
      <c r="HU52" s="742"/>
      <c r="HV52" s="742"/>
      <c r="HW52" s="742"/>
      <c r="HX52" s="742"/>
      <c r="HY52" s="742"/>
      <c r="HZ52" s="742"/>
      <c r="IA52" s="742"/>
      <c r="IB52" s="742"/>
      <c r="IC52" s="742"/>
      <c r="ID52" s="742"/>
      <c r="IE52" s="742"/>
      <c r="IF52" s="742"/>
      <c r="IG52" s="742"/>
      <c r="IH52" s="742"/>
      <c r="II52" s="742"/>
      <c r="IJ52" s="742"/>
      <c r="IK52" s="742"/>
      <c r="IL52" s="742"/>
      <c r="IM52" s="742"/>
      <c r="IN52" s="742"/>
      <c r="IO52" s="742"/>
      <c r="IP52" s="742"/>
      <c r="IQ52" s="742"/>
      <c r="IR52" s="742"/>
      <c r="IS52" s="742"/>
      <c r="IT52" s="742"/>
      <c r="IU52" s="742"/>
      <c r="IV52" s="742"/>
      <c r="IW52" s="742"/>
    </row>
    <row r="53" customFormat="false" ht="12.75" hidden="false" customHeight="false" outlineLevel="0" collapsed="false">
      <c r="A53" s="793"/>
      <c r="B53" s="789" t="s">
        <v>825</v>
      </c>
      <c r="C53" s="789"/>
      <c r="D53" s="789"/>
      <c r="E53" s="794" t="n">
        <v>1590.94</v>
      </c>
      <c r="F53" s="795" t="n">
        <v>1072.708</v>
      </c>
      <c r="G53" s="795" t="n">
        <v>407.384</v>
      </c>
      <c r="H53" s="795" t="n">
        <v>229.018</v>
      </c>
      <c r="I53" s="795" t="n">
        <v>246.377</v>
      </c>
      <c r="J53" s="795" t="n">
        <v>661.813</v>
      </c>
      <c r="K53" s="795" t="n">
        <v>8344.499</v>
      </c>
      <c r="L53" s="795" t="n">
        <v>165.36</v>
      </c>
      <c r="M53" s="795" t="n">
        <v>3246.718</v>
      </c>
      <c r="N53" s="795" t="n">
        <v>87.756</v>
      </c>
      <c r="O53" s="795" t="n">
        <v>9915.896</v>
      </c>
      <c r="P53" s="795" t="n">
        <v>5495.766</v>
      </c>
      <c r="Q53" s="795" t="n">
        <v>10263.095</v>
      </c>
      <c r="R53" s="795" t="n">
        <v>10625.795</v>
      </c>
      <c r="S53" s="795" t="n">
        <v>7979.478</v>
      </c>
      <c r="T53" s="795" t="n">
        <v>7421.242</v>
      </c>
      <c r="U53" s="795" t="n">
        <v>3925.414</v>
      </c>
      <c r="V53" s="795" t="n">
        <v>3274.14</v>
      </c>
      <c r="W53" s="795" t="n">
        <v>3160.297</v>
      </c>
      <c r="X53" s="795" t="n">
        <v>5284.1</v>
      </c>
      <c r="Y53" s="795" t="n">
        <v>56.293</v>
      </c>
      <c r="Z53" s="795" t="n">
        <v>60.962</v>
      </c>
      <c r="AA53" s="795" t="n">
        <v>59.154</v>
      </c>
      <c r="AB53" s="795" t="n">
        <v>56.454</v>
      </c>
      <c r="AC53" s="795" t="n">
        <v>9368.977</v>
      </c>
      <c r="AD53" s="795" t="n">
        <v>0</v>
      </c>
      <c r="AE53" s="795" t="n">
        <v>0</v>
      </c>
      <c r="AF53" s="795" t="n">
        <v>0</v>
      </c>
      <c r="AG53" s="795" t="n">
        <v>0</v>
      </c>
      <c r="AH53" s="795" t="n">
        <v>0</v>
      </c>
      <c r="AI53" s="795" t="n">
        <v>0</v>
      </c>
      <c r="AJ53" s="795" t="n">
        <v>0</v>
      </c>
      <c r="AK53" s="795" t="n">
        <v>0</v>
      </c>
      <c r="AL53" s="795" t="n">
        <v>0</v>
      </c>
      <c r="AM53" s="795" t="n">
        <v>0</v>
      </c>
      <c r="AN53" s="796" t="n">
        <v>0</v>
      </c>
      <c r="AO53" s="797"/>
      <c r="AP53" s="798" t="n">
        <f aca="false">SUM(E53:AO53)</f>
        <v>92999.636</v>
      </c>
      <c r="AQ53" s="754" t="n">
        <f aca="false">AQ52+1</f>
        <v>47</v>
      </c>
      <c r="AR53" s="792" t="n">
        <f aca="false">AR52+1</f>
        <v>3</v>
      </c>
      <c r="AS53" s="742"/>
      <c r="AT53" s="742"/>
      <c r="AU53" s="742"/>
      <c r="AV53" s="742"/>
      <c r="AW53" s="742"/>
      <c r="AX53" s="742"/>
      <c r="AY53" s="742"/>
      <c r="AZ53" s="742"/>
      <c r="BA53" s="742"/>
      <c r="BB53" s="742"/>
      <c r="BC53" s="742"/>
      <c r="BD53" s="742"/>
      <c r="BE53" s="742"/>
      <c r="BF53" s="742"/>
      <c r="BG53" s="742"/>
      <c r="BH53" s="742"/>
      <c r="BI53" s="742"/>
      <c r="BJ53" s="742"/>
      <c r="BK53" s="742"/>
      <c r="BL53" s="742"/>
      <c r="BM53" s="742"/>
      <c r="BN53" s="742"/>
      <c r="BO53" s="742"/>
      <c r="BP53" s="742"/>
      <c r="BQ53" s="742"/>
      <c r="BR53" s="742"/>
      <c r="BS53" s="742"/>
      <c r="BT53" s="742"/>
      <c r="BU53" s="742"/>
      <c r="BV53" s="742"/>
      <c r="BW53" s="742"/>
      <c r="BX53" s="742"/>
      <c r="BY53" s="742"/>
      <c r="BZ53" s="742"/>
      <c r="CA53" s="742"/>
      <c r="CB53" s="742"/>
      <c r="CC53" s="742"/>
      <c r="CD53" s="742"/>
      <c r="CE53" s="742"/>
      <c r="CF53" s="742"/>
      <c r="CG53" s="742"/>
      <c r="CH53" s="742"/>
      <c r="CI53" s="742"/>
      <c r="CJ53" s="742"/>
      <c r="CK53" s="742"/>
      <c r="CL53" s="742"/>
      <c r="CM53" s="742"/>
      <c r="CN53" s="742"/>
      <c r="CO53" s="742"/>
      <c r="CP53" s="742"/>
      <c r="CQ53" s="742"/>
      <c r="CR53" s="742"/>
      <c r="CS53" s="742"/>
      <c r="CT53" s="742"/>
      <c r="CU53" s="742"/>
      <c r="CV53" s="742"/>
      <c r="CW53" s="742"/>
      <c r="CX53" s="742"/>
      <c r="CY53" s="742"/>
      <c r="CZ53" s="742"/>
      <c r="DA53" s="742"/>
      <c r="DB53" s="742"/>
      <c r="DC53" s="742"/>
      <c r="DD53" s="742"/>
      <c r="DE53" s="742"/>
      <c r="DF53" s="742"/>
      <c r="DG53" s="742"/>
      <c r="DH53" s="742"/>
      <c r="DI53" s="742"/>
      <c r="DJ53" s="742"/>
      <c r="DK53" s="742"/>
      <c r="DL53" s="742"/>
      <c r="DM53" s="742"/>
      <c r="DN53" s="742"/>
      <c r="DO53" s="742"/>
      <c r="DP53" s="742"/>
      <c r="DQ53" s="742"/>
      <c r="DR53" s="742"/>
      <c r="DS53" s="742"/>
      <c r="DT53" s="742"/>
      <c r="DU53" s="742"/>
      <c r="DV53" s="742"/>
      <c r="DW53" s="742"/>
      <c r="DX53" s="742"/>
      <c r="DY53" s="742"/>
      <c r="DZ53" s="742"/>
      <c r="EA53" s="742"/>
      <c r="EB53" s="742"/>
      <c r="EC53" s="742"/>
      <c r="ED53" s="742"/>
      <c r="EE53" s="742"/>
      <c r="EF53" s="742"/>
      <c r="EG53" s="742"/>
      <c r="EH53" s="742"/>
      <c r="EI53" s="742"/>
      <c r="EJ53" s="742"/>
      <c r="EK53" s="742"/>
      <c r="EL53" s="742"/>
      <c r="EM53" s="742"/>
      <c r="EN53" s="742"/>
      <c r="EO53" s="742"/>
      <c r="EP53" s="742"/>
      <c r="EQ53" s="742"/>
      <c r="ER53" s="742"/>
      <c r="ES53" s="742"/>
      <c r="ET53" s="742"/>
      <c r="EU53" s="742"/>
      <c r="EV53" s="742"/>
      <c r="EW53" s="742"/>
      <c r="EX53" s="742"/>
      <c r="EY53" s="742"/>
      <c r="EZ53" s="742"/>
      <c r="FA53" s="742"/>
      <c r="FB53" s="742"/>
      <c r="FC53" s="742"/>
      <c r="FD53" s="742"/>
      <c r="FE53" s="742"/>
      <c r="FF53" s="742"/>
      <c r="FG53" s="742"/>
      <c r="FH53" s="742"/>
      <c r="FI53" s="742"/>
      <c r="FJ53" s="742"/>
      <c r="FK53" s="742"/>
      <c r="FL53" s="742"/>
      <c r="FM53" s="742"/>
      <c r="FN53" s="742"/>
      <c r="FO53" s="742"/>
      <c r="FP53" s="742"/>
      <c r="FQ53" s="742"/>
      <c r="FR53" s="742"/>
      <c r="FS53" s="742"/>
      <c r="FT53" s="742"/>
      <c r="FU53" s="742"/>
      <c r="FV53" s="742"/>
      <c r="FW53" s="742"/>
      <c r="FX53" s="742"/>
      <c r="FY53" s="742"/>
      <c r="FZ53" s="742"/>
      <c r="GA53" s="742"/>
      <c r="GB53" s="742"/>
      <c r="GC53" s="742"/>
      <c r="GD53" s="742"/>
      <c r="GE53" s="742"/>
      <c r="GF53" s="742"/>
      <c r="GG53" s="742"/>
      <c r="GH53" s="742"/>
      <c r="GI53" s="742"/>
      <c r="GJ53" s="742"/>
      <c r="GK53" s="742"/>
      <c r="GL53" s="742"/>
      <c r="GM53" s="742"/>
      <c r="GN53" s="742"/>
      <c r="GO53" s="742"/>
      <c r="GP53" s="742"/>
      <c r="GQ53" s="742"/>
      <c r="GR53" s="742"/>
      <c r="GS53" s="742"/>
      <c r="GT53" s="742"/>
      <c r="GU53" s="742"/>
      <c r="GV53" s="742"/>
      <c r="GW53" s="742"/>
      <c r="GX53" s="742"/>
      <c r="GY53" s="742"/>
      <c r="GZ53" s="742"/>
      <c r="HA53" s="742"/>
      <c r="HB53" s="742"/>
      <c r="HC53" s="742"/>
      <c r="HD53" s="742"/>
      <c r="HE53" s="742"/>
      <c r="HF53" s="742"/>
      <c r="HG53" s="742"/>
      <c r="HH53" s="742"/>
      <c r="HI53" s="742"/>
      <c r="HJ53" s="742"/>
      <c r="HK53" s="742"/>
      <c r="HL53" s="742"/>
      <c r="HM53" s="742"/>
      <c r="HN53" s="742"/>
      <c r="HO53" s="742"/>
      <c r="HP53" s="742"/>
      <c r="HQ53" s="742"/>
      <c r="HR53" s="742"/>
      <c r="HS53" s="742"/>
      <c r="HT53" s="742"/>
      <c r="HU53" s="742"/>
      <c r="HV53" s="742"/>
      <c r="HW53" s="742"/>
      <c r="HX53" s="742"/>
      <c r="HY53" s="742"/>
      <c r="HZ53" s="742"/>
      <c r="IA53" s="742"/>
      <c r="IB53" s="742"/>
      <c r="IC53" s="742"/>
      <c r="ID53" s="742"/>
      <c r="IE53" s="742"/>
      <c r="IF53" s="742"/>
      <c r="IG53" s="742"/>
      <c r="IH53" s="742"/>
      <c r="II53" s="742"/>
      <c r="IJ53" s="742"/>
      <c r="IK53" s="742"/>
      <c r="IL53" s="742"/>
      <c r="IM53" s="742"/>
      <c r="IN53" s="742"/>
      <c r="IO53" s="742"/>
      <c r="IP53" s="742"/>
      <c r="IQ53" s="742"/>
      <c r="IR53" s="742"/>
      <c r="IS53" s="742"/>
      <c r="IT53" s="742"/>
      <c r="IU53" s="742"/>
      <c r="IV53" s="742"/>
      <c r="IW53" s="742"/>
    </row>
    <row r="54" customFormat="false" ht="12.75" hidden="false" customHeight="false" outlineLevel="0" collapsed="false">
      <c r="A54" s="793"/>
      <c r="B54" s="789" t="s">
        <v>826</v>
      </c>
      <c r="C54" s="789"/>
      <c r="D54" s="789"/>
      <c r="E54" s="797" t="n">
        <f aca="false">SUM($E53:E53)</f>
        <v>1590.94</v>
      </c>
      <c r="F54" s="797" t="n">
        <f aca="false">SUM($E53:F53)</f>
        <v>2663.648</v>
      </c>
      <c r="G54" s="797" t="n">
        <f aca="false">SUM($E53:G53)</f>
        <v>3071.032</v>
      </c>
      <c r="H54" s="797" t="n">
        <f aca="false">SUM($E53:H53)</f>
        <v>3300.05</v>
      </c>
      <c r="I54" s="797" t="n">
        <f aca="false">SUM($E53:I53)</f>
        <v>3546.427</v>
      </c>
      <c r="J54" s="797" t="n">
        <f aca="false">SUM($E53:J53)</f>
        <v>4208.24</v>
      </c>
      <c r="K54" s="797" t="n">
        <f aca="false">SUM($E53:K53)</f>
        <v>12552.739</v>
      </c>
      <c r="L54" s="797" t="n">
        <f aca="false">SUM($E53:L53)</f>
        <v>12718.099</v>
      </c>
      <c r="M54" s="797" t="n">
        <f aca="false">SUM($E53:M53)</f>
        <v>15964.817</v>
      </c>
      <c r="N54" s="797" t="n">
        <f aca="false">SUM($E53:N53)</f>
        <v>16052.573</v>
      </c>
      <c r="O54" s="797" t="n">
        <f aca="false">SUM($E53:O53)</f>
        <v>25968.469</v>
      </c>
      <c r="P54" s="797" t="n">
        <f aca="false">SUM($E53:P53)</f>
        <v>31464.235</v>
      </c>
      <c r="Q54" s="797" t="n">
        <f aca="false">SUM($E53:Q53)</f>
        <v>41727.33</v>
      </c>
      <c r="R54" s="797" t="n">
        <f aca="false">SUM($E53:R53)</f>
        <v>52353.125</v>
      </c>
      <c r="S54" s="797" t="n">
        <f aca="false">SUM($E53:S53)</f>
        <v>60332.603</v>
      </c>
      <c r="T54" s="797" t="n">
        <f aca="false">SUM($E53:T53)</f>
        <v>67753.845</v>
      </c>
      <c r="U54" s="797" t="n">
        <f aca="false">SUM($E53:U53)</f>
        <v>71679.259</v>
      </c>
      <c r="V54" s="797" t="n">
        <f aca="false">SUM($E53:V53)</f>
        <v>74953.399</v>
      </c>
      <c r="W54" s="797" t="n">
        <f aca="false">SUM($E53:W53)</f>
        <v>78113.696</v>
      </c>
      <c r="X54" s="797" t="n">
        <f aca="false">SUM($E53:X53)</f>
        <v>83397.796</v>
      </c>
      <c r="Y54" s="797" t="n">
        <f aca="false">SUM($E53:Y53)</f>
        <v>83454.089</v>
      </c>
      <c r="Z54" s="797" t="n">
        <f aca="false">SUM($E53:Z53)</f>
        <v>83515.051</v>
      </c>
      <c r="AA54" s="797" t="n">
        <f aca="false">SUM($E53:AA53)</f>
        <v>83574.205</v>
      </c>
      <c r="AB54" s="797" t="n">
        <f aca="false">SUM($E53:AB53)</f>
        <v>83630.659</v>
      </c>
      <c r="AC54" s="797" t="n">
        <f aca="false">SUM($E53:AC53)</f>
        <v>92999.636</v>
      </c>
      <c r="AD54" s="797" t="n">
        <f aca="false">SUM($E53:AD53)</f>
        <v>92999.636</v>
      </c>
      <c r="AE54" s="797" t="n">
        <f aca="false">SUM($E53:AE53)</f>
        <v>92999.636</v>
      </c>
      <c r="AF54" s="797" t="n">
        <f aca="false">SUM($E53:AF53)</f>
        <v>92999.636</v>
      </c>
      <c r="AG54" s="797" t="n">
        <f aca="false">SUM($E53:AG53)</f>
        <v>92999.636</v>
      </c>
      <c r="AH54" s="797" t="n">
        <f aca="false">SUM($E53:AH53)</f>
        <v>92999.636</v>
      </c>
      <c r="AI54" s="797" t="n">
        <f aca="false">SUM($E53:AI53)</f>
        <v>92999.636</v>
      </c>
      <c r="AJ54" s="797" t="n">
        <f aca="false">SUM($E53:AJ53)</f>
        <v>92999.636</v>
      </c>
      <c r="AK54" s="797" t="n">
        <f aca="false">SUM($E53:AK53)</f>
        <v>92999.636</v>
      </c>
      <c r="AL54" s="797" t="n">
        <f aca="false">SUM($E53:AL53)</f>
        <v>92999.636</v>
      </c>
      <c r="AM54" s="797" t="n">
        <f aca="false">SUM($E53:AM53)</f>
        <v>92999.636</v>
      </c>
      <c r="AN54" s="797" t="n">
        <f aca="false">SUM($E53:AN53)</f>
        <v>92999.636</v>
      </c>
      <c r="AO54" s="797"/>
      <c r="AP54" s="798"/>
      <c r="AQ54" s="754" t="n">
        <f aca="false">AQ53+1</f>
        <v>48</v>
      </c>
      <c r="AR54" s="792" t="n">
        <f aca="false">AR53+1</f>
        <v>4</v>
      </c>
      <c r="AS54" s="742"/>
      <c r="AT54" s="742"/>
      <c r="AU54" s="742"/>
      <c r="AV54" s="742"/>
      <c r="AW54" s="742"/>
      <c r="AX54" s="742"/>
      <c r="AY54" s="742"/>
      <c r="AZ54" s="742"/>
      <c r="BA54" s="742"/>
      <c r="BB54" s="742"/>
      <c r="BC54" s="742"/>
      <c r="BD54" s="742"/>
      <c r="BE54" s="742"/>
      <c r="BF54" s="742"/>
      <c r="BG54" s="742"/>
      <c r="BH54" s="742"/>
      <c r="BI54" s="742"/>
      <c r="BJ54" s="742"/>
      <c r="BK54" s="742"/>
      <c r="BL54" s="742"/>
      <c r="BM54" s="742"/>
      <c r="BN54" s="742"/>
      <c r="BO54" s="742"/>
      <c r="BP54" s="742"/>
      <c r="BQ54" s="742"/>
      <c r="BR54" s="742"/>
      <c r="BS54" s="742"/>
      <c r="BT54" s="742"/>
      <c r="BU54" s="742"/>
      <c r="BV54" s="742"/>
      <c r="BW54" s="742"/>
      <c r="BX54" s="742"/>
      <c r="BY54" s="742"/>
      <c r="BZ54" s="742"/>
      <c r="CA54" s="742"/>
      <c r="CB54" s="742"/>
      <c r="CC54" s="742"/>
      <c r="CD54" s="742"/>
      <c r="CE54" s="742"/>
      <c r="CF54" s="742"/>
      <c r="CG54" s="742"/>
      <c r="CH54" s="742"/>
      <c r="CI54" s="742"/>
      <c r="CJ54" s="742"/>
      <c r="CK54" s="742"/>
      <c r="CL54" s="742"/>
      <c r="CM54" s="742"/>
      <c r="CN54" s="742"/>
      <c r="CO54" s="742"/>
      <c r="CP54" s="742"/>
      <c r="CQ54" s="742"/>
      <c r="CR54" s="742"/>
      <c r="CS54" s="742"/>
      <c r="CT54" s="742"/>
      <c r="CU54" s="742"/>
      <c r="CV54" s="742"/>
      <c r="CW54" s="742"/>
      <c r="CX54" s="742"/>
      <c r="CY54" s="742"/>
      <c r="CZ54" s="742"/>
      <c r="DA54" s="742"/>
      <c r="DB54" s="742"/>
      <c r="DC54" s="742"/>
      <c r="DD54" s="742"/>
      <c r="DE54" s="742"/>
      <c r="DF54" s="742"/>
      <c r="DG54" s="742"/>
      <c r="DH54" s="742"/>
      <c r="DI54" s="742"/>
      <c r="DJ54" s="742"/>
      <c r="DK54" s="742"/>
      <c r="DL54" s="742"/>
      <c r="DM54" s="742"/>
      <c r="DN54" s="742"/>
      <c r="DO54" s="742"/>
      <c r="DP54" s="742"/>
      <c r="DQ54" s="742"/>
      <c r="DR54" s="742"/>
      <c r="DS54" s="742"/>
      <c r="DT54" s="742"/>
      <c r="DU54" s="742"/>
      <c r="DV54" s="742"/>
      <c r="DW54" s="742"/>
      <c r="DX54" s="742"/>
      <c r="DY54" s="742"/>
      <c r="DZ54" s="742"/>
      <c r="EA54" s="742"/>
      <c r="EB54" s="742"/>
      <c r="EC54" s="742"/>
      <c r="ED54" s="742"/>
      <c r="EE54" s="742"/>
      <c r="EF54" s="742"/>
      <c r="EG54" s="742"/>
      <c r="EH54" s="742"/>
      <c r="EI54" s="742"/>
      <c r="EJ54" s="742"/>
      <c r="EK54" s="742"/>
      <c r="EL54" s="742"/>
      <c r="EM54" s="742"/>
      <c r="EN54" s="742"/>
      <c r="EO54" s="742"/>
      <c r="EP54" s="742"/>
      <c r="EQ54" s="742"/>
      <c r="ER54" s="742"/>
      <c r="ES54" s="742"/>
      <c r="ET54" s="742"/>
      <c r="EU54" s="742"/>
      <c r="EV54" s="742"/>
      <c r="EW54" s="742"/>
      <c r="EX54" s="742"/>
      <c r="EY54" s="742"/>
      <c r="EZ54" s="742"/>
      <c r="FA54" s="742"/>
      <c r="FB54" s="742"/>
      <c r="FC54" s="742"/>
      <c r="FD54" s="742"/>
      <c r="FE54" s="742"/>
      <c r="FF54" s="742"/>
      <c r="FG54" s="742"/>
      <c r="FH54" s="742"/>
      <c r="FI54" s="742"/>
      <c r="FJ54" s="742"/>
      <c r="FK54" s="742"/>
      <c r="FL54" s="742"/>
      <c r="FM54" s="742"/>
      <c r="FN54" s="742"/>
      <c r="FO54" s="742"/>
      <c r="FP54" s="742"/>
      <c r="FQ54" s="742"/>
      <c r="FR54" s="742"/>
      <c r="FS54" s="742"/>
      <c r="FT54" s="742"/>
      <c r="FU54" s="742"/>
      <c r="FV54" s="742"/>
      <c r="FW54" s="742"/>
      <c r="FX54" s="742"/>
      <c r="FY54" s="742"/>
      <c r="FZ54" s="742"/>
      <c r="GA54" s="742"/>
      <c r="GB54" s="742"/>
      <c r="GC54" s="742"/>
      <c r="GD54" s="742"/>
      <c r="GE54" s="742"/>
      <c r="GF54" s="742"/>
      <c r="GG54" s="742"/>
      <c r="GH54" s="742"/>
      <c r="GI54" s="742"/>
      <c r="GJ54" s="742"/>
      <c r="GK54" s="742"/>
      <c r="GL54" s="742"/>
      <c r="GM54" s="742"/>
      <c r="GN54" s="742"/>
      <c r="GO54" s="742"/>
      <c r="GP54" s="742"/>
      <c r="GQ54" s="742"/>
      <c r="GR54" s="742"/>
      <c r="GS54" s="742"/>
      <c r="GT54" s="742"/>
      <c r="GU54" s="742"/>
      <c r="GV54" s="742"/>
      <c r="GW54" s="742"/>
      <c r="GX54" s="742"/>
      <c r="GY54" s="742"/>
      <c r="GZ54" s="742"/>
      <c r="HA54" s="742"/>
      <c r="HB54" s="742"/>
      <c r="HC54" s="742"/>
      <c r="HD54" s="742"/>
      <c r="HE54" s="742"/>
      <c r="HF54" s="742"/>
      <c r="HG54" s="742"/>
      <c r="HH54" s="742"/>
      <c r="HI54" s="742"/>
      <c r="HJ54" s="742"/>
      <c r="HK54" s="742"/>
      <c r="HL54" s="742"/>
      <c r="HM54" s="742"/>
      <c r="HN54" s="742"/>
      <c r="HO54" s="742"/>
      <c r="HP54" s="742"/>
      <c r="HQ54" s="742"/>
      <c r="HR54" s="742"/>
      <c r="HS54" s="742"/>
      <c r="HT54" s="742"/>
      <c r="HU54" s="742"/>
      <c r="HV54" s="742"/>
      <c r="HW54" s="742"/>
      <c r="HX54" s="742"/>
      <c r="HY54" s="742"/>
      <c r="HZ54" s="742"/>
      <c r="IA54" s="742"/>
      <c r="IB54" s="742"/>
      <c r="IC54" s="742"/>
      <c r="ID54" s="742"/>
      <c r="IE54" s="742"/>
      <c r="IF54" s="742"/>
      <c r="IG54" s="742"/>
      <c r="IH54" s="742"/>
      <c r="II54" s="742"/>
      <c r="IJ54" s="742"/>
      <c r="IK54" s="742"/>
      <c r="IL54" s="742"/>
      <c r="IM54" s="742"/>
      <c r="IN54" s="742"/>
      <c r="IO54" s="742"/>
      <c r="IP54" s="742"/>
      <c r="IQ54" s="742"/>
      <c r="IR54" s="742"/>
      <c r="IS54" s="742"/>
      <c r="IT54" s="742"/>
      <c r="IU54" s="742"/>
      <c r="IV54" s="742"/>
      <c r="IW54" s="742"/>
    </row>
    <row r="55" customFormat="false" ht="12.75" hidden="false" customHeight="false" outlineLevel="0" collapsed="false">
      <c r="A55" s="793"/>
      <c r="B55" s="789"/>
      <c r="C55" s="789"/>
      <c r="D55" s="789"/>
      <c r="E55" s="789"/>
      <c r="F55" s="789"/>
      <c r="G55" s="789"/>
      <c r="H55" s="789"/>
      <c r="I55" s="789"/>
      <c r="J55" s="789"/>
      <c r="K55" s="789"/>
      <c r="L55" s="789"/>
      <c r="M55" s="789"/>
      <c r="N55" s="789"/>
      <c r="O55" s="789"/>
      <c r="P55" s="789"/>
      <c r="Q55" s="789"/>
      <c r="R55" s="789"/>
      <c r="S55" s="789"/>
      <c r="T55" s="789"/>
      <c r="U55" s="789"/>
      <c r="V55" s="789"/>
      <c r="W55" s="789"/>
      <c r="X55" s="789"/>
      <c r="Y55" s="789"/>
      <c r="Z55" s="789"/>
      <c r="AA55" s="789"/>
      <c r="AB55" s="789"/>
      <c r="AC55" s="789"/>
      <c r="AD55" s="789"/>
      <c r="AE55" s="789"/>
      <c r="AF55" s="789"/>
      <c r="AG55" s="789"/>
      <c r="AH55" s="789"/>
      <c r="AI55" s="789"/>
      <c r="AJ55" s="789"/>
      <c r="AK55" s="789"/>
      <c r="AL55" s="789"/>
      <c r="AM55" s="789"/>
      <c r="AN55" s="789"/>
      <c r="AO55" s="789"/>
      <c r="AP55" s="791"/>
      <c r="AQ55" s="754" t="n">
        <f aca="false">AQ54+1</f>
        <v>49</v>
      </c>
      <c r="AR55" s="792" t="n">
        <f aca="false">AR54+1</f>
        <v>5</v>
      </c>
      <c r="AS55" s="742"/>
      <c r="AT55" s="742"/>
      <c r="AU55" s="742"/>
      <c r="AV55" s="742"/>
      <c r="AW55" s="742"/>
      <c r="AX55" s="742"/>
      <c r="AY55" s="742"/>
      <c r="AZ55" s="742"/>
      <c r="BA55" s="742"/>
      <c r="BB55" s="742"/>
      <c r="BC55" s="742"/>
      <c r="BD55" s="742"/>
      <c r="BE55" s="742"/>
      <c r="BF55" s="742"/>
      <c r="BG55" s="742"/>
      <c r="BH55" s="742"/>
      <c r="BI55" s="742"/>
      <c r="BJ55" s="742"/>
      <c r="BK55" s="742"/>
      <c r="BL55" s="742"/>
      <c r="BM55" s="742"/>
      <c r="BN55" s="742"/>
      <c r="BO55" s="742"/>
      <c r="BP55" s="742"/>
      <c r="BQ55" s="742"/>
      <c r="BR55" s="742"/>
      <c r="BS55" s="742"/>
      <c r="BT55" s="742"/>
      <c r="BU55" s="742"/>
      <c r="BV55" s="742"/>
      <c r="BW55" s="742"/>
      <c r="BX55" s="742"/>
      <c r="BY55" s="742"/>
      <c r="BZ55" s="742"/>
      <c r="CA55" s="742"/>
      <c r="CB55" s="742"/>
      <c r="CC55" s="742"/>
      <c r="CD55" s="742"/>
      <c r="CE55" s="742"/>
      <c r="CF55" s="742"/>
      <c r="CG55" s="742"/>
      <c r="CH55" s="742"/>
      <c r="CI55" s="742"/>
      <c r="CJ55" s="742"/>
      <c r="CK55" s="742"/>
      <c r="CL55" s="742"/>
      <c r="CM55" s="742"/>
      <c r="CN55" s="742"/>
      <c r="CO55" s="742"/>
      <c r="CP55" s="742"/>
      <c r="CQ55" s="742"/>
      <c r="CR55" s="742"/>
      <c r="CS55" s="742"/>
      <c r="CT55" s="742"/>
      <c r="CU55" s="742"/>
      <c r="CV55" s="742"/>
      <c r="CW55" s="742"/>
      <c r="CX55" s="742"/>
      <c r="CY55" s="742"/>
      <c r="CZ55" s="742"/>
      <c r="DA55" s="742"/>
      <c r="DB55" s="742"/>
      <c r="DC55" s="742"/>
      <c r="DD55" s="742"/>
      <c r="DE55" s="742"/>
      <c r="DF55" s="742"/>
      <c r="DG55" s="742"/>
      <c r="DH55" s="742"/>
      <c r="DI55" s="742"/>
      <c r="DJ55" s="742"/>
      <c r="DK55" s="742"/>
      <c r="DL55" s="742"/>
      <c r="DM55" s="742"/>
      <c r="DN55" s="742"/>
      <c r="DO55" s="742"/>
      <c r="DP55" s="742"/>
      <c r="DQ55" s="742"/>
      <c r="DR55" s="742"/>
      <c r="DS55" s="742"/>
      <c r="DT55" s="742"/>
      <c r="DU55" s="742"/>
      <c r="DV55" s="742"/>
      <c r="DW55" s="742"/>
      <c r="DX55" s="742"/>
      <c r="DY55" s="742"/>
      <c r="DZ55" s="742"/>
      <c r="EA55" s="742"/>
      <c r="EB55" s="742"/>
      <c r="EC55" s="742"/>
      <c r="ED55" s="742"/>
      <c r="EE55" s="742"/>
      <c r="EF55" s="742"/>
      <c r="EG55" s="742"/>
      <c r="EH55" s="742"/>
      <c r="EI55" s="742"/>
      <c r="EJ55" s="742"/>
      <c r="EK55" s="742"/>
      <c r="EL55" s="742"/>
      <c r="EM55" s="742"/>
      <c r="EN55" s="742"/>
      <c r="EO55" s="742"/>
      <c r="EP55" s="742"/>
      <c r="EQ55" s="742"/>
      <c r="ER55" s="742"/>
      <c r="ES55" s="742"/>
      <c r="ET55" s="742"/>
      <c r="EU55" s="742"/>
      <c r="EV55" s="742"/>
      <c r="EW55" s="742"/>
      <c r="EX55" s="742"/>
      <c r="EY55" s="742"/>
      <c r="EZ55" s="742"/>
      <c r="FA55" s="742"/>
      <c r="FB55" s="742"/>
      <c r="FC55" s="742"/>
      <c r="FD55" s="742"/>
      <c r="FE55" s="742"/>
      <c r="FF55" s="742"/>
      <c r="FG55" s="742"/>
      <c r="FH55" s="742"/>
      <c r="FI55" s="742"/>
      <c r="FJ55" s="742"/>
      <c r="FK55" s="742"/>
      <c r="FL55" s="742"/>
      <c r="FM55" s="742"/>
      <c r="FN55" s="742"/>
      <c r="FO55" s="742"/>
      <c r="FP55" s="742"/>
      <c r="FQ55" s="742"/>
      <c r="FR55" s="742"/>
      <c r="FS55" s="742"/>
      <c r="FT55" s="742"/>
      <c r="FU55" s="742"/>
      <c r="FV55" s="742"/>
      <c r="FW55" s="742"/>
      <c r="FX55" s="742"/>
      <c r="FY55" s="742"/>
      <c r="FZ55" s="742"/>
      <c r="GA55" s="742"/>
      <c r="GB55" s="742"/>
      <c r="GC55" s="742"/>
      <c r="GD55" s="742"/>
      <c r="GE55" s="742"/>
      <c r="GF55" s="742"/>
      <c r="GG55" s="742"/>
      <c r="GH55" s="742"/>
      <c r="GI55" s="742"/>
      <c r="GJ55" s="742"/>
      <c r="GK55" s="742"/>
      <c r="GL55" s="742"/>
      <c r="GM55" s="742"/>
      <c r="GN55" s="742"/>
      <c r="GO55" s="742"/>
      <c r="GP55" s="742"/>
      <c r="GQ55" s="742"/>
      <c r="GR55" s="742"/>
      <c r="GS55" s="742"/>
      <c r="GT55" s="742"/>
      <c r="GU55" s="742"/>
      <c r="GV55" s="742"/>
      <c r="GW55" s="742"/>
      <c r="GX55" s="742"/>
      <c r="GY55" s="742"/>
      <c r="GZ55" s="742"/>
      <c r="HA55" s="742"/>
      <c r="HB55" s="742"/>
      <c r="HC55" s="742"/>
      <c r="HD55" s="742"/>
      <c r="HE55" s="742"/>
      <c r="HF55" s="742"/>
      <c r="HG55" s="742"/>
      <c r="HH55" s="742"/>
      <c r="HI55" s="742"/>
      <c r="HJ55" s="742"/>
      <c r="HK55" s="742"/>
      <c r="HL55" s="742"/>
      <c r="HM55" s="742"/>
      <c r="HN55" s="742"/>
      <c r="HO55" s="742"/>
      <c r="HP55" s="742"/>
      <c r="HQ55" s="742"/>
      <c r="HR55" s="742"/>
      <c r="HS55" s="742"/>
      <c r="HT55" s="742"/>
      <c r="HU55" s="742"/>
      <c r="HV55" s="742"/>
      <c r="HW55" s="742"/>
      <c r="HX55" s="742"/>
      <c r="HY55" s="742"/>
      <c r="HZ55" s="742"/>
      <c r="IA55" s="742"/>
      <c r="IB55" s="742"/>
      <c r="IC55" s="742"/>
      <c r="ID55" s="742"/>
      <c r="IE55" s="742"/>
      <c r="IF55" s="742"/>
      <c r="IG55" s="742"/>
      <c r="IH55" s="742"/>
      <c r="II55" s="742"/>
      <c r="IJ55" s="742"/>
      <c r="IK55" s="742"/>
      <c r="IL55" s="742"/>
      <c r="IM55" s="742"/>
      <c r="IN55" s="742"/>
      <c r="IO55" s="742"/>
      <c r="IP55" s="742"/>
      <c r="IQ55" s="742"/>
      <c r="IR55" s="742"/>
      <c r="IS55" s="742"/>
      <c r="IT55" s="742"/>
      <c r="IU55" s="742"/>
      <c r="IV55" s="742"/>
      <c r="IW55" s="742"/>
    </row>
    <row r="56" customFormat="false" ht="12.75" hidden="false" customHeight="false" outlineLevel="0" collapsed="false">
      <c r="A56" s="793"/>
      <c r="B56" s="789" t="s">
        <v>827</v>
      </c>
      <c r="C56" s="789"/>
      <c r="D56" s="789"/>
      <c r="E56" s="799" t="n">
        <f aca="false">E53/$AP$53</f>
        <v>0.0171069486766593</v>
      </c>
      <c r="F56" s="799" t="n">
        <f aca="false">F53/$AP$53</f>
        <v>0.0115345397695965</v>
      </c>
      <c r="G56" s="799" t="n">
        <f aca="false">G53/$AP$53</f>
        <v>0.00438049026342426</v>
      </c>
      <c r="H56" s="799" t="n">
        <f aca="false">H53/$AP$53</f>
        <v>0.00246256877822619</v>
      </c>
      <c r="I56" s="799" t="n">
        <f aca="false">I53/$AP$53</f>
        <v>0.00264922542277477</v>
      </c>
      <c r="J56" s="799" t="n">
        <f aca="false">J53/$AP$53</f>
        <v>0.00711629667023643</v>
      </c>
      <c r="K56" s="799" t="n">
        <f aca="false">K53/$AP$53</f>
        <v>0.089726146885134</v>
      </c>
      <c r="L56" s="799" t="n">
        <f aca="false">L53/$AP$53</f>
        <v>0.00177807147546255</v>
      </c>
      <c r="M56" s="799" t="n">
        <f aca="false">M53/$AP$53</f>
        <v>0.0349110828777868</v>
      </c>
      <c r="N56" s="799" t="n">
        <f aca="false">N53/$AP$53</f>
        <v>0.000943616596520872</v>
      </c>
      <c r="O56" s="799" t="n">
        <f aca="false">O53/$AP$53</f>
        <v>0.106622954954361</v>
      </c>
      <c r="P56" s="799" t="n">
        <f aca="false">P53/$AP$53</f>
        <v>0.0590944893590766</v>
      </c>
      <c r="Q56" s="799" t="n">
        <f aca="false">Q53/$AP$53</f>
        <v>0.110356292147208</v>
      </c>
      <c r="R56" s="799" t="n">
        <f aca="false">R53/$AP$53</f>
        <v>0.114256307411784</v>
      </c>
      <c r="S56" s="799" t="n">
        <f aca="false">S53/$AP$53</f>
        <v>0.0858011745336294</v>
      </c>
      <c r="T56" s="799" t="n">
        <f aca="false">T53/$AP$53</f>
        <v>0.0797986134053256</v>
      </c>
      <c r="U56" s="799" t="n">
        <f aca="false">U53/$AP$53</f>
        <v>0.042208917892969</v>
      </c>
      <c r="V56" s="799" t="n">
        <f aca="false">V53/$AP$53</f>
        <v>0.0352059442469216</v>
      </c>
      <c r="W56" s="799" t="n">
        <f aca="false">W53/$AP$53</f>
        <v>0.0339818211761603</v>
      </c>
      <c r="X56" s="799" t="n">
        <f aca="false">X53/$AP$53</f>
        <v>0.0568185019562872</v>
      </c>
      <c r="Y56" s="799" t="n">
        <f aca="false">Y53/$AP$53</f>
        <v>0.000605303444413481</v>
      </c>
      <c r="Z56" s="799" t="n">
        <f aca="false">Z53/$AP$53</f>
        <v>0.000655507941988074</v>
      </c>
      <c r="AA56" s="799" t="n">
        <f aca="false">AA53/$AP$53</f>
        <v>0.000636067005681614</v>
      </c>
      <c r="AB56" s="799" t="n">
        <f aca="false">AB53/$AP$53</f>
        <v>0.000607034633985019</v>
      </c>
      <c r="AC56" s="799" t="n">
        <f aca="false">AC53/$AP$53</f>
        <v>0.100742082474387</v>
      </c>
      <c r="AD56" s="799" t="n">
        <f aca="false">AD53/$AP$53</f>
        <v>0</v>
      </c>
      <c r="AE56" s="799" t="n">
        <f aca="false">AE53/$AP$53</f>
        <v>0</v>
      </c>
      <c r="AF56" s="799" t="n">
        <f aca="false">AF53/$AP$53</f>
        <v>0</v>
      </c>
      <c r="AG56" s="799" t="n">
        <f aca="false">AG53/$AP$53</f>
        <v>0</v>
      </c>
      <c r="AH56" s="799" t="n">
        <f aca="false">AH53/$AP$53</f>
        <v>0</v>
      </c>
      <c r="AI56" s="799" t="n">
        <f aca="false">AI53/$AP$53</f>
        <v>0</v>
      </c>
      <c r="AJ56" s="799" t="n">
        <f aca="false">AJ53/$AP$53</f>
        <v>0</v>
      </c>
      <c r="AK56" s="799" t="n">
        <f aca="false">AK53/$AP$53</f>
        <v>0</v>
      </c>
      <c r="AL56" s="799" t="n">
        <f aca="false">AL53/$AP$53</f>
        <v>0</v>
      </c>
      <c r="AM56" s="799" t="n">
        <f aca="false">AM53/$AP$53</f>
        <v>0</v>
      </c>
      <c r="AN56" s="799" t="n">
        <f aca="false">AN53/$AP$53</f>
        <v>0</v>
      </c>
      <c r="AO56" s="789"/>
      <c r="AP56" s="800" t="n">
        <f aca="false">SUM(E56:AO56)</f>
        <v>1</v>
      </c>
      <c r="AQ56" s="754" t="n">
        <f aca="false">AQ55+1</f>
        <v>50</v>
      </c>
      <c r="AR56" s="792" t="n">
        <f aca="false">AR55+1</f>
        <v>6</v>
      </c>
      <c r="AS56" s="742"/>
      <c r="AT56" s="801" t="s">
        <v>828</v>
      </c>
      <c r="AU56" s="802"/>
      <c r="AV56" s="802"/>
      <c r="AW56" s="802"/>
      <c r="AX56" s="803" t="s">
        <v>41</v>
      </c>
      <c r="AY56" s="803" t="s">
        <v>395</v>
      </c>
      <c r="AZ56" s="804" t="s">
        <v>829</v>
      </c>
      <c r="BA56" s="742"/>
      <c r="BB56" s="742"/>
      <c r="BC56" s="742"/>
      <c r="BD56" s="742"/>
      <c r="BE56" s="742"/>
      <c r="BF56" s="742"/>
      <c r="BG56" s="742"/>
      <c r="BH56" s="742"/>
      <c r="BI56" s="742"/>
      <c r="BJ56" s="742"/>
      <c r="BK56" s="742"/>
      <c r="BL56" s="742"/>
      <c r="BM56" s="742"/>
      <c r="BN56" s="742"/>
      <c r="BO56" s="742"/>
      <c r="BP56" s="742"/>
      <c r="BQ56" s="742"/>
      <c r="BR56" s="742"/>
      <c r="BS56" s="742"/>
      <c r="BT56" s="742"/>
      <c r="BU56" s="742"/>
      <c r="BV56" s="742"/>
      <c r="BW56" s="742"/>
      <c r="BX56" s="742"/>
      <c r="BY56" s="742"/>
      <c r="BZ56" s="742"/>
      <c r="CA56" s="742"/>
      <c r="CB56" s="742"/>
      <c r="CC56" s="742"/>
      <c r="CD56" s="742"/>
      <c r="CE56" s="742"/>
      <c r="CF56" s="742"/>
      <c r="CG56" s="742"/>
      <c r="CH56" s="742"/>
      <c r="CI56" s="742"/>
      <c r="CJ56" s="742"/>
      <c r="CK56" s="742"/>
      <c r="CL56" s="742"/>
      <c r="CM56" s="742"/>
      <c r="CN56" s="742"/>
      <c r="CO56" s="742"/>
      <c r="CP56" s="742"/>
      <c r="CQ56" s="742"/>
      <c r="CR56" s="742"/>
      <c r="CS56" s="742"/>
      <c r="CT56" s="742"/>
      <c r="CU56" s="742"/>
      <c r="CV56" s="742"/>
      <c r="CW56" s="742"/>
      <c r="CX56" s="742"/>
      <c r="CY56" s="742"/>
      <c r="CZ56" s="742"/>
      <c r="DA56" s="742"/>
      <c r="DB56" s="742"/>
      <c r="DC56" s="742"/>
      <c r="DD56" s="742"/>
      <c r="DE56" s="742"/>
      <c r="DF56" s="742"/>
      <c r="DG56" s="742"/>
      <c r="DH56" s="742"/>
      <c r="DI56" s="742"/>
      <c r="DJ56" s="742"/>
      <c r="DK56" s="742"/>
      <c r="DL56" s="742"/>
      <c r="DM56" s="742"/>
      <c r="DN56" s="742"/>
      <c r="DO56" s="742"/>
      <c r="DP56" s="742"/>
      <c r="DQ56" s="742"/>
      <c r="DR56" s="742"/>
      <c r="DS56" s="742"/>
      <c r="DT56" s="742"/>
      <c r="DU56" s="742"/>
      <c r="DV56" s="742"/>
      <c r="DW56" s="742"/>
      <c r="DX56" s="742"/>
      <c r="DY56" s="742"/>
      <c r="DZ56" s="742"/>
      <c r="EA56" s="742"/>
      <c r="EB56" s="742"/>
      <c r="EC56" s="742"/>
      <c r="ED56" s="742"/>
      <c r="EE56" s="742"/>
      <c r="EF56" s="742"/>
      <c r="EG56" s="742"/>
      <c r="EH56" s="742"/>
      <c r="EI56" s="742"/>
      <c r="EJ56" s="742"/>
      <c r="EK56" s="742"/>
      <c r="EL56" s="742"/>
      <c r="EM56" s="742"/>
      <c r="EN56" s="742"/>
      <c r="EO56" s="742"/>
      <c r="EP56" s="742"/>
      <c r="EQ56" s="742"/>
      <c r="ER56" s="742"/>
      <c r="ES56" s="742"/>
      <c r="ET56" s="742"/>
      <c r="EU56" s="742"/>
      <c r="EV56" s="742"/>
      <c r="EW56" s="742"/>
      <c r="EX56" s="742"/>
      <c r="EY56" s="742"/>
      <c r="EZ56" s="742"/>
      <c r="FA56" s="742"/>
      <c r="FB56" s="742"/>
      <c r="FC56" s="742"/>
      <c r="FD56" s="742"/>
      <c r="FE56" s="742"/>
      <c r="FF56" s="742"/>
      <c r="FG56" s="742"/>
      <c r="FH56" s="742"/>
      <c r="FI56" s="742"/>
      <c r="FJ56" s="742"/>
      <c r="FK56" s="742"/>
      <c r="FL56" s="742"/>
      <c r="FM56" s="742"/>
      <c r="FN56" s="742"/>
      <c r="FO56" s="742"/>
      <c r="FP56" s="742"/>
      <c r="FQ56" s="742"/>
      <c r="FR56" s="742"/>
      <c r="FS56" s="742"/>
      <c r="FT56" s="742"/>
      <c r="FU56" s="742"/>
      <c r="FV56" s="742"/>
      <c r="FW56" s="742"/>
      <c r="FX56" s="742"/>
      <c r="FY56" s="742"/>
      <c r="FZ56" s="742"/>
      <c r="GA56" s="742"/>
      <c r="GB56" s="742"/>
      <c r="GC56" s="742"/>
      <c r="GD56" s="742"/>
      <c r="GE56" s="742"/>
      <c r="GF56" s="742"/>
      <c r="GG56" s="742"/>
      <c r="GH56" s="742"/>
      <c r="GI56" s="742"/>
      <c r="GJ56" s="742"/>
      <c r="GK56" s="742"/>
      <c r="GL56" s="742"/>
      <c r="GM56" s="742"/>
      <c r="GN56" s="742"/>
      <c r="GO56" s="742"/>
      <c r="GP56" s="742"/>
      <c r="GQ56" s="742"/>
      <c r="GR56" s="742"/>
      <c r="GS56" s="742"/>
      <c r="GT56" s="742"/>
      <c r="GU56" s="742"/>
      <c r="GV56" s="742"/>
      <c r="GW56" s="742"/>
      <c r="GX56" s="742"/>
      <c r="GY56" s="742"/>
      <c r="GZ56" s="742"/>
      <c r="HA56" s="742"/>
      <c r="HB56" s="742"/>
      <c r="HC56" s="742"/>
      <c r="HD56" s="742"/>
      <c r="HE56" s="742"/>
      <c r="HF56" s="742"/>
      <c r="HG56" s="742"/>
      <c r="HH56" s="742"/>
      <c r="HI56" s="742"/>
      <c r="HJ56" s="742"/>
      <c r="HK56" s="742"/>
      <c r="HL56" s="742"/>
      <c r="HM56" s="742"/>
      <c r="HN56" s="742"/>
      <c r="HO56" s="742"/>
      <c r="HP56" s="742"/>
      <c r="HQ56" s="742"/>
      <c r="HR56" s="742"/>
      <c r="HS56" s="742"/>
      <c r="HT56" s="742"/>
      <c r="HU56" s="742"/>
      <c r="HV56" s="742"/>
      <c r="HW56" s="742"/>
      <c r="HX56" s="742"/>
      <c r="HY56" s="742"/>
      <c r="HZ56" s="742"/>
      <c r="IA56" s="742"/>
      <c r="IB56" s="742"/>
      <c r="IC56" s="742"/>
      <c r="ID56" s="742"/>
      <c r="IE56" s="742"/>
      <c r="IF56" s="742"/>
      <c r="IG56" s="742"/>
      <c r="IH56" s="742"/>
      <c r="II56" s="742"/>
      <c r="IJ56" s="742"/>
      <c r="IK56" s="742"/>
      <c r="IL56" s="742"/>
      <c r="IM56" s="742"/>
      <c r="IN56" s="742"/>
      <c r="IO56" s="742"/>
      <c r="IP56" s="742"/>
      <c r="IQ56" s="742"/>
      <c r="IR56" s="742"/>
      <c r="IS56" s="742"/>
      <c r="IT56" s="742"/>
      <c r="IU56" s="742"/>
      <c r="IV56" s="742"/>
      <c r="IW56" s="742"/>
    </row>
    <row r="57" customFormat="false" ht="12.75" hidden="false" customHeight="false" outlineLevel="0" collapsed="false">
      <c r="A57" s="805"/>
      <c r="B57" s="806" t="s">
        <v>830</v>
      </c>
      <c r="C57" s="806"/>
      <c r="D57" s="806"/>
      <c r="E57" s="807" t="n">
        <f aca="false">SUM($E56:E56)</f>
        <v>0.0171069486766593</v>
      </c>
      <c r="F57" s="807" t="n">
        <f aca="false">SUM($E56:F56)</f>
        <v>0.0286414884462559</v>
      </c>
      <c r="G57" s="807" t="n">
        <f aca="false">SUM($E56:G56)</f>
        <v>0.0330219787096801</v>
      </c>
      <c r="H57" s="807" t="n">
        <f aca="false">SUM($E56:H56)</f>
        <v>0.0354845474879063</v>
      </c>
      <c r="I57" s="807" t="n">
        <f aca="false">SUM($E56:I56)</f>
        <v>0.0381337729106811</v>
      </c>
      <c r="J57" s="807" t="n">
        <f aca="false">SUM($E56:J56)</f>
        <v>0.0452500695809175</v>
      </c>
      <c r="K57" s="807" t="n">
        <f aca="false">SUM($E56:K56)</f>
        <v>0.134976216466052</v>
      </c>
      <c r="L57" s="807" t="n">
        <f aca="false">SUM($E56:L56)</f>
        <v>0.136754287941514</v>
      </c>
      <c r="M57" s="807" t="n">
        <f aca="false">SUM($E56:M56)</f>
        <v>0.171665370819301</v>
      </c>
      <c r="N57" s="807" t="n">
        <f aca="false">SUM($E56:N56)</f>
        <v>0.172608987415822</v>
      </c>
      <c r="O57" s="807" t="n">
        <f aca="false">SUM($E56:O56)</f>
        <v>0.279231942370183</v>
      </c>
      <c r="P57" s="807" t="n">
        <f aca="false">SUM($E56:P56)</f>
        <v>0.33832643172926</v>
      </c>
      <c r="Q57" s="807" t="n">
        <f aca="false">SUM($E56:Q56)</f>
        <v>0.448682723876468</v>
      </c>
      <c r="R57" s="807" t="n">
        <f aca="false">SUM($E56:R56)</f>
        <v>0.562939031288252</v>
      </c>
      <c r="S57" s="807" t="n">
        <f aca="false">SUM($E56:S56)</f>
        <v>0.648740205821881</v>
      </c>
      <c r="T57" s="807" t="n">
        <f aca="false">SUM($E56:T56)</f>
        <v>0.728538819227206</v>
      </c>
      <c r="U57" s="807" t="n">
        <f aca="false">SUM($E56:U56)</f>
        <v>0.770747737120175</v>
      </c>
      <c r="V57" s="807" t="n">
        <f aca="false">SUM($E56:V56)</f>
        <v>0.805953681367097</v>
      </c>
      <c r="W57" s="807" t="n">
        <f aca="false">SUM($E56:W56)</f>
        <v>0.839935502543257</v>
      </c>
      <c r="X57" s="807" t="n">
        <f aca="false">SUM($E56:X56)</f>
        <v>0.896754004499545</v>
      </c>
      <c r="Y57" s="807" t="n">
        <f aca="false">SUM($E56:Y56)</f>
        <v>0.897359307943958</v>
      </c>
      <c r="Z57" s="807" t="n">
        <f aca="false">SUM($E56:Z56)</f>
        <v>0.898014815885946</v>
      </c>
      <c r="AA57" s="807" t="n">
        <f aca="false">SUM($E56:AA56)</f>
        <v>0.898650882891628</v>
      </c>
      <c r="AB57" s="807" t="n">
        <f aca="false">SUM($E56:AB56)</f>
        <v>0.899257917525613</v>
      </c>
      <c r="AC57" s="807" t="n">
        <f aca="false">SUM($E56:AC56)</f>
        <v>1</v>
      </c>
      <c r="AD57" s="807" t="n">
        <f aca="false">SUM($E56:AD56)</f>
        <v>1</v>
      </c>
      <c r="AE57" s="807" t="n">
        <f aca="false">SUM($E56:AE56)</f>
        <v>1</v>
      </c>
      <c r="AF57" s="807" t="n">
        <f aca="false">SUM($E56:AF56)</f>
        <v>1</v>
      </c>
      <c r="AG57" s="807" t="n">
        <f aca="false">SUM($E56:AG56)</f>
        <v>1</v>
      </c>
      <c r="AH57" s="807" t="n">
        <f aca="false">SUM($E56:AH56)</f>
        <v>1</v>
      </c>
      <c r="AI57" s="807" t="n">
        <f aca="false">SUM($E56:AI56)</f>
        <v>1</v>
      </c>
      <c r="AJ57" s="807" t="n">
        <f aca="false">SUM($E56:AJ56)</f>
        <v>1</v>
      </c>
      <c r="AK57" s="807" t="n">
        <f aca="false">SUM($E56:AK56)</f>
        <v>1</v>
      </c>
      <c r="AL57" s="807" t="n">
        <f aca="false">SUM($E56:AL56)</f>
        <v>1</v>
      </c>
      <c r="AM57" s="807" t="n">
        <f aca="false">SUM($E56:AM56)</f>
        <v>1</v>
      </c>
      <c r="AN57" s="807" t="n">
        <f aca="false">SUM($E56:AN56)</f>
        <v>1</v>
      </c>
      <c r="AO57" s="806"/>
      <c r="AP57" s="808"/>
      <c r="AQ57" s="754" t="n">
        <f aca="false">AQ56+1</f>
        <v>51</v>
      </c>
      <c r="AR57" s="792" t="n">
        <f aca="false">AR56+1</f>
        <v>7</v>
      </c>
      <c r="AS57" s="742"/>
      <c r="AT57" s="809"/>
      <c r="AU57" s="85"/>
      <c r="AV57" s="85"/>
      <c r="AW57" s="85"/>
      <c r="AX57" s="810" t="n">
        <f aca="false">SUM(AY57:AZ57)</f>
        <v>1</v>
      </c>
      <c r="AY57" s="811" t="n">
        <f aca="false">AY58/$AX58</f>
        <v>0.560368519391622</v>
      </c>
      <c r="AZ57" s="812" t="n">
        <f aca="false">AZ58/$AX58</f>
        <v>0.439631480608378</v>
      </c>
      <c r="BA57" s="742"/>
      <c r="BB57" s="742"/>
      <c r="BC57" s="742"/>
      <c r="BD57" s="742"/>
      <c r="BE57" s="742"/>
      <c r="BF57" s="742"/>
      <c r="BG57" s="742"/>
      <c r="BH57" s="742"/>
      <c r="BI57" s="742"/>
      <c r="BJ57" s="742"/>
      <c r="BK57" s="742"/>
      <c r="BL57" s="742"/>
      <c r="BM57" s="742"/>
      <c r="BN57" s="742"/>
      <c r="BO57" s="742"/>
      <c r="BP57" s="742"/>
      <c r="BQ57" s="742"/>
      <c r="BR57" s="742"/>
      <c r="BS57" s="742"/>
      <c r="BT57" s="742"/>
      <c r="BU57" s="742"/>
      <c r="BV57" s="742"/>
      <c r="BW57" s="742"/>
      <c r="BX57" s="742"/>
      <c r="BY57" s="742"/>
      <c r="BZ57" s="742"/>
      <c r="CA57" s="742"/>
      <c r="CB57" s="742"/>
      <c r="CC57" s="742"/>
      <c r="CD57" s="742"/>
      <c r="CE57" s="742"/>
      <c r="CF57" s="742"/>
      <c r="CG57" s="742"/>
      <c r="CH57" s="742"/>
      <c r="CI57" s="742"/>
      <c r="CJ57" s="742"/>
      <c r="CK57" s="742"/>
      <c r="CL57" s="742"/>
      <c r="CM57" s="742"/>
      <c r="CN57" s="742"/>
      <c r="CO57" s="742"/>
      <c r="CP57" s="742"/>
      <c r="CQ57" s="742"/>
      <c r="CR57" s="742"/>
      <c r="CS57" s="742"/>
      <c r="CT57" s="742"/>
      <c r="CU57" s="742"/>
      <c r="CV57" s="742"/>
      <c r="CW57" s="742"/>
      <c r="CX57" s="742"/>
      <c r="CY57" s="742"/>
      <c r="CZ57" s="742"/>
      <c r="DA57" s="742"/>
      <c r="DB57" s="742"/>
      <c r="DC57" s="742"/>
      <c r="DD57" s="742"/>
      <c r="DE57" s="742"/>
      <c r="DF57" s="742"/>
      <c r="DG57" s="742"/>
      <c r="DH57" s="742"/>
      <c r="DI57" s="742"/>
      <c r="DJ57" s="742"/>
      <c r="DK57" s="742"/>
      <c r="DL57" s="742"/>
      <c r="DM57" s="742"/>
      <c r="DN57" s="742"/>
      <c r="DO57" s="742"/>
      <c r="DP57" s="742"/>
      <c r="DQ57" s="742"/>
      <c r="DR57" s="742"/>
      <c r="DS57" s="742"/>
      <c r="DT57" s="742"/>
      <c r="DU57" s="742"/>
      <c r="DV57" s="742"/>
      <c r="DW57" s="742"/>
      <c r="DX57" s="742"/>
      <c r="DY57" s="742"/>
      <c r="DZ57" s="742"/>
      <c r="EA57" s="742"/>
      <c r="EB57" s="742"/>
      <c r="EC57" s="742"/>
      <c r="ED57" s="742"/>
      <c r="EE57" s="742"/>
      <c r="EF57" s="742"/>
      <c r="EG57" s="742"/>
      <c r="EH57" s="742"/>
      <c r="EI57" s="742"/>
      <c r="EJ57" s="742"/>
      <c r="EK57" s="742"/>
      <c r="EL57" s="742"/>
      <c r="EM57" s="742"/>
      <c r="EN57" s="742"/>
      <c r="EO57" s="742"/>
      <c r="EP57" s="742"/>
      <c r="EQ57" s="742"/>
      <c r="ER57" s="742"/>
      <c r="ES57" s="742"/>
      <c r="ET57" s="742"/>
      <c r="EU57" s="742"/>
      <c r="EV57" s="742"/>
      <c r="EW57" s="742"/>
      <c r="EX57" s="742"/>
      <c r="EY57" s="742"/>
      <c r="EZ57" s="742"/>
      <c r="FA57" s="742"/>
      <c r="FB57" s="742"/>
      <c r="FC57" s="742"/>
      <c r="FD57" s="742"/>
      <c r="FE57" s="742"/>
      <c r="FF57" s="742"/>
      <c r="FG57" s="742"/>
      <c r="FH57" s="742"/>
      <c r="FI57" s="742"/>
      <c r="FJ57" s="742"/>
      <c r="FK57" s="742"/>
      <c r="FL57" s="742"/>
      <c r="FM57" s="742"/>
      <c r="FN57" s="742"/>
      <c r="FO57" s="742"/>
      <c r="FP57" s="742"/>
      <c r="FQ57" s="742"/>
      <c r="FR57" s="742"/>
      <c r="FS57" s="742"/>
      <c r="FT57" s="742"/>
      <c r="FU57" s="742"/>
      <c r="FV57" s="742"/>
      <c r="FW57" s="742"/>
      <c r="FX57" s="742"/>
      <c r="FY57" s="742"/>
      <c r="FZ57" s="742"/>
      <c r="GA57" s="742"/>
      <c r="GB57" s="742"/>
      <c r="GC57" s="742"/>
      <c r="GD57" s="742"/>
      <c r="GE57" s="742"/>
      <c r="GF57" s="742"/>
      <c r="GG57" s="742"/>
      <c r="GH57" s="742"/>
      <c r="GI57" s="742"/>
      <c r="GJ57" s="742"/>
      <c r="GK57" s="742"/>
      <c r="GL57" s="742"/>
      <c r="GM57" s="742"/>
      <c r="GN57" s="742"/>
      <c r="GO57" s="742"/>
      <c r="GP57" s="742"/>
      <c r="GQ57" s="742"/>
      <c r="GR57" s="742"/>
      <c r="GS57" s="742"/>
      <c r="GT57" s="742"/>
      <c r="GU57" s="742"/>
      <c r="GV57" s="742"/>
      <c r="GW57" s="742"/>
      <c r="GX57" s="742"/>
      <c r="GY57" s="742"/>
      <c r="GZ57" s="742"/>
      <c r="HA57" s="742"/>
      <c r="HB57" s="742"/>
      <c r="HC57" s="742"/>
      <c r="HD57" s="742"/>
      <c r="HE57" s="742"/>
      <c r="HF57" s="742"/>
      <c r="HG57" s="742"/>
      <c r="HH57" s="742"/>
      <c r="HI57" s="742"/>
      <c r="HJ57" s="742"/>
      <c r="HK57" s="742"/>
      <c r="HL57" s="742"/>
      <c r="HM57" s="742"/>
      <c r="HN57" s="742"/>
      <c r="HO57" s="742"/>
      <c r="HP57" s="742"/>
      <c r="HQ57" s="742"/>
      <c r="HR57" s="742"/>
      <c r="HS57" s="742"/>
      <c r="HT57" s="742"/>
      <c r="HU57" s="742"/>
      <c r="HV57" s="742"/>
      <c r="HW57" s="742"/>
      <c r="HX57" s="742"/>
      <c r="HY57" s="742"/>
      <c r="HZ57" s="742"/>
      <c r="IA57" s="742"/>
      <c r="IB57" s="742"/>
      <c r="IC57" s="742"/>
      <c r="ID57" s="742"/>
      <c r="IE57" s="742"/>
      <c r="IF57" s="742"/>
      <c r="IG57" s="742"/>
      <c r="IH57" s="742"/>
      <c r="II57" s="742"/>
      <c r="IJ57" s="742"/>
      <c r="IK57" s="742"/>
      <c r="IL57" s="742"/>
      <c r="IM57" s="742"/>
      <c r="IN57" s="742"/>
      <c r="IO57" s="742"/>
      <c r="IP57" s="742"/>
      <c r="IQ57" s="742"/>
      <c r="IR57" s="742"/>
      <c r="IS57" s="742"/>
      <c r="IT57" s="742"/>
      <c r="IU57" s="742"/>
      <c r="IV57" s="742"/>
      <c r="IW57" s="742"/>
    </row>
    <row r="58" customFormat="false" ht="12.75" hidden="false" customHeight="false" outlineLevel="0" collapsed="false">
      <c r="A58" s="813"/>
      <c r="B58" s="814"/>
      <c r="C58" s="814"/>
      <c r="D58" s="814"/>
      <c r="E58" s="814"/>
      <c r="F58" s="814"/>
      <c r="G58" s="814"/>
      <c r="H58" s="814"/>
      <c r="I58" s="814"/>
      <c r="J58" s="814"/>
      <c r="K58" s="814"/>
      <c r="L58" s="814"/>
      <c r="M58" s="814"/>
      <c r="N58" s="814"/>
      <c r="O58" s="814"/>
      <c r="P58" s="814"/>
      <c r="Q58" s="814"/>
      <c r="R58" s="814"/>
      <c r="S58" s="814"/>
      <c r="T58" s="814"/>
      <c r="U58" s="814"/>
      <c r="V58" s="814"/>
      <c r="W58" s="814"/>
      <c r="X58" s="814"/>
      <c r="Y58" s="814"/>
      <c r="Z58" s="814"/>
      <c r="AA58" s="814"/>
      <c r="AB58" s="814"/>
      <c r="AC58" s="814"/>
      <c r="AD58" s="814"/>
      <c r="AE58" s="814"/>
      <c r="AF58" s="814"/>
      <c r="AG58" s="814"/>
      <c r="AH58" s="814"/>
      <c r="AI58" s="814"/>
      <c r="AJ58" s="814"/>
      <c r="AK58" s="814"/>
      <c r="AL58" s="814"/>
      <c r="AM58" s="814"/>
      <c r="AN58" s="814"/>
      <c r="AO58" s="814"/>
      <c r="AP58" s="815"/>
      <c r="AQ58" s="754" t="n">
        <f aca="false">AQ57+1</f>
        <v>52</v>
      </c>
      <c r="AR58" s="792" t="n">
        <f aca="false">AR57+1</f>
        <v>8</v>
      </c>
      <c r="AT58" s="809" t="s">
        <v>831</v>
      </c>
      <c r="AU58" s="85"/>
      <c r="AV58" s="85"/>
      <c r="AW58" s="85"/>
      <c r="AX58" s="176" t="n">
        <f aca="false">SUM(AY58:AZ58)</f>
        <v>57267</v>
      </c>
      <c r="AY58" s="99" t="n">
        <v>32090.624</v>
      </c>
      <c r="AZ58" s="816" t="n">
        <v>25176.376</v>
      </c>
    </row>
    <row r="59" customFormat="false" ht="12.75" hidden="false" customHeight="false" outlineLevel="0" collapsed="false">
      <c r="A59" s="780" t="s">
        <v>832</v>
      </c>
      <c r="B59" s="85"/>
      <c r="C59" s="817" t="n">
        <f aca="false">Pipe_NTP</f>
        <v>36342</v>
      </c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753"/>
      <c r="AQ59" s="754" t="n">
        <f aca="false">AQ58+1</f>
        <v>53</v>
      </c>
      <c r="AR59" s="792" t="n">
        <f aca="false">AR58+1</f>
        <v>9</v>
      </c>
      <c r="AS59" s="85"/>
      <c r="AT59" s="809" t="s">
        <v>833</v>
      </c>
      <c r="AU59" s="818" t="n">
        <v>36220</v>
      </c>
      <c r="AV59" s="85"/>
      <c r="AW59" s="85"/>
      <c r="AX59" s="435" t="n">
        <v>-15000</v>
      </c>
      <c r="AY59" s="588" t="n">
        <f aca="false">$AX59*AY57</f>
        <v>-8405.52779087433</v>
      </c>
      <c r="AZ59" s="819" t="n">
        <f aca="false">$AX59*AZ57</f>
        <v>-6594.47220912567</v>
      </c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85"/>
      <c r="CB59" s="85"/>
      <c r="CC59" s="85"/>
      <c r="CD59" s="85"/>
      <c r="CE59" s="85"/>
      <c r="CF59" s="85"/>
      <c r="CG59" s="85"/>
      <c r="CH59" s="85"/>
      <c r="CI59" s="85"/>
      <c r="CJ59" s="85"/>
      <c r="CK59" s="85"/>
      <c r="CL59" s="85"/>
      <c r="CM59" s="85"/>
      <c r="CN59" s="85"/>
      <c r="CO59" s="85"/>
      <c r="CP59" s="85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5"/>
      <c r="GM59" s="85"/>
      <c r="GN59" s="85"/>
      <c r="GO59" s="85"/>
      <c r="GP59" s="85"/>
      <c r="GQ59" s="85"/>
      <c r="GR59" s="85"/>
      <c r="GS59" s="85"/>
      <c r="GT59" s="85"/>
      <c r="GU59" s="85"/>
      <c r="GV59" s="85"/>
      <c r="GW59" s="85"/>
      <c r="GX59" s="85"/>
      <c r="GY59" s="85"/>
      <c r="GZ59" s="85"/>
      <c r="HA59" s="85"/>
      <c r="HB59" s="85"/>
      <c r="HC59" s="85"/>
      <c r="HD59" s="85"/>
      <c r="HE59" s="85"/>
      <c r="HF59" s="85"/>
      <c r="HG59" s="85"/>
      <c r="HH59" s="85"/>
      <c r="HI59" s="85"/>
      <c r="HJ59" s="85"/>
      <c r="HK59" s="85"/>
      <c r="HL59" s="85"/>
      <c r="HM59" s="85"/>
      <c r="HN59" s="85"/>
      <c r="HO59" s="85"/>
      <c r="HP59" s="85"/>
      <c r="HQ59" s="85"/>
      <c r="HR59" s="85"/>
      <c r="HS59" s="85"/>
      <c r="HT59" s="85"/>
      <c r="HU59" s="85"/>
      <c r="HV59" s="85"/>
      <c r="HW59" s="85"/>
      <c r="HX59" s="85"/>
      <c r="HY59" s="85"/>
      <c r="HZ59" s="85"/>
      <c r="IA59" s="85"/>
      <c r="IB59" s="85"/>
      <c r="IC59" s="85"/>
      <c r="ID59" s="85"/>
      <c r="IE59" s="85"/>
      <c r="IF59" s="85"/>
      <c r="IG59" s="85"/>
      <c r="IH59" s="85"/>
      <c r="II59" s="85"/>
      <c r="IJ59" s="85"/>
      <c r="IK59" s="85"/>
      <c r="IL59" s="85"/>
      <c r="IM59" s="85"/>
      <c r="IN59" s="85"/>
      <c r="IO59" s="85"/>
      <c r="IP59" s="85"/>
      <c r="IQ59" s="85"/>
      <c r="IR59" s="85"/>
      <c r="IS59" s="85"/>
      <c r="IT59" s="85"/>
      <c r="IU59" s="85"/>
      <c r="IV59" s="85"/>
      <c r="IW59" s="85"/>
    </row>
    <row r="60" customFormat="false" ht="12.75" hidden="false" customHeight="false" outlineLevel="0" collapsed="false">
      <c r="A60" s="37" t="s">
        <v>834</v>
      </c>
      <c r="B60" s="39"/>
      <c r="C60" s="817" t="n">
        <f aca="false">Pipe_RFS</f>
        <v>36892</v>
      </c>
      <c r="D60" s="39"/>
      <c r="E60" s="39"/>
      <c r="F60" s="39"/>
      <c r="G60" s="39"/>
      <c r="H60" s="73" t="s">
        <v>835</v>
      </c>
      <c r="I60" s="158" t="n">
        <v>2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02"/>
      <c r="AQ60" s="754" t="n">
        <f aca="false">AQ59+1</f>
        <v>54</v>
      </c>
      <c r="AR60" s="792" t="n">
        <f aca="false">AR59+1</f>
        <v>10</v>
      </c>
      <c r="AS60" s="39"/>
      <c r="AT60" s="820" t="n">
        <f aca="false">EDATE(AU59,1)</f>
        <v>36251</v>
      </c>
      <c r="AU60" s="85" t="s">
        <v>836</v>
      </c>
      <c r="AV60" s="818" t="n">
        <v>36373</v>
      </c>
      <c r="AW60" s="85"/>
      <c r="AX60" s="176" t="n">
        <f aca="false">SUM(AX58:AX59)</f>
        <v>42267</v>
      </c>
      <c r="AY60" s="176" t="n">
        <f aca="false">SUM(AY58:AY59)</f>
        <v>23685.0962091257</v>
      </c>
      <c r="AZ60" s="821" t="n">
        <f aca="false">SUM(AZ58:AZ59)</f>
        <v>18581.9037908743</v>
      </c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</row>
    <row r="61" customFormat="false" ht="12.75" hidden="false" customHeight="false" outlineLevel="0" collapsed="false">
      <c r="A61" s="780" t="s">
        <v>837</v>
      </c>
      <c r="B61" s="85"/>
      <c r="C61" s="822" t="n">
        <f aca="false">ROUND((C60-C59)/(365/12),0)</f>
        <v>18</v>
      </c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23" t="n">
        <v>1</v>
      </c>
      <c r="W61" s="823" t="n">
        <f aca="false">V61+1</f>
        <v>2</v>
      </c>
      <c r="X61" s="823" t="n">
        <f aca="false">W61+1</f>
        <v>3</v>
      </c>
      <c r="Y61" s="823" t="n">
        <f aca="false">X61+1</f>
        <v>4</v>
      </c>
      <c r="Z61" s="823" t="n">
        <f aca="false">Y61+1</f>
        <v>5</v>
      </c>
      <c r="AA61" s="823" t="n">
        <f aca="false">Z61+1</f>
        <v>6</v>
      </c>
      <c r="AB61" s="823" t="n">
        <f aca="false">AA61+1</f>
        <v>7</v>
      </c>
      <c r="AC61" s="823" t="n">
        <f aca="false">AB61+1</f>
        <v>8</v>
      </c>
      <c r="AD61" s="823" t="n">
        <f aca="false">AC61+1</f>
        <v>9</v>
      </c>
      <c r="AE61" s="823" t="n">
        <f aca="false">AD61+1</f>
        <v>10</v>
      </c>
      <c r="AF61" s="823" t="n">
        <f aca="false">AE61+1</f>
        <v>11</v>
      </c>
      <c r="AG61" s="823" t="n">
        <f aca="false">AF61+1</f>
        <v>12</v>
      </c>
      <c r="AH61" s="823" t="n">
        <f aca="false">AG61+1</f>
        <v>13</v>
      </c>
      <c r="AI61" s="823" t="n">
        <f aca="false">AH61+1</f>
        <v>14</v>
      </c>
      <c r="AJ61" s="823" t="n">
        <f aca="false">AI61+1</f>
        <v>15</v>
      </c>
      <c r="AK61" s="823" t="n">
        <f aca="false">AJ61+1</f>
        <v>16</v>
      </c>
      <c r="AL61" s="823" t="n">
        <f aca="false">AK61+1</f>
        <v>17</v>
      </c>
      <c r="AM61" s="823" t="n">
        <f aca="false">AL61+1</f>
        <v>18</v>
      </c>
      <c r="AN61" s="823" t="n">
        <f aca="false">AM61+1</f>
        <v>19</v>
      </c>
      <c r="AO61" s="85"/>
      <c r="AP61" s="753"/>
      <c r="AQ61" s="754" t="n">
        <f aca="false">AQ60+1</f>
        <v>55</v>
      </c>
      <c r="AR61" s="792" t="n">
        <f aca="false">AR60+1</f>
        <v>11</v>
      </c>
      <c r="AS61" s="85"/>
      <c r="AT61" s="809" t="s">
        <v>838</v>
      </c>
      <c r="AU61" s="85"/>
      <c r="AV61" s="824" t="n">
        <f aca="false">ROUND((AV60-AT60)/(365/12),0)+1</f>
        <v>5</v>
      </c>
      <c r="AW61" s="85" t="s">
        <v>839</v>
      </c>
      <c r="AX61" s="176" t="n">
        <f aca="false">AX60/$AV61</f>
        <v>8453.4</v>
      </c>
      <c r="AY61" s="176" t="n">
        <f aca="false">AY60/$AV61</f>
        <v>4737.01924182513</v>
      </c>
      <c r="AZ61" s="821" t="n">
        <f aca="false">AZ60/$AV61</f>
        <v>3716.38075817487</v>
      </c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/>
      <c r="CC61" s="85"/>
      <c r="CD61" s="85"/>
      <c r="CE61" s="85"/>
      <c r="CF61" s="85"/>
      <c r="CG61" s="85"/>
      <c r="CH61" s="85"/>
      <c r="CI61" s="85"/>
      <c r="CJ61" s="85"/>
      <c r="CK61" s="85"/>
      <c r="CL61" s="85"/>
      <c r="CM61" s="85"/>
      <c r="CN61" s="85"/>
      <c r="CO61" s="85"/>
      <c r="CP61" s="85"/>
      <c r="CQ61" s="85"/>
      <c r="CR61" s="85"/>
      <c r="CS61" s="85"/>
      <c r="CT61" s="85"/>
      <c r="CU61" s="85"/>
      <c r="CV61" s="85"/>
      <c r="CW61" s="85"/>
      <c r="CX61" s="85"/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85"/>
      <c r="DS61" s="85"/>
      <c r="DT61" s="85"/>
      <c r="DU61" s="85"/>
      <c r="DV61" s="85"/>
      <c r="DW61" s="85"/>
      <c r="DX61" s="85"/>
      <c r="DY61" s="85"/>
      <c r="DZ61" s="85"/>
      <c r="EA61" s="85"/>
      <c r="EB61" s="85"/>
      <c r="EC61" s="85"/>
      <c r="ED61" s="85"/>
      <c r="EE61" s="85"/>
      <c r="EF61" s="85"/>
      <c r="EG61" s="85"/>
      <c r="EH61" s="85"/>
      <c r="EI61" s="85"/>
      <c r="EJ61" s="85"/>
      <c r="EK61" s="85"/>
      <c r="EL61" s="85"/>
      <c r="EM61" s="85"/>
      <c r="EN61" s="85"/>
      <c r="EO61" s="85"/>
      <c r="EP61" s="85"/>
      <c r="EQ61" s="85"/>
      <c r="ER61" s="85"/>
      <c r="ES61" s="85"/>
      <c r="ET61" s="85"/>
      <c r="EU61" s="85"/>
      <c r="EV61" s="85"/>
      <c r="EW61" s="85"/>
      <c r="EX61" s="85"/>
      <c r="EY61" s="85"/>
      <c r="EZ61" s="85"/>
      <c r="FA61" s="85"/>
      <c r="FB61" s="85"/>
      <c r="FC61" s="85"/>
      <c r="FD61" s="85"/>
      <c r="FE61" s="85"/>
      <c r="FF61" s="85"/>
      <c r="FG61" s="85"/>
      <c r="FH61" s="85"/>
      <c r="FI61" s="85"/>
      <c r="FJ61" s="85"/>
      <c r="FK61" s="85"/>
      <c r="FL61" s="85"/>
      <c r="FM61" s="85"/>
      <c r="FN61" s="85"/>
      <c r="FO61" s="85"/>
      <c r="FP61" s="85"/>
      <c r="FQ61" s="85"/>
      <c r="FR61" s="85"/>
      <c r="FS61" s="85"/>
      <c r="FT61" s="85"/>
      <c r="FU61" s="85"/>
      <c r="FV61" s="85"/>
      <c r="FW61" s="85"/>
      <c r="FX61" s="85"/>
      <c r="FY61" s="85"/>
      <c r="FZ61" s="85"/>
      <c r="GA61" s="85"/>
      <c r="GB61" s="85"/>
      <c r="GC61" s="85"/>
      <c r="GD61" s="85"/>
      <c r="GE61" s="85"/>
      <c r="GF61" s="85"/>
      <c r="GG61" s="85"/>
      <c r="GH61" s="85"/>
      <c r="GI61" s="85"/>
      <c r="GJ61" s="85"/>
      <c r="GK61" s="85"/>
      <c r="GL61" s="85"/>
      <c r="GM61" s="85"/>
      <c r="GN61" s="85"/>
      <c r="GO61" s="85"/>
      <c r="GP61" s="85"/>
      <c r="GQ61" s="85"/>
      <c r="GR61" s="85"/>
      <c r="GS61" s="85"/>
      <c r="GT61" s="85"/>
      <c r="GU61" s="85"/>
      <c r="GV61" s="85"/>
      <c r="GW61" s="85"/>
      <c r="GX61" s="85"/>
      <c r="GY61" s="85"/>
      <c r="GZ61" s="85"/>
      <c r="HA61" s="85"/>
      <c r="HB61" s="85"/>
      <c r="HC61" s="85"/>
      <c r="HD61" s="85"/>
      <c r="HE61" s="85"/>
      <c r="HF61" s="85"/>
      <c r="HG61" s="85"/>
      <c r="HH61" s="85"/>
      <c r="HI61" s="85"/>
      <c r="HJ61" s="85"/>
      <c r="HK61" s="85"/>
      <c r="HL61" s="85"/>
      <c r="HM61" s="85"/>
      <c r="HN61" s="85"/>
      <c r="HO61" s="85"/>
      <c r="HP61" s="85"/>
      <c r="HQ61" s="85"/>
      <c r="HR61" s="85"/>
      <c r="HS61" s="85"/>
      <c r="HT61" s="85"/>
      <c r="HU61" s="85"/>
      <c r="HV61" s="85"/>
      <c r="HW61" s="85"/>
      <c r="HX61" s="85"/>
      <c r="HY61" s="85"/>
      <c r="HZ61" s="85"/>
      <c r="IA61" s="85"/>
      <c r="IB61" s="85"/>
      <c r="IC61" s="85"/>
      <c r="ID61" s="85"/>
      <c r="IE61" s="85"/>
      <c r="IF61" s="85"/>
      <c r="IG61" s="85"/>
      <c r="IH61" s="85"/>
      <c r="II61" s="85"/>
      <c r="IJ61" s="85"/>
      <c r="IK61" s="85"/>
      <c r="IL61" s="85"/>
      <c r="IM61" s="85"/>
      <c r="IN61" s="85"/>
      <c r="IO61" s="85"/>
      <c r="IP61" s="85"/>
      <c r="IQ61" s="85"/>
      <c r="IR61" s="85"/>
      <c r="IS61" s="85"/>
      <c r="IT61" s="85"/>
      <c r="IU61" s="85"/>
      <c r="IV61" s="85"/>
      <c r="IW61" s="85"/>
    </row>
    <row r="62" customFormat="false" ht="12.75" hidden="false" customHeight="false" outlineLevel="0" collapsed="false">
      <c r="A62" s="782" t="s">
        <v>840</v>
      </c>
      <c r="B62" s="783"/>
      <c r="C62" s="783"/>
      <c r="D62" s="783"/>
      <c r="E62" s="784" t="n">
        <v>35886</v>
      </c>
      <c r="F62" s="785" t="n">
        <f aca="false">EDATE(E62,1)</f>
        <v>35916</v>
      </c>
      <c r="G62" s="785" t="n">
        <f aca="false">EDATE(F62,1)</f>
        <v>35947</v>
      </c>
      <c r="H62" s="785" t="n">
        <f aca="false">EDATE(G62,1)</f>
        <v>35977</v>
      </c>
      <c r="I62" s="785" t="n">
        <f aca="false">EDATE(H62,1)</f>
        <v>36008</v>
      </c>
      <c r="J62" s="785" t="n">
        <f aca="false">EDATE(I62,1)</f>
        <v>36039</v>
      </c>
      <c r="K62" s="785" t="n">
        <f aca="false">EDATE(J62,1)</f>
        <v>36069</v>
      </c>
      <c r="L62" s="785" t="n">
        <f aca="false">EDATE(K62,1)</f>
        <v>36100</v>
      </c>
      <c r="M62" s="785" t="n">
        <f aca="false">EDATE(L62,1)</f>
        <v>36130</v>
      </c>
      <c r="N62" s="785" t="n">
        <f aca="false">EDATE(M62,1)</f>
        <v>36161</v>
      </c>
      <c r="O62" s="785" t="n">
        <f aca="false">EDATE(N62,1)</f>
        <v>36192</v>
      </c>
      <c r="P62" s="785" t="n">
        <f aca="false">EDATE(O62,1)</f>
        <v>36220</v>
      </c>
      <c r="Q62" s="785" t="n">
        <f aca="false">EDATE(P62,1)</f>
        <v>36251</v>
      </c>
      <c r="R62" s="785" t="n">
        <f aca="false">EDATE(Q62,1)</f>
        <v>36281</v>
      </c>
      <c r="S62" s="785" t="n">
        <f aca="false">EDATE(R62,1)</f>
        <v>36312</v>
      </c>
      <c r="T62" s="785" t="n">
        <f aca="false">EDATE(S62,1)</f>
        <v>36342</v>
      </c>
      <c r="U62" s="785" t="n">
        <f aca="false">EDATE(T62,1)</f>
        <v>36373</v>
      </c>
      <c r="V62" s="785" t="n">
        <f aca="false">EDATE(U62,1)</f>
        <v>36404</v>
      </c>
      <c r="W62" s="785" t="n">
        <f aca="false">EDATE(V62,1)</f>
        <v>36434</v>
      </c>
      <c r="X62" s="785" t="n">
        <f aca="false">EDATE(W62,1)</f>
        <v>36465</v>
      </c>
      <c r="Y62" s="785" t="n">
        <f aca="false">EDATE(X62,1)</f>
        <v>36495</v>
      </c>
      <c r="Z62" s="785" t="n">
        <f aca="false">EDATE(Y62,1)</f>
        <v>36526</v>
      </c>
      <c r="AA62" s="785" t="n">
        <f aca="false">EDATE(Z62,1)</f>
        <v>36557</v>
      </c>
      <c r="AB62" s="785" t="n">
        <f aca="false">EDATE(AA62,1)</f>
        <v>36586</v>
      </c>
      <c r="AC62" s="785" t="n">
        <f aca="false">EDATE(AB62,1)</f>
        <v>36617</v>
      </c>
      <c r="AD62" s="785" t="n">
        <f aca="false">EDATE(AC62,1)</f>
        <v>36647</v>
      </c>
      <c r="AE62" s="785" t="n">
        <f aca="false">EDATE(AD62,1)</f>
        <v>36678</v>
      </c>
      <c r="AF62" s="785" t="n">
        <f aca="false">EDATE(AE62,1)</f>
        <v>36708</v>
      </c>
      <c r="AG62" s="785" t="n">
        <f aca="false">EDATE(AF62,1)</f>
        <v>36739</v>
      </c>
      <c r="AH62" s="785" t="n">
        <f aca="false">EDATE(AG62,1)</f>
        <v>36770</v>
      </c>
      <c r="AI62" s="785" t="n">
        <f aca="false">EDATE(AH62,1)</f>
        <v>36800</v>
      </c>
      <c r="AJ62" s="785" t="n">
        <f aca="false">EDATE(AI62,1)</f>
        <v>36831</v>
      </c>
      <c r="AK62" s="785" t="n">
        <f aca="false">EDATE(AJ62,1)</f>
        <v>36861</v>
      </c>
      <c r="AL62" s="785" t="n">
        <f aca="false">EDATE(AK62,1)</f>
        <v>36892</v>
      </c>
      <c r="AM62" s="785" t="n">
        <f aca="false">EDATE(AL62,1)</f>
        <v>36923</v>
      </c>
      <c r="AN62" s="785" t="n">
        <f aca="false">EDATE(AM62,1)</f>
        <v>36951</v>
      </c>
      <c r="AO62" s="783"/>
      <c r="AP62" s="786"/>
      <c r="AQ62" s="754" t="n">
        <f aca="false">AQ61+1</f>
        <v>56</v>
      </c>
      <c r="AR62" s="792" t="n">
        <f aca="false">AR61+1</f>
        <v>12</v>
      </c>
      <c r="AS62" s="742"/>
      <c r="AT62" s="809"/>
      <c r="AU62" s="85"/>
      <c r="AV62" s="85"/>
      <c r="AW62" s="85"/>
      <c r="AX62" s="85"/>
      <c r="AY62" s="85"/>
      <c r="AZ62" s="825"/>
      <c r="BA62" s="742"/>
      <c r="BB62" s="742"/>
      <c r="BC62" s="742"/>
      <c r="BD62" s="742"/>
      <c r="BE62" s="742"/>
      <c r="BF62" s="742"/>
      <c r="BG62" s="742"/>
      <c r="BH62" s="742"/>
      <c r="BI62" s="742"/>
      <c r="BJ62" s="742"/>
      <c r="BK62" s="742"/>
      <c r="BL62" s="742"/>
      <c r="BM62" s="742"/>
      <c r="BN62" s="742"/>
      <c r="BO62" s="742"/>
      <c r="BP62" s="742"/>
      <c r="BQ62" s="742"/>
      <c r="BR62" s="742"/>
      <c r="BS62" s="742"/>
      <c r="BT62" s="742"/>
      <c r="BU62" s="742"/>
      <c r="BV62" s="742"/>
      <c r="BW62" s="742"/>
      <c r="BX62" s="742"/>
      <c r="BY62" s="742"/>
      <c r="BZ62" s="742"/>
      <c r="CA62" s="742"/>
      <c r="CB62" s="742"/>
      <c r="CC62" s="742"/>
      <c r="CD62" s="742"/>
      <c r="CE62" s="742"/>
      <c r="CF62" s="742"/>
      <c r="CG62" s="742"/>
      <c r="CH62" s="742"/>
      <c r="CI62" s="742"/>
      <c r="CJ62" s="742"/>
      <c r="CK62" s="742"/>
      <c r="CL62" s="742"/>
      <c r="CM62" s="742"/>
      <c r="CN62" s="742"/>
      <c r="CO62" s="742"/>
      <c r="CP62" s="742"/>
      <c r="CQ62" s="742"/>
      <c r="CR62" s="742"/>
      <c r="CS62" s="742"/>
      <c r="CT62" s="742"/>
      <c r="CU62" s="742"/>
      <c r="CV62" s="742"/>
      <c r="CW62" s="742"/>
      <c r="CX62" s="742"/>
      <c r="CY62" s="742"/>
      <c r="CZ62" s="742"/>
      <c r="DA62" s="742"/>
      <c r="DB62" s="742"/>
      <c r="DC62" s="742"/>
      <c r="DD62" s="742"/>
      <c r="DE62" s="742"/>
      <c r="DF62" s="742"/>
      <c r="DG62" s="742"/>
      <c r="DH62" s="742"/>
      <c r="DI62" s="742"/>
      <c r="DJ62" s="742"/>
      <c r="DK62" s="742"/>
      <c r="DL62" s="742"/>
      <c r="DM62" s="742"/>
      <c r="DN62" s="742"/>
      <c r="DO62" s="742"/>
      <c r="DP62" s="742"/>
      <c r="DQ62" s="742"/>
      <c r="DR62" s="742"/>
      <c r="DS62" s="742"/>
      <c r="DT62" s="742"/>
      <c r="DU62" s="742"/>
      <c r="DV62" s="742"/>
      <c r="DW62" s="742"/>
      <c r="DX62" s="742"/>
      <c r="DY62" s="742"/>
      <c r="DZ62" s="742"/>
      <c r="EA62" s="742"/>
      <c r="EB62" s="742"/>
      <c r="EC62" s="742"/>
      <c r="ED62" s="742"/>
      <c r="EE62" s="742"/>
      <c r="EF62" s="742"/>
      <c r="EG62" s="742"/>
      <c r="EH62" s="742"/>
      <c r="EI62" s="742"/>
      <c r="EJ62" s="742"/>
      <c r="EK62" s="742"/>
      <c r="EL62" s="742"/>
      <c r="EM62" s="742"/>
      <c r="EN62" s="742"/>
      <c r="EO62" s="742"/>
      <c r="EP62" s="742"/>
      <c r="EQ62" s="742"/>
      <c r="ER62" s="742"/>
      <c r="ES62" s="742"/>
      <c r="ET62" s="742"/>
      <c r="EU62" s="742"/>
      <c r="EV62" s="742"/>
      <c r="EW62" s="742"/>
      <c r="EX62" s="742"/>
      <c r="EY62" s="742"/>
      <c r="EZ62" s="742"/>
      <c r="FA62" s="742"/>
      <c r="FB62" s="742"/>
      <c r="FC62" s="742"/>
      <c r="FD62" s="742"/>
      <c r="FE62" s="742"/>
      <c r="FF62" s="742"/>
      <c r="FG62" s="742"/>
      <c r="FH62" s="742"/>
      <c r="FI62" s="742"/>
      <c r="FJ62" s="742"/>
      <c r="FK62" s="742"/>
      <c r="FL62" s="742"/>
      <c r="FM62" s="742"/>
      <c r="FN62" s="742"/>
      <c r="FO62" s="742"/>
      <c r="FP62" s="742"/>
      <c r="FQ62" s="742"/>
      <c r="FR62" s="742"/>
      <c r="FS62" s="742"/>
      <c r="FT62" s="742"/>
      <c r="FU62" s="742"/>
      <c r="FV62" s="742"/>
      <c r="FW62" s="742"/>
      <c r="FX62" s="742"/>
      <c r="FY62" s="742"/>
      <c r="FZ62" s="742"/>
      <c r="GA62" s="742"/>
      <c r="GB62" s="742"/>
      <c r="GC62" s="742"/>
      <c r="GD62" s="742"/>
      <c r="GE62" s="742"/>
      <c r="GF62" s="742"/>
      <c r="GG62" s="742"/>
      <c r="GH62" s="742"/>
      <c r="GI62" s="742"/>
      <c r="GJ62" s="742"/>
      <c r="GK62" s="742"/>
      <c r="GL62" s="742"/>
      <c r="GM62" s="742"/>
      <c r="GN62" s="742"/>
      <c r="GO62" s="742"/>
      <c r="GP62" s="742"/>
      <c r="GQ62" s="742"/>
      <c r="GR62" s="742"/>
      <c r="GS62" s="742"/>
      <c r="GT62" s="742"/>
      <c r="GU62" s="742"/>
      <c r="GV62" s="742"/>
      <c r="GW62" s="742"/>
      <c r="GX62" s="742"/>
      <c r="GY62" s="742"/>
      <c r="GZ62" s="742"/>
      <c r="HA62" s="742"/>
      <c r="HB62" s="742"/>
      <c r="HC62" s="742"/>
      <c r="HD62" s="742"/>
      <c r="HE62" s="742"/>
      <c r="HF62" s="742"/>
      <c r="HG62" s="742"/>
      <c r="HH62" s="742"/>
      <c r="HI62" s="742"/>
      <c r="HJ62" s="742"/>
      <c r="HK62" s="742"/>
      <c r="HL62" s="742"/>
      <c r="HM62" s="742"/>
      <c r="HN62" s="742"/>
      <c r="HO62" s="742"/>
      <c r="HP62" s="742"/>
      <c r="HQ62" s="742"/>
      <c r="HR62" s="742"/>
      <c r="HS62" s="742"/>
      <c r="HT62" s="742"/>
      <c r="HU62" s="742"/>
      <c r="HV62" s="742"/>
      <c r="HW62" s="742"/>
      <c r="HX62" s="742"/>
      <c r="HY62" s="742"/>
      <c r="HZ62" s="742"/>
      <c r="IA62" s="742"/>
      <c r="IB62" s="742"/>
      <c r="IC62" s="742"/>
      <c r="ID62" s="742"/>
      <c r="IE62" s="742"/>
      <c r="IF62" s="742"/>
      <c r="IG62" s="742"/>
      <c r="IH62" s="742"/>
      <c r="II62" s="742"/>
      <c r="IJ62" s="742"/>
      <c r="IK62" s="742"/>
      <c r="IL62" s="742"/>
      <c r="IM62" s="742"/>
      <c r="IN62" s="742"/>
      <c r="IO62" s="742"/>
      <c r="IP62" s="742"/>
      <c r="IQ62" s="742"/>
      <c r="IR62" s="742"/>
      <c r="IS62" s="742"/>
      <c r="IT62" s="742"/>
      <c r="IU62" s="742"/>
      <c r="IV62" s="742"/>
      <c r="IW62" s="742"/>
    </row>
    <row r="63" customFormat="false" ht="12.75" hidden="false" customHeight="false" outlineLevel="0" collapsed="false">
      <c r="A63" s="788" t="s">
        <v>824</v>
      </c>
      <c r="B63" s="789"/>
      <c r="C63" s="789"/>
      <c r="D63" s="789"/>
      <c r="E63" s="790" t="n">
        <f aca="false">E$6</f>
        <v>1</v>
      </c>
      <c r="F63" s="790" t="n">
        <f aca="false">F$6</f>
        <v>2</v>
      </c>
      <c r="G63" s="790" t="n">
        <f aca="false">G$6</f>
        <v>3</v>
      </c>
      <c r="H63" s="790" t="n">
        <f aca="false">H$6</f>
        <v>4</v>
      </c>
      <c r="I63" s="790" t="n">
        <f aca="false">I$6</f>
        <v>5</v>
      </c>
      <c r="J63" s="790" t="n">
        <f aca="false">J$6</f>
        <v>6</v>
      </c>
      <c r="K63" s="790" t="n">
        <f aca="false">K$6</f>
        <v>7</v>
      </c>
      <c r="L63" s="790" t="n">
        <f aca="false">L$6</f>
        <v>8</v>
      </c>
      <c r="M63" s="790" t="n">
        <f aca="false">M$6</f>
        <v>9</v>
      </c>
      <c r="N63" s="790" t="n">
        <f aca="false">N$6</f>
        <v>10</v>
      </c>
      <c r="O63" s="790" t="n">
        <f aca="false">O$6</f>
        <v>11</v>
      </c>
      <c r="P63" s="790" t="n">
        <f aca="false">P$6</f>
        <v>12</v>
      </c>
      <c r="Q63" s="790" t="n">
        <f aca="false">Q$6</f>
        <v>13</v>
      </c>
      <c r="R63" s="790" t="n">
        <f aca="false">R$6</f>
        <v>14</v>
      </c>
      <c r="S63" s="790" t="n">
        <f aca="false">S$6</f>
        <v>15</v>
      </c>
      <c r="T63" s="790" t="n">
        <f aca="false">T$6</f>
        <v>16</v>
      </c>
      <c r="U63" s="790" t="n">
        <f aca="false">U$6</f>
        <v>17</v>
      </c>
      <c r="V63" s="790" t="n">
        <f aca="false">V$6</f>
        <v>18</v>
      </c>
      <c r="W63" s="790" t="n">
        <f aca="false">W$6</f>
        <v>19</v>
      </c>
      <c r="X63" s="790" t="n">
        <f aca="false">X$6</f>
        <v>20</v>
      </c>
      <c r="Y63" s="790" t="n">
        <f aca="false">Y$6</f>
        <v>21</v>
      </c>
      <c r="Z63" s="790" t="n">
        <f aca="false">Z$6</f>
        <v>22</v>
      </c>
      <c r="AA63" s="790" t="n">
        <f aca="false">AA$6</f>
        <v>23</v>
      </c>
      <c r="AB63" s="790" t="n">
        <f aca="false">AB$6</f>
        <v>24</v>
      </c>
      <c r="AC63" s="790" t="n">
        <f aca="false">AC$6</f>
        <v>25</v>
      </c>
      <c r="AD63" s="790" t="n">
        <f aca="false">AD$6</f>
        <v>26</v>
      </c>
      <c r="AE63" s="790" t="n">
        <f aca="false">AE$6</f>
        <v>27</v>
      </c>
      <c r="AF63" s="790" t="n">
        <f aca="false">AF$6</f>
        <v>28</v>
      </c>
      <c r="AG63" s="790" t="n">
        <f aca="false">AG$6</f>
        <v>29</v>
      </c>
      <c r="AH63" s="790" t="n">
        <f aca="false">AH$6</f>
        <v>30</v>
      </c>
      <c r="AI63" s="790" t="n">
        <f aca="false">AI$6</f>
        <v>31</v>
      </c>
      <c r="AJ63" s="790" t="n">
        <f aca="false">AJ$6</f>
        <v>32</v>
      </c>
      <c r="AK63" s="790" t="n">
        <f aca="false">AK$6</f>
        <v>33</v>
      </c>
      <c r="AL63" s="790" t="n">
        <f aca="false">AL$6</f>
        <v>34</v>
      </c>
      <c r="AM63" s="790" t="n">
        <f aca="false">AM$6</f>
        <v>35</v>
      </c>
      <c r="AN63" s="790" t="n">
        <f aca="false">AN$6</f>
        <v>36</v>
      </c>
      <c r="AO63" s="789"/>
      <c r="AP63" s="791"/>
      <c r="AQ63" s="754" t="n">
        <f aca="false">AQ62+1</f>
        <v>57</v>
      </c>
      <c r="AR63" s="792" t="n">
        <f aca="false">AR62+1</f>
        <v>13</v>
      </c>
      <c r="AS63" s="742"/>
      <c r="AT63" s="826" t="s">
        <v>841</v>
      </c>
      <c r="AU63" s="39"/>
      <c r="AV63" s="39"/>
      <c r="AW63" s="39"/>
      <c r="AX63" s="176" t="n">
        <f aca="false">SUM(AY63:AZ63)</f>
        <v>159412.163</v>
      </c>
      <c r="AY63" s="99" t="n">
        <v>92999.028</v>
      </c>
      <c r="AZ63" s="816" t="n">
        <v>66413.135</v>
      </c>
      <c r="BA63" s="742"/>
      <c r="BB63" s="742"/>
      <c r="BC63" s="742"/>
      <c r="BD63" s="742"/>
      <c r="BE63" s="742"/>
      <c r="BF63" s="742"/>
      <c r="BG63" s="742"/>
      <c r="BH63" s="742"/>
      <c r="BI63" s="742"/>
      <c r="BJ63" s="742"/>
      <c r="BK63" s="742"/>
      <c r="BL63" s="742"/>
      <c r="BM63" s="742"/>
      <c r="BN63" s="742"/>
      <c r="BO63" s="742"/>
      <c r="BP63" s="742"/>
      <c r="BQ63" s="742"/>
      <c r="BR63" s="742"/>
      <c r="BS63" s="742"/>
      <c r="BT63" s="742"/>
      <c r="BU63" s="742"/>
      <c r="BV63" s="742"/>
      <c r="BW63" s="742"/>
      <c r="BX63" s="742"/>
      <c r="BY63" s="742"/>
      <c r="BZ63" s="742"/>
      <c r="CA63" s="742"/>
      <c r="CB63" s="742"/>
      <c r="CC63" s="742"/>
      <c r="CD63" s="742"/>
      <c r="CE63" s="742"/>
      <c r="CF63" s="742"/>
      <c r="CG63" s="742"/>
      <c r="CH63" s="742"/>
      <c r="CI63" s="742"/>
      <c r="CJ63" s="742"/>
      <c r="CK63" s="742"/>
      <c r="CL63" s="742"/>
      <c r="CM63" s="742"/>
      <c r="CN63" s="742"/>
      <c r="CO63" s="742"/>
      <c r="CP63" s="742"/>
      <c r="CQ63" s="742"/>
      <c r="CR63" s="742"/>
      <c r="CS63" s="742"/>
      <c r="CT63" s="742"/>
      <c r="CU63" s="742"/>
      <c r="CV63" s="742"/>
      <c r="CW63" s="742"/>
      <c r="CX63" s="742"/>
      <c r="CY63" s="742"/>
      <c r="CZ63" s="742"/>
      <c r="DA63" s="742"/>
      <c r="DB63" s="742"/>
      <c r="DC63" s="742"/>
      <c r="DD63" s="742"/>
      <c r="DE63" s="742"/>
      <c r="DF63" s="742"/>
      <c r="DG63" s="742"/>
      <c r="DH63" s="742"/>
      <c r="DI63" s="742"/>
      <c r="DJ63" s="742"/>
      <c r="DK63" s="742"/>
      <c r="DL63" s="742"/>
      <c r="DM63" s="742"/>
      <c r="DN63" s="742"/>
      <c r="DO63" s="742"/>
      <c r="DP63" s="742"/>
      <c r="DQ63" s="742"/>
      <c r="DR63" s="742"/>
      <c r="DS63" s="742"/>
      <c r="DT63" s="742"/>
      <c r="DU63" s="742"/>
      <c r="DV63" s="742"/>
      <c r="DW63" s="742"/>
      <c r="DX63" s="742"/>
      <c r="DY63" s="742"/>
      <c r="DZ63" s="742"/>
      <c r="EA63" s="742"/>
      <c r="EB63" s="742"/>
      <c r="EC63" s="742"/>
      <c r="ED63" s="742"/>
      <c r="EE63" s="742"/>
      <c r="EF63" s="742"/>
      <c r="EG63" s="742"/>
      <c r="EH63" s="742"/>
      <c r="EI63" s="742"/>
      <c r="EJ63" s="742"/>
      <c r="EK63" s="742"/>
      <c r="EL63" s="742"/>
      <c r="EM63" s="742"/>
      <c r="EN63" s="742"/>
      <c r="EO63" s="742"/>
      <c r="EP63" s="742"/>
      <c r="EQ63" s="742"/>
      <c r="ER63" s="742"/>
      <c r="ES63" s="742"/>
      <c r="ET63" s="742"/>
      <c r="EU63" s="742"/>
      <c r="EV63" s="742"/>
      <c r="EW63" s="742"/>
      <c r="EX63" s="742"/>
      <c r="EY63" s="742"/>
      <c r="EZ63" s="742"/>
      <c r="FA63" s="742"/>
      <c r="FB63" s="742"/>
      <c r="FC63" s="742"/>
      <c r="FD63" s="742"/>
      <c r="FE63" s="742"/>
      <c r="FF63" s="742"/>
      <c r="FG63" s="742"/>
      <c r="FH63" s="742"/>
      <c r="FI63" s="742"/>
      <c r="FJ63" s="742"/>
      <c r="FK63" s="742"/>
      <c r="FL63" s="742"/>
      <c r="FM63" s="742"/>
      <c r="FN63" s="742"/>
      <c r="FO63" s="742"/>
      <c r="FP63" s="742"/>
      <c r="FQ63" s="742"/>
      <c r="FR63" s="742"/>
      <c r="FS63" s="742"/>
      <c r="FT63" s="742"/>
      <c r="FU63" s="742"/>
      <c r="FV63" s="742"/>
      <c r="FW63" s="742"/>
      <c r="FX63" s="742"/>
      <c r="FY63" s="742"/>
      <c r="FZ63" s="742"/>
      <c r="GA63" s="742"/>
      <c r="GB63" s="742"/>
      <c r="GC63" s="742"/>
      <c r="GD63" s="742"/>
      <c r="GE63" s="742"/>
      <c r="GF63" s="742"/>
      <c r="GG63" s="742"/>
      <c r="GH63" s="742"/>
      <c r="GI63" s="742"/>
      <c r="GJ63" s="742"/>
      <c r="GK63" s="742"/>
      <c r="GL63" s="742"/>
      <c r="GM63" s="742"/>
      <c r="GN63" s="742"/>
      <c r="GO63" s="742"/>
      <c r="GP63" s="742"/>
      <c r="GQ63" s="742"/>
      <c r="GR63" s="742"/>
      <c r="GS63" s="742"/>
      <c r="GT63" s="742"/>
      <c r="GU63" s="742"/>
      <c r="GV63" s="742"/>
      <c r="GW63" s="742"/>
      <c r="GX63" s="742"/>
      <c r="GY63" s="742"/>
      <c r="GZ63" s="742"/>
      <c r="HA63" s="742"/>
      <c r="HB63" s="742"/>
      <c r="HC63" s="742"/>
      <c r="HD63" s="742"/>
      <c r="HE63" s="742"/>
      <c r="HF63" s="742"/>
      <c r="HG63" s="742"/>
      <c r="HH63" s="742"/>
      <c r="HI63" s="742"/>
      <c r="HJ63" s="742"/>
      <c r="HK63" s="742"/>
      <c r="HL63" s="742"/>
      <c r="HM63" s="742"/>
      <c r="HN63" s="742"/>
      <c r="HO63" s="742"/>
      <c r="HP63" s="742"/>
      <c r="HQ63" s="742"/>
      <c r="HR63" s="742"/>
      <c r="HS63" s="742"/>
      <c r="HT63" s="742"/>
      <c r="HU63" s="742"/>
      <c r="HV63" s="742"/>
      <c r="HW63" s="742"/>
      <c r="HX63" s="742"/>
      <c r="HY63" s="742"/>
      <c r="HZ63" s="742"/>
      <c r="IA63" s="742"/>
      <c r="IB63" s="742"/>
      <c r="IC63" s="742"/>
      <c r="ID63" s="742"/>
      <c r="IE63" s="742"/>
      <c r="IF63" s="742"/>
      <c r="IG63" s="742"/>
      <c r="IH63" s="742"/>
      <c r="II63" s="742"/>
      <c r="IJ63" s="742"/>
      <c r="IK63" s="742"/>
      <c r="IL63" s="742"/>
      <c r="IM63" s="742"/>
      <c r="IN63" s="742"/>
      <c r="IO63" s="742"/>
      <c r="IP63" s="742"/>
      <c r="IQ63" s="742"/>
      <c r="IR63" s="742"/>
      <c r="IS63" s="742"/>
      <c r="IT63" s="742"/>
      <c r="IU63" s="742"/>
      <c r="IV63" s="742"/>
      <c r="IW63" s="742"/>
    </row>
    <row r="64" customFormat="false" ht="12.75" hidden="false" customHeight="false" outlineLevel="0" collapsed="false">
      <c r="A64" s="793"/>
      <c r="B64" s="789" t="s">
        <v>825</v>
      </c>
      <c r="C64" s="789"/>
      <c r="D64" s="789"/>
      <c r="E64" s="827" t="n">
        <v>0</v>
      </c>
      <c r="F64" s="828" t="n">
        <v>0</v>
      </c>
      <c r="G64" s="828" t="n">
        <v>0</v>
      </c>
      <c r="H64" s="828" t="n">
        <v>0</v>
      </c>
      <c r="I64" s="828" t="n">
        <v>0</v>
      </c>
      <c r="J64" s="828" t="n">
        <v>0</v>
      </c>
      <c r="K64" s="828" t="n">
        <v>0</v>
      </c>
      <c r="L64" s="828" t="n">
        <v>0</v>
      </c>
      <c r="M64" s="828" t="n">
        <v>0</v>
      </c>
      <c r="N64" s="828" t="n">
        <v>0</v>
      </c>
      <c r="O64" s="828" t="n">
        <v>0</v>
      </c>
      <c r="P64" s="829" t="n">
        <f aca="false">-AY59</f>
        <v>8405.52779087433</v>
      </c>
      <c r="Q64" s="830" t="n">
        <f aca="false">$AY61</f>
        <v>4737.01924182513</v>
      </c>
      <c r="R64" s="830" t="n">
        <f aca="false">$AY61</f>
        <v>4737.01924182513</v>
      </c>
      <c r="S64" s="830" t="n">
        <f aca="false">$AY61</f>
        <v>4737.01924182513</v>
      </c>
      <c r="T64" s="830" t="n">
        <f aca="false">$AY61</f>
        <v>4737.01924182513</v>
      </c>
      <c r="U64" s="830" t="n">
        <f aca="false">$AY61</f>
        <v>4737.01924182513</v>
      </c>
      <c r="V64" s="829" t="n">
        <f aca="false">IF(V61&gt;$AV$66,0,$AY$66)</f>
        <v>3582.84729411765</v>
      </c>
      <c r="W64" s="829" t="n">
        <f aca="false">IF(W61&gt;$AV$66,0,$AY$66)</f>
        <v>3582.84729411765</v>
      </c>
      <c r="X64" s="829" t="n">
        <f aca="false">IF(X61&gt;$AV$66,0,$AY$66)</f>
        <v>3582.84729411765</v>
      </c>
      <c r="Y64" s="829" t="n">
        <f aca="false">IF(Y61&gt;$AV$66,0,$AY$66)</f>
        <v>3582.84729411765</v>
      </c>
      <c r="Z64" s="829" t="n">
        <f aca="false">IF(Z61&gt;$AV$66,0,$AY$66)</f>
        <v>3582.84729411765</v>
      </c>
      <c r="AA64" s="829" t="n">
        <f aca="false">IF(AA61&gt;$AV$66,0,$AY$66)</f>
        <v>3582.84729411765</v>
      </c>
      <c r="AB64" s="829" t="n">
        <f aca="false">IF(AB61&gt;$AV$66,0,$AY$66)</f>
        <v>3582.84729411765</v>
      </c>
      <c r="AC64" s="829" t="n">
        <f aca="false">IF(AC61&gt;$AV$66,0,$AY$66)</f>
        <v>3582.84729411765</v>
      </c>
      <c r="AD64" s="829" t="n">
        <f aca="false">IF(AD61&gt;$AV$66,0,$AY$66)</f>
        <v>3582.84729411765</v>
      </c>
      <c r="AE64" s="829" t="n">
        <f aca="false">IF(AE61&gt;$AV$66,0,$AY$66)</f>
        <v>3582.84729411765</v>
      </c>
      <c r="AF64" s="829" t="n">
        <f aca="false">IF(AF61&gt;$AV$66,0,$AY$66)</f>
        <v>3582.84729411765</v>
      </c>
      <c r="AG64" s="829" t="n">
        <f aca="false">IF(AG61&gt;$AV$66,0,$AY$66)</f>
        <v>3582.84729411765</v>
      </c>
      <c r="AH64" s="829" t="n">
        <f aca="false">IF(AH61&gt;$AV$66,0,$AY$66)</f>
        <v>3582.84729411765</v>
      </c>
      <c r="AI64" s="829" t="n">
        <f aca="false">IF(AI61&gt;$AV$66,0,$AY$66)</f>
        <v>3582.84729411765</v>
      </c>
      <c r="AJ64" s="829" t="n">
        <f aca="false">IF(AJ61&gt;$AV$66,0,$AY$66)</f>
        <v>3582.84729411765</v>
      </c>
      <c r="AK64" s="829" t="n">
        <f aca="false">IF(AK61&gt;$AV$66,0,$AY$66)</f>
        <v>3582.84729411765</v>
      </c>
      <c r="AL64" s="829" t="n">
        <f aca="false">IF(AL61&gt;$AV$66,0,$AY$66)</f>
        <v>3582.84729411765</v>
      </c>
      <c r="AM64" s="829" t="n">
        <f aca="false">IF(AM61&gt;$AV$66,0,$AY$66)</f>
        <v>0</v>
      </c>
      <c r="AN64" s="831" t="n">
        <f aca="false">IF(AN61&gt;$AV$66,0,$AY$66)</f>
        <v>0</v>
      </c>
      <c r="AO64" s="797"/>
      <c r="AP64" s="798" t="n">
        <f aca="false">SUM(E64:AO64)</f>
        <v>92999.028</v>
      </c>
      <c r="AQ64" s="754" t="n">
        <f aca="false">AQ63+1</f>
        <v>58</v>
      </c>
      <c r="AR64" s="792" t="n">
        <f aca="false">AR63+1</f>
        <v>14</v>
      </c>
      <c r="AS64" s="742"/>
      <c r="AT64" s="826" t="s">
        <v>842</v>
      </c>
      <c r="AU64" s="39"/>
      <c r="AV64" s="39"/>
      <c r="AW64" s="39"/>
      <c r="AX64" s="311" t="n">
        <f aca="false">-AX58</f>
        <v>-57267</v>
      </c>
      <c r="AY64" s="311" t="n">
        <f aca="false">-AY58</f>
        <v>-32090.624</v>
      </c>
      <c r="AZ64" s="832" t="n">
        <f aca="false">-AZ58</f>
        <v>-25176.376</v>
      </c>
      <c r="BA64" s="742"/>
      <c r="BB64" s="742"/>
      <c r="BC64" s="742"/>
      <c r="BD64" s="742"/>
      <c r="BE64" s="742"/>
      <c r="BF64" s="742"/>
      <c r="BG64" s="742"/>
      <c r="BH64" s="742"/>
      <c r="BI64" s="742"/>
      <c r="BJ64" s="742"/>
      <c r="BK64" s="742"/>
      <c r="BL64" s="742"/>
      <c r="BM64" s="742"/>
      <c r="BN64" s="742"/>
      <c r="BO64" s="742"/>
      <c r="BP64" s="742"/>
      <c r="BQ64" s="742"/>
      <c r="BR64" s="742"/>
      <c r="BS64" s="742"/>
      <c r="BT64" s="742"/>
      <c r="BU64" s="742"/>
      <c r="BV64" s="742"/>
      <c r="BW64" s="742"/>
      <c r="BX64" s="742"/>
      <c r="BY64" s="742"/>
      <c r="BZ64" s="742"/>
      <c r="CA64" s="742"/>
      <c r="CB64" s="742"/>
      <c r="CC64" s="742"/>
      <c r="CD64" s="742"/>
      <c r="CE64" s="742"/>
      <c r="CF64" s="742"/>
      <c r="CG64" s="742"/>
      <c r="CH64" s="742"/>
      <c r="CI64" s="742"/>
      <c r="CJ64" s="742"/>
      <c r="CK64" s="742"/>
      <c r="CL64" s="742"/>
      <c r="CM64" s="742"/>
      <c r="CN64" s="742"/>
      <c r="CO64" s="742"/>
      <c r="CP64" s="742"/>
      <c r="CQ64" s="742"/>
      <c r="CR64" s="742"/>
      <c r="CS64" s="742"/>
      <c r="CT64" s="742"/>
      <c r="CU64" s="742"/>
      <c r="CV64" s="742"/>
      <c r="CW64" s="742"/>
      <c r="CX64" s="742"/>
      <c r="CY64" s="742"/>
      <c r="CZ64" s="742"/>
      <c r="DA64" s="742"/>
      <c r="DB64" s="742"/>
      <c r="DC64" s="742"/>
      <c r="DD64" s="742"/>
      <c r="DE64" s="742"/>
      <c r="DF64" s="742"/>
      <c r="DG64" s="742"/>
      <c r="DH64" s="742"/>
      <c r="DI64" s="742"/>
      <c r="DJ64" s="742"/>
      <c r="DK64" s="742"/>
      <c r="DL64" s="742"/>
      <c r="DM64" s="742"/>
      <c r="DN64" s="742"/>
      <c r="DO64" s="742"/>
      <c r="DP64" s="742"/>
      <c r="DQ64" s="742"/>
      <c r="DR64" s="742"/>
      <c r="DS64" s="742"/>
      <c r="DT64" s="742"/>
      <c r="DU64" s="742"/>
      <c r="DV64" s="742"/>
      <c r="DW64" s="742"/>
      <c r="DX64" s="742"/>
      <c r="DY64" s="742"/>
      <c r="DZ64" s="742"/>
      <c r="EA64" s="742"/>
      <c r="EB64" s="742"/>
      <c r="EC64" s="742"/>
      <c r="ED64" s="742"/>
      <c r="EE64" s="742"/>
      <c r="EF64" s="742"/>
      <c r="EG64" s="742"/>
      <c r="EH64" s="742"/>
      <c r="EI64" s="742"/>
      <c r="EJ64" s="742"/>
      <c r="EK64" s="742"/>
      <c r="EL64" s="742"/>
      <c r="EM64" s="742"/>
      <c r="EN64" s="742"/>
      <c r="EO64" s="742"/>
      <c r="EP64" s="742"/>
      <c r="EQ64" s="742"/>
      <c r="ER64" s="742"/>
      <c r="ES64" s="742"/>
      <c r="ET64" s="742"/>
      <c r="EU64" s="742"/>
      <c r="EV64" s="742"/>
      <c r="EW64" s="742"/>
      <c r="EX64" s="742"/>
      <c r="EY64" s="742"/>
      <c r="EZ64" s="742"/>
      <c r="FA64" s="742"/>
      <c r="FB64" s="742"/>
      <c r="FC64" s="742"/>
      <c r="FD64" s="742"/>
      <c r="FE64" s="742"/>
      <c r="FF64" s="742"/>
      <c r="FG64" s="742"/>
      <c r="FH64" s="742"/>
      <c r="FI64" s="742"/>
      <c r="FJ64" s="742"/>
      <c r="FK64" s="742"/>
      <c r="FL64" s="742"/>
      <c r="FM64" s="742"/>
      <c r="FN64" s="742"/>
      <c r="FO64" s="742"/>
      <c r="FP64" s="742"/>
      <c r="FQ64" s="742"/>
      <c r="FR64" s="742"/>
      <c r="FS64" s="742"/>
      <c r="FT64" s="742"/>
      <c r="FU64" s="742"/>
      <c r="FV64" s="742"/>
      <c r="FW64" s="742"/>
      <c r="FX64" s="742"/>
      <c r="FY64" s="742"/>
      <c r="FZ64" s="742"/>
      <c r="GA64" s="742"/>
      <c r="GB64" s="742"/>
      <c r="GC64" s="742"/>
      <c r="GD64" s="742"/>
      <c r="GE64" s="742"/>
      <c r="GF64" s="742"/>
      <c r="GG64" s="742"/>
      <c r="GH64" s="742"/>
      <c r="GI64" s="742"/>
      <c r="GJ64" s="742"/>
      <c r="GK64" s="742"/>
      <c r="GL64" s="742"/>
      <c r="GM64" s="742"/>
      <c r="GN64" s="742"/>
      <c r="GO64" s="742"/>
      <c r="GP64" s="742"/>
      <c r="GQ64" s="742"/>
      <c r="GR64" s="742"/>
      <c r="GS64" s="742"/>
      <c r="GT64" s="742"/>
      <c r="GU64" s="742"/>
      <c r="GV64" s="742"/>
      <c r="GW64" s="742"/>
      <c r="GX64" s="742"/>
      <c r="GY64" s="742"/>
      <c r="GZ64" s="742"/>
      <c r="HA64" s="742"/>
      <c r="HB64" s="742"/>
      <c r="HC64" s="742"/>
      <c r="HD64" s="742"/>
      <c r="HE64" s="742"/>
      <c r="HF64" s="742"/>
      <c r="HG64" s="742"/>
      <c r="HH64" s="742"/>
      <c r="HI64" s="742"/>
      <c r="HJ64" s="742"/>
      <c r="HK64" s="742"/>
      <c r="HL64" s="742"/>
      <c r="HM64" s="742"/>
      <c r="HN64" s="742"/>
      <c r="HO64" s="742"/>
      <c r="HP64" s="742"/>
      <c r="HQ64" s="742"/>
      <c r="HR64" s="742"/>
      <c r="HS64" s="742"/>
      <c r="HT64" s="742"/>
      <c r="HU64" s="742"/>
      <c r="HV64" s="742"/>
      <c r="HW64" s="742"/>
      <c r="HX64" s="742"/>
      <c r="HY64" s="742"/>
      <c r="HZ64" s="742"/>
      <c r="IA64" s="742"/>
      <c r="IB64" s="742"/>
      <c r="IC64" s="742"/>
      <c r="ID64" s="742"/>
      <c r="IE64" s="742"/>
      <c r="IF64" s="742"/>
      <c r="IG64" s="742"/>
      <c r="IH64" s="742"/>
      <c r="II64" s="742"/>
      <c r="IJ64" s="742"/>
      <c r="IK64" s="742"/>
      <c r="IL64" s="742"/>
      <c r="IM64" s="742"/>
      <c r="IN64" s="742"/>
      <c r="IO64" s="742"/>
      <c r="IP64" s="742"/>
      <c r="IQ64" s="742"/>
      <c r="IR64" s="742"/>
      <c r="IS64" s="742"/>
      <c r="IT64" s="742"/>
      <c r="IU64" s="742"/>
      <c r="IV64" s="742"/>
      <c r="IW64" s="742"/>
    </row>
    <row r="65" customFormat="false" ht="12.75" hidden="false" customHeight="false" outlineLevel="0" collapsed="false">
      <c r="A65" s="793"/>
      <c r="B65" s="789" t="s">
        <v>826</v>
      </c>
      <c r="C65" s="789"/>
      <c r="D65" s="789"/>
      <c r="E65" s="797" t="n">
        <f aca="false">SUM($E64:E64)</f>
        <v>0</v>
      </c>
      <c r="F65" s="797" t="n">
        <f aca="false">SUM($E64:F64)</f>
        <v>0</v>
      </c>
      <c r="G65" s="797" t="n">
        <f aca="false">SUM($E64:G64)</f>
        <v>0</v>
      </c>
      <c r="H65" s="797" t="n">
        <f aca="false">SUM($E64:H64)</f>
        <v>0</v>
      </c>
      <c r="I65" s="797" t="n">
        <f aca="false">SUM($E64:I64)</f>
        <v>0</v>
      </c>
      <c r="J65" s="797" t="n">
        <f aca="false">SUM($E64:J64)</f>
        <v>0</v>
      </c>
      <c r="K65" s="797" t="n">
        <f aca="false">SUM($E64:K64)</f>
        <v>0</v>
      </c>
      <c r="L65" s="797" t="n">
        <f aca="false">SUM($E64:L64)</f>
        <v>0</v>
      </c>
      <c r="M65" s="797" t="n">
        <f aca="false">SUM($E64:M64)</f>
        <v>0</v>
      </c>
      <c r="N65" s="797" t="n">
        <f aca="false">SUM($E64:N64)</f>
        <v>0</v>
      </c>
      <c r="O65" s="797" t="n">
        <f aca="false">SUM($E64:O64)</f>
        <v>0</v>
      </c>
      <c r="P65" s="797" t="n">
        <f aca="false">SUM($E64:P64)</f>
        <v>8405.52779087433</v>
      </c>
      <c r="Q65" s="797" t="n">
        <f aca="false">SUM($E64:Q64)</f>
        <v>13142.5470326995</v>
      </c>
      <c r="R65" s="797" t="n">
        <f aca="false">SUM($E64:R64)</f>
        <v>17879.5662745246</v>
      </c>
      <c r="S65" s="797" t="n">
        <f aca="false">SUM($E64:S64)</f>
        <v>22616.5855163497</v>
      </c>
      <c r="T65" s="797" t="n">
        <f aca="false">SUM($E64:T64)</f>
        <v>27353.6047581749</v>
      </c>
      <c r="U65" s="797" t="n">
        <f aca="false">SUM($E64:U64)</f>
        <v>32090.624</v>
      </c>
      <c r="V65" s="797" t="n">
        <f aca="false">SUM($E64:V64)</f>
        <v>35673.4712941177</v>
      </c>
      <c r="W65" s="797" t="n">
        <f aca="false">SUM($E64:W64)</f>
        <v>39256.3185882353</v>
      </c>
      <c r="X65" s="797" t="n">
        <f aca="false">SUM($E64:X64)</f>
        <v>42839.1658823529</v>
      </c>
      <c r="Y65" s="797" t="n">
        <f aca="false">SUM($E64:Y64)</f>
        <v>46422.0131764706</v>
      </c>
      <c r="Z65" s="797" t="n">
        <f aca="false">SUM($E64:Z64)</f>
        <v>50004.8604705882</v>
      </c>
      <c r="AA65" s="797" t="n">
        <f aca="false">SUM($E64:AA64)</f>
        <v>53587.7077647059</v>
      </c>
      <c r="AB65" s="797" t="n">
        <f aca="false">SUM($E64:AB64)</f>
        <v>57170.5550588235</v>
      </c>
      <c r="AC65" s="797" t="n">
        <f aca="false">SUM($E64:AC64)</f>
        <v>60753.4023529412</v>
      </c>
      <c r="AD65" s="797" t="n">
        <f aca="false">SUM($E64:AD64)</f>
        <v>64336.2496470588</v>
      </c>
      <c r="AE65" s="797" t="n">
        <f aca="false">SUM($E64:AE64)</f>
        <v>67919.0969411765</v>
      </c>
      <c r="AF65" s="797" t="n">
        <f aca="false">SUM($E64:AF64)</f>
        <v>71501.9442352941</v>
      </c>
      <c r="AG65" s="797" t="n">
        <f aca="false">SUM($E64:AG64)</f>
        <v>75084.7915294118</v>
      </c>
      <c r="AH65" s="797" t="n">
        <f aca="false">SUM($E64:AH64)</f>
        <v>78667.6388235294</v>
      </c>
      <c r="AI65" s="797" t="n">
        <f aca="false">SUM($E64:AI64)</f>
        <v>82250.4861176471</v>
      </c>
      <c r="AJ65" s="797" t="n">
        <f aca="false">SUM($E64:AJ64)</f>
        <v>85833.3334117647</v>
      </c>
      <c r="AK65" s="797" t="n">
        <f aca="false">SUM($E64:AK64)</f>
        <v>89416.1807058824</v>
      </c>
      <c r="AL65" s="797" t="n">
        <f aca="false">SUM($E64:AL64)</f>
        <v>92999.028</v>
      </c>
      <c r="AM65" s="797" t="n">
        <f aca="false">SUM($E64:AM64)</f>
        <v>92999.028</v>
      </c>
      <c r="AN65" s="797" t="n">
        <f aca="false">SUM($E64:AN64)</f>
        <v>92999.028</v>
      </c>
      <c r="AO65" s="797"/>
      <c r="AP65" s="798"/>
      <c r="AQ65" s="754" t="n">
        <f aca="false">AQ64+1</f>
        <v>59</v>
      </c>
      <c r="AR65" s="792" t="n">
        <f aca="false">AR64+1</f>
        <v>15</v>
      </c>
      <c r="AS65" s="742"/>
      <c r="AT65" s="826" t="s">
        <v>843</v>
      </c>
      <c r="AU65" s="39"/>
      <c r="AV65" s="39"/>
      <c r="AW65" s="39"/>
      <c r="AX65" s="61" t="n">
        <f aca="false">SUM(AX63:AX64)</f>
        <v>102145.163</v>
      </c>
      <c r="AY65" s="61" t="n">
        <f aca="false">SUM(AY63:AY64)</f>
        <v>60908.404</v>
      </c>
      <c r="AZ65" s="833" t="n">
        <f aca="false">SUM(AZ63:AZ64)</f>
        <v>41236.759</v>
      </c>
      <c r="BA65" s="742"/>
      <c r="BB65" s="742"/>
      <c r="BC65" s="742"/>
      <c r="BD65" s="742"/>
      <c r="BE65" s="742"/>
      <c r="BF65" s="742"/>
      <c r="BG65" s="742"/>
      <c r="BH65" s="742"/>
      <c r="BI65" s="742"/>
      <c r="BJ65" s="742"/>
      <c r="BK65" s="742"/>
      <c r="BL65" s="742"/>
      <c r="BM65" s="742"/>
      <c r="BN65" s="742"/>
      <c r="BO65" s="742"/>
      <c r="BP65" s="742"/>
      <c r="BQ65" s="742"/>
      <c r="BR65" s="742"/>
      <c r="BS65" s="742"/>
      <c r="BT65" s="742"/>
      <c r="BU65" s="742"/>
      <c r="BV65" s="742"/>
      <c r="BW65" s="742"/>
      <c r="BX65" s="742"/>
      <c r="BY65" s="742"/>
      <c r="BZ65" s="742"/>
      <c r="CA65" s="742"/>
      <c r="CB65" s="742"/>
      <c r="CC65" s="742"/>
      <c r="CD65" s="742"/>
      <c r="CE65" s="742"/>
      <c r="CF65" s="742"/>
      <c r="CG65" s="742"/>
      <c r="CH65" s="742"/>
      <c r="CI65" s="742"/>
      <c r="CJ65" s="742"/>
      <c r="CK65" s="742"/>
      <c r="CL65" s="742"/>
      <c r="CM65" s="742"/>
      <c r="CN65" s="742"/>
      <c r="CO65" s="742"/>
      <c r="CP65" s="742"/>
      <c r="CQ65" s="742"/>
      <c r="CR65" s="742"/>
      <c r="CS65" s="742"/>
      <c r="CT65" s="742"/>
      <c r="CU65" s="742"/>
      <c r="CV65" s="742"/>
      <c r="CW65" s="742"/>
      <c r="CX65" s="742"/>
      <c r="CY65" s="742"/>
      <c r="CZ65" s="742"/>
      <c r="DA65" s="742"/>
      <c r="DB65" s="742"/>
      <c r="DC65" s="742"/>
      <c r="DD65" s="742"/>
      <c r="DE65" s="742"/>
      <c r="DF65" s="742"/>
      <c r="DG65" s="742"/>
      <c r="DH65" s="742"/>
      <c r="DI65" s="742"/>
      <c r="DJ65" s="742"/>
      <c r="DK65" s="742"/>
      <c r="DL65" s="742"/>
      <c r="DM65" s="742"/>
      <c r="DN65" s="742"/>
      <c r="DO65" s="742"/>
      <c r="DP65" s="742"/>
      <c r="DQ65" s="742"/>
      <c r="DR65" s="742"/>
      <c r="DS65" s="742"/>
      <c r="DT65" s="742"/>
      <c r="DU65" s="742"/>
      <c r="DV65" s="742"/>
      <c r="DW65" s="742"/>
      <c r="DX65" s="742"/>
      <c r="DY65" s="742"/>
      <c r="DZ65" s="742"/>
      <c r="EA65" s="742"/>
      <c r="EB65" s="742"/>
      <c r="EC65" s="742"/>
      <c r="ED65" s="742"/>
      <c r="EE65" s="742"/>
      <c r="EF65" s="742"/>
      <c r="EG65" s="742"/>
      <c r="EH65" s="742"/>
      <c r="EI65" s="742"/>
      <c r="EJ65" s="742"/>
      <c r="EK65" s="742"/>
      <c r="EL65" s="742"/>
      <c r="EM65" s="742"/>
      <c r="EN65" s="742"/>
      <c r="EO65" s="742"/>
      <c r="EP65" s="742"/>
      <c r="EQ65" s="742"/>
      <c r="ER65" s="742"/>
      <c r="ES65" s="742"/>
      <c r="ET65" s="742"/>
      <c r="EU65" s="742"/>
      <c r="EV65" s="742"/>
      <c r="EW65" s="742"/>
      <c r="EX65" s="742"/>
      <c r="EY65" s="742"/>
      <c r="EZ65" s="742"/>
      <c r="FA65" s="742"/>
      <c r="FB65" s="742"/>
      <c r="FC65" s="742"/>
      <c r="FD65" s="742"/>
      <c r="FE65" s="742"/>
      <c r="FF65" s="742"/>
      <c r="FG65" s="742"/>
      <c r="FH65" s="742"/>
      <c r="FI65" s="742"/>
      <c r="FJ65" s="742"/>
      <c r="FK65" s="742"/>
      <c r="FL65" s="742"/>
      <c r="FM65" s="742"/>
      <c r="FN65" s="742"/>
      <c r="FO65" s="742"/>
      <c r="FP65" s="742"/>
      <c r="FQ65" s="742"/>
      <c r="FR65" s="742"/>
      <c r="FS65" s="742"/>
      <c r="FT65" s="742"/>
      <c r="FU65" s="742"/>
      <c r="FV65" s="742"/>
      <c r="FW65" s="742"/>
      <c r="FX65" s="742"/>
      <c r="FY65" s="742"/>
      <c r="FZ65" s="742"/>
      <c r="GA65" s="742"/>
      <c r="GB65" s="742"/>
      <c r="GC65" s="742"/>
      <c r="GD65" s="742"/>
      <c r="GE65" s="742"/>
      <c r="GF65" s="742"/>
      <c r="GG65" s="742"/>
      <c r="GH65" s="742"/>
      <c r="GI65" s="742"/>
      <c r="GJ65" s="742"/>
      <c r="GK65" s="742"/>
      <c r="GL65" s="742"/>
      <c r="GM65" s="742"/>
      <c r="GN65" s="742"/>
      <c r="GO65" s="742"/>
      <c r="GP65" s="742"/>
      <c r="GQ65" s="742"/>
      <c r="GR65" s="742"/>
      <c r="GS65" s="742"/>
      <c r="GT65" s="742"/>
      <c r="GU65" s="742"/>
      <c r="GV65" s="742"/>
      <c r="GW65" s="742"/>
      <c r="GX65" s="742"/>
      <c r="GY65" s="742"/>
      <c r="GZ65" s="742"/>
      <c r="HA65" s="742"/>
      <c r="HB65" s="742"/>
      <c r="HC65" s="742"/>
      <c r="HD65" s="742"/>
      <c r="HE65" s="742"/>
      <c r="HF65" s="742"/>
      <c r="HG65" s="742"/>
      <c r="HH65" s="742"/>
      <c r="HI65" s="742"/>
      <c r="HJ65" s="742"/>
      <c r="HK65" s="742"/>
      <c r="HL65" s="742"/>
      <c r="HM65" s="742"/>
      <c r="HN65" s="742"/>
      <c r="HO65" s="742"/>
      <c r="HP65" s="742"/>
      <c r="HQ65" s="742"/>
      <c r="HR65" s="742"/>
      <c r="HS65" s="742"/>
      <c r="HT65" s="742"/>
      <c r="HU65" s="742"/>
      <c r="HV65" s="742"/>
      <c r="HW65" s="742"/>
      <c r="HX65" s="742"/>
      <c r="HY65" s="742"/>
      <c r="HZ65" s="742"/>
      <c r="IA65" s="742"/>
      <c r="IB65" s="742"/>
      <c r="IC65" s="742"/>
      <c r="ID65" s="742"/>
      <c r="IE65" s="742"/>
      <c r="IF65" s="742"/>
      <c r="IG65" s="742"/>
      <c r="IH65" s="742"/>
      <c r="II65" s="742"/>
      <c r="IJ65" s="742"/>
      <c r="IK65" s="742"/>
      <c r="IL65" s="742"/>
      <c r="IM65" s="742"/>
      <c r="IN65" s="742"/>
      <c r="IO65" s="742"/>
      <c r="IP65" s="742"/>
      <c r="IQ65" s="742"/>
      <c r="IR65" s="742"/>
      <c r="IS65" s="742"/>
      <c r="IT65" s="742"/>
      <c r="IU65" s="742"/>
      <c r="IV65" s="742"/>
      <c r="IW65" s="742"/>
    </row>
    <row r="66" customFormat="false" ht="12.75" hidden="false" customHeight="false" outlineLevel="0" collapsed="false">
      <c r="A66" s="793"/>
      <c r="B66" s="789"/>
      <c r="C66" s="789"/>
      <c r="D66" s="789"/>
      <c r="E66" s="789"/>
      <c r="F66" s="789"/>
      <c r="G66" s="789"/>
      <c r="H66" s="789"/>
      <c r="I66" s="789"/>
      <c r="J66" s="789"/>
      <c r="K66" s="789"/>
      <c r="L66" s="789"/>
      <c r="M66" s="789"/>
      <c r="N66" s="789"/>
      <c r="O66" s="789"/>
      <c r="P66" s="789"/>
      <c r="Q66" s="789"/>
      <c r="R66" s="789"/>
      <c r="S66" s="789"/>
      <c r="T66" s="789"/>
      <c r="U66" s="789"/>
      <c r="V66" s="789"/>
      <c r="W66" s="789"/>
      <c r="X66" s="789"/>
      <c r="Y66" s="789"/>
      <c r="Z66" s="789"/>
      <c r="AA66" s="789"/>
      <c r="AB66" s="789"/>
      <c r="AC66" s="789"/>
      <c r="AD66" s="789"/>
      <c r="AE66" s="789"/>
      <c r="AF66" s="789"/>
      <c r="AG66" s="789"/>
      <c r="AH66" s="789"/>
      <c r="AI66" s="789"/>
      <c r="AJ66" s="789"/>
      <c r="AK66" s="789"/>
      <c r="AL66" s="789"/>
      <c r="AM66" s="789"/>
      <c r="AN66" s="789"/>
      <c r="AO66" s="789"/>
      <c r="AP66" s="791"/>
      <c r="AQ66" s="754" t="n">
        <f aca="false">AQ65+1</f>
        <v>60</v>
      </c>
      <c r="AR66" s="792" t="n">
        <f aca="false">AR65+1</f>
        <v>16</v>
      </c>
      <c r="AS66" s="742"/>
      <c r="AT66" s="826" t="s">
        <v>838</v>
      </c>
      <c r="AU66" s="39"/>
      <c r="AV66" s="824" t="n">
        <f aca="false">AW69</f>
        <v>17</v>
      </c>
      <c r="AW66" s="85" t="s">
        <v>839</v>
      </c>
      <c r="AX66" s="176" t="n">
        <f aca="false">AX65/$AV66</f>
        <v>6008.539</v>
      </c>
      <c r="AY66" s="176" t="n">
        <f aca="false">AY65/$AV66</f>
        <v>3582.84729411765</v>
      </c>
      <c r="AZ66" s="821" t="n">
        <f aca="false">AZ65/$AV66</f>
        <v>2425.69170588235</v>
      </c>
      <c r="BA66" s="742"/>
      <c r="BB66" s="742"/>
      <c r="BC66" s="742"/>
      <c r="BD66" s="742"/>
      <c r="BE66" s="742"/>
      <c r="BF66" s="742"/>
      <c r="BG66" s="742"/>
      <c r="BH66" s="742"/>
      <c r="BI66" s="742"/>
      <c r="BJ66" s="742"/>
      <c r="BK66" s="742"/>
      <c r="BL66" s="742"/>
      <c r="BM66" s="742"/>
      <c r="BN66" s="742"/>
      <c r="BO66" s="742"/>
      <c r="BP66" s="742"/>
      <c r="BQ66" s="742"/>
      <c r="BR66" s="742"/>
      <c r="BS66" s="742"/>
      <c r="BT66" s="742"/>
      <c r="BU66" s="742"/>
      <c r="BV66" s="742"/>
      <c r="BW66" s="742"/>
      <c r="BX66" s="742"/>
      <c r="BY66" s="742"/>
      <c r="BZ66" s="742"/>
      <c r="CA66" s="742"/>
      <c r="CB66" s="742"/>
      <c r="CC66" s="742"/>
      <c r="CD66" s="742"/>
      <c r="CE66" s="742"/>
      <c r="CF66" s="742"/>
      <c r="CG66" s="742"/>
      <c r="CH66" s="742"/>
      <c r="CI66" s="742"/>
      <c r="CJ66" s="742"/>
      <c r="CK66" s="742"/>
      <c r="CL66" s="742"/>
      <c r="CM66" s="742"/>
      <c r="CN66" s="742"/>
      <c r="CO66" s="742"/>
      <c r="CP66" s="742"/>
      <c r="CQ66" s="742"/>
      <c r="CR66" s="742"/>
      <c r="CS66" s="742"/>
      <c r="CT66" s="742"/>
      <c r="CU66" s="742"/>
      <c r="CV66" s="742"/>
      <c r="CW66" s="742"/>
      <c r="CX66" s="742"/>
      <c r="CY66" s="742"/>
      <c r="CZ66" s="742"/>
      <c r="DA66" s="742"/>
      <c r="DB66" s="742"/>
      <c r="DC66" s="742"/>
      <c r="DD66" s="742"/>
      <c r="DE66" s="742"/>
      <c r="DF66" s="742"/>
      <c r="DG66" s="742"/>
      <c r="DH66" s="742"/>
      <c r="DI66" s="742"/>
      <c r="DJ66" s="742"/>
      <c r="DK66" s="742"/>
      <c r="DL66" s="742"/>
      <c r="DM66" s="742"/>
      <c r="DN66" s="742"/>
      <c r="DO66" s="742"/>
      <c r="DP66" s="742"/>
      <c r="DQ66" s="742"/>
      <c r="DR66" s="742"/>
      <c r="DS66" s="742"/>
      <c r="DT66" s="742"/>
      <c r="DU66" s="742"/>
      <c r="DV66" s="742"/>
      <c r="DW66" s="742"/>
      <c r="DX66" s="742"/>
      <c r="DY66" s="742"/>
      <c r="DZ66" s="742"/>
      <c r="EA66" s="742"/>
      <c r="EB66" s="742"/>
      <c r="EC66" s="742"/>
      <c r="ED66" s="742"/>
      <c r="EE66" s="742"/>
      <c r="EF66" s="742"/>
      <c r="EG66" s="742"/>
      <c r="EH66" s="742"/>
      <c r="EI66" s="742"/>
      <c r="EJ66" s="742"/>
      <c r="EK66" s="742"/>
      <c r="EL66" s="742"/>
      <c r="EM66" s="742"/>
      <c r="EN66" s="742"/>
      <c r="EO66" s="742"/>
      <c r="EP66" s="742"/>
      <c r="EQ66" s="742"/>
      <c r="ER66" s="742"/>
      <c r="ES66" s="742"/>
      <c r="ET66" s="742"/>
      <c r="EU66" s="742"/>
      <c r="EV66" s="742"/>
      <c r="EW66" s="742"/>
      <c r="EX66" s="742"/>
      <c r="EY66" s="742"/>
      <c r="EZ66" s="742"/>
      <c r="FA66" s="742"/>
      <c r="FB66" s="742"/>
      <c r="FC66" s="742"/>
      <c r="FD66" s="742"/>
      <c r="FE66" s="742"/>
      <c r="FF66" s="742"/>
      <c r="FG66" s="742"/>
      <c r="FH66" s="742"/>
      <c r="FI66" s="742"/>
      <c r="FJ66" s="742"/>
      <c r="FK66" s="742"/>
      <c r="FL66" s="742"/>
      <c r="FM66" s="742"/>
      <c r="FN66" s="742"/>
      <c r="FO66" s="742"/>
      <c r="FP66" s="742"/>
      <c r="FQ66" s="742"/>
      <c r="FR66" s="742"/>
      <c r="FS66" s="742"/>
      <c r="FT66" s="742"/>
      <c r="FU66" s="742"/>
      <c r="FV66" s="742"/>
      <c r="FW66" s="742"/>
      <c r="FX66" s="742"/>
      <c r="FY66" s="742"/>
      <c r="FZ66" s="742"/>
      <c r="GA66" s="742"/>
      <c r="GB66" s="742"/>
      <c r="GC66" s="742"/>
      <c r="GD66" s="742"/>
      <c r="GE66" s="742"/>
      <c r="GF66" s="742"/>
      <c r="GG66" s="742"/>
      <c r="GH66" s="742"/>
      <c r="GI66" s="742"/>
      <c r="GJ66" s="742"/>
      <c r="GK66" s="742"/>
      <c r="GL66" s="742"/>
      <c r="GM66" s="742"/>
      <c r="GN66" s="742"/>
      <c r="GO66" s="742"/>
      <c r="GP66" s="742"/>
      <c r="GQ66" s="742"/>
      <c r="GR66" s="742"/>
      <c r="GS66" s="742"/>
      <c r="GT66" s="742"/>
      <c r="GU66" s="742"/>
      <c r="GV66" s="742"/>
      <c r="GW66" s="742"/>
      <c r="GX66" s="742"/>
      <c r="GY66" s="742"/>
      <c r="GZ66" s="742"/>
      <c r="HA66" s="742"/>
      <c r="HB66" s="742"/>
      <c r="HC66" s="742"/>
      <c r="HD66" s="742"/>
      <c r="HE66" s="742"/>
      <c r="HF66" s="742"/>
      <c r="HG66" s="742"/>
      <c r="HH66" s="742"/>
      <c r="HI66" s="742"/>
      <c r="HJ66" s="742"/>
      <c r="HK66" s="742"/>
      <c r="HL66" s="742"/>
      <c r="HM66" s="742"/>
      <c r="HN66" s="742"/>
      <c r="HO66" s="742"/>
      <c r="HP66" s="742"/>
      <c r="HQ66" s="742"/>
      <c r="HR66" s="742"/>
      <c r="HS66" s="742"/>
      <c r="HT66" s="742"/>
      <c r="HU66" s="742"/>
      <c r="HV66" s="742"/>
      <c r="HW66" s="742"/>
      <c r="HX66" s="742"/>
      <c r="HY66" s="742"/>
      <c r="HZ66" s="742"/>
      <c r="IA66" s="742"/>
      <c r="IB66" s="742"/>
      <c r="IC66" s="742"/>
      <c r="ID66" s="742"/>
      <c r="IE66" s="742"/>
      <c r="IF66" s="742"/>
      <c r="IG66" s="742"/>
      <c r="IH66" s="742"/>
      <c r="II66" s="742"/>
      <c r="IJ66" s="742"/>
      <c r="IK66" s="742"/>
      <c r="IL66" s="742"/>
      <c r="IM66" s="742"/>
      <c r="IN66" s="742"/>
      <c r="IO66" s="742"/>
      <c r="IP66" s="742"/>
      <c r="IQ66" s="742"/>
      <c r="IR66" s="742"/>
      <c r="IS66" s="742"/>
      <c r="IT66" s="742"/>
      <c r="IU66" s="742"/>
      <c r="IV66" s="742"/>
      <c r="IW66" s="742"/>
    </row>
    <row r="67" customFormat="false" ht="12.75" hidden="false" customHeight="false" outlineLevel="0" collapsed="false">
      <c r="A67" s="793"/>
      <c r="B67" s="789" t="s">
        <v>827</v>
      </c>
      <c r="C67" s="789"/>
      <c r="D67" s="789"/>
      <c r="E67" s="799" t="n">
        <f aca="false">E64/$AP$53</f>
        <v>0</v>
      </c>
      <c r="F67" s="799" t="n">
        <f aca="false">F64/$AP$53</f>
        <v>0</v>
      </c>
      <c r="G67" s="799" t="n">
        <f aca="false">G64/$AP$53</f>
        <v>0</v>
      </c>
      <c r="H67" s="799" t="n">
        <f aca="false">H64/$AP$53</f>
        <v>0</v>
      </c>
      <c r="I67" s="799" t="n">
        <f aca="false">I64/$AP$53</f>
        <v>0</v>
      </c>
      <c r="J67" s="799" t="n">
        <f aca="false">J64/$AP$53</f>
        <v>0</v>
      </c>
      <c r="K67" s="799" t="n">
        <f aca="false">K64/$AP$53</f>
        <v>0</v>
      </c>
      <c r="L67" s="799" t="n">
        <f aca="false">L64/$AP$53</f>
        <v>0</v>
      </c>
      <c r="M67" s="799" t="n">
        <f aca="false">M64/$AP$53</f>
        <v>0</v>
      </c>
      <c r="N67" s="799" t="n">
        <f aca="false">N64/$AP$53</f>
        <v>0</v>
      </c>
      <c r="O67" s="799" t="n">
        <f aca="false">O64/$AP$53</f>
        <v>0</v>
      </c>
      <c r="P67" s="799" t="n">
        <f aca="false">P64/$AP$53</f>
        <v>0.0903823730113774</v>
      </c>
      <c r="Q67" s="799" t="n">
        <f aca="false">Q64/$AP$53</f>
        <v>0.0509358901342919</v>
      </c>
      <c r="R67" s="799" t="n">
        <f aca="false">R64/$AP$53</f>
        <v>0.0509358901342919</v>
      </c>
      <c r="S67" s="799" t="n">
        <f aca="false">S64/$AP$53</f>
        <v>0.0509358901342919</v>
      </c>
      <c r="T67" s="799" t="n">
        <f aca="false">T64/$AP$53</f>
        <v>0.0509358901342919</v>
      </c>
      <c r="U67" s="799" t="n">
        <f aca="false">U64/$AP$53</f>
        <v>0.0509358901342919</v>
      </c>
      <c r="V67" s="799" t="n">
        <f aca="false">V64/$AP$53</f>
        <v>0.0385253905092451</v>
      </c>
      <c r="W67" s="799" t="n">
        <f aca="false">W64/$AP$53</f>
        <v>0.0385253905092451</v>
      </c>
      <c r="X67" s="799" t="n">
        <f aca="false">X64/$AP$53</f>
        <v>0.0385253905092451</v>
      </c>
      <c r="Y67" s="799" t="n">
        <f aca="false">Y64/$AP$53</f>
        <v>0.0385253905092451</v>
      </c>
      <c r="Z67" s="799" t="n">
        <f aca="false">Z64/$AP$53</f>
        <v>0.0385253905092451</v>
      </c>
      <c r="AA67" s="799" t="n">
        <f aca="false">AA64/$AP$53</f>
        <v>0.0385253905092451</v>
      </c>
      <c r="AB67" s="799" t="n">
        <f aca="false">AB64/$AP$53</f>
        <v>0.0385253905092451</v>
      </c>
      <c r="AC67" s="799" t="n">
        <f aca="false">AC64/$AP$53</f>
        <v>0.0385253905092451</v>
      </c>
      <c r="AD67" s="799" t="n">
        <f aca="false">AD64/$AP$53</f>
        <v>0.0385253905092451</v>
      </c>
      <c r="AE67" s="799" t="n">
        <f aca="false">AE64/$AP$53</f>
        <v>0.0385253905092451</v>
      </c>
      <c r="AF67" s="799" t="n">
        <f aca="false">AF64/$AP$53</f>
        <v>0.0385253905092451</v>
      </c>
      <c r="AG67" s="799" t="n">
        <f aca="false">AG64/$AP$53</f>
        <v>0.0385253905092451</v>
      </c>
      <c r="AH67" s="799" t="n">
        <f aca="false">AH64/$AP$53</f>
        <v>0.0385253905092451</v>
      </c>
      <c r="AI67" s="799" t="n">
        <f aca="false">AI64/$AP$53</f>
        <v>0.0385253905092451</v>
      </c>
      <c r="AJ67" s="799" t="n">
        <f aca="false">AJ64/$AP$53</f>
        <v>0.0385253905092451</v>
      </c>
      <c r="AK67" s="799" t="n">
        <f aca="false">AK64/$AP$53</f>
        <v>0.0385253905092451</v>
      </c>
      <c r="AL67" s="799" t="n">
        <f aca="false">AL64/$AP$53</f>
        <v>0.0385253905092451</v>
      </c>
      <c r="AM67" s="799" t="n">
        <f aca="false">AM64/$AP$53</f>
        <v>0</v>
      </c>
      <c r="AN67" s="799" t="n">
        <f aca="false">AN64/$AP$53</f>
        <v>0</v>
      </c>
      <c r="AO67" s="789"/>
      <c r="AP67" s="800" t="n">
        <f aca="false">SUM(E67:AO67)</f>
        <v>0.999993462340003</v>
      </c>
      <c r="AQ67" s="754" t="n">
        <f aca="false">AQ66+1</f>
        <v>61</v>
      </c>
      <c r="AR67" s="792" t="n">
        <f aca="false">AR66+1</f>
        <v>17</v>
      </c>
      <c r="AS67" s="742"/>
      <c r="AT67" s="826"/>
      <c r="AU67" s="39"/>
      <c r="AV67" s="39"/>
      <c r="AW67" s="39"/>
      <c r="AX67" s="39"/>
      <c r="AY67" s="39"/>
      <c r="AZ67" s="834"/>
      <c r="BA67" s="742"/>
      <c r="BB67" s="742"/>
      <c r="BC67" s="742"/>
      <c r="BD67" s="742"/>
      <c r="BE67" s="742"/>
      <c r="BF67" s="742"/>
      <c r="BG67" s="742"/>
      <c r="BH67" s="742"/>
      <c r="BI67" s="742"/>
      <c r="BJ67" s="742"/>
      <c r="BK67" s="742"/>
      <c r="BL67" s="742"/>
      <c r="BM67" s="742"/>
      <c r="BN67" s="742"/>
      <c r="BO67" s="742"/>
      <c r="BP67" s="742"/>
      <c r="BQ67" s="742"/>
      <c r="BR67" s="742"/>
      <c r="BS67" s="742"/>
      <c r="BT67" s="742"/>
      <c r="BU67" s="742"/>
      <c r="BV67" s="742"/>
      <c r="BW67" s="742"/>
      <c r="BX67" s="742"/>
      <c r="BY67" s="742"/>
      <c r="BZ67" s="742"/>
      <c r="CA67" s="742"/>
      <c r="CB67" s="742"/>
      <c r="CC67" s="742"/>
      <c r="CD67" s="742"/>
      <c r="CE67" s="742"/>
      <c r="CF67" s="742"/>
      <c r="CG67" s="742"/>
      <c r="CH67" s="742"/>
      <c r="CI67" s="742"/>
      <c r="CJ67" s="742"/>
      <c r="CK67" s="742"/>
      <c r="CL67" s="742"/>
      <c r="CM67" s="742"/>
      <c r="CN67" s="742"/>
      <c r="CO67" s="742"/>
      <c r="CP67" s="742"/>
      <c r="CQ67" s="742"/>
      <c r="CR67" s="742"/>
      <c r="CS67" s="742"/>
      <c r="CT67" s="742"/>
      <c r="CU67" s="742"/>
      <c r="CV67" s="742"/>
      <c r="CW67" s="742"/>
      <c r="CX67" s="742"/>
      <c r="CY67" s="742"/>
      <c r="CZ67" s="742"/>
      <c r="DA67" s="742"/>
      <c r="DB67" s="742"/>
      <c r="DC67" s="742"/>
      <c r="DD67" s="742"/>
      <c r="DE67" s="742"/>
      <c r="DF67" s="742"/>
      <c r="DG67" s="742"/>
      <c r="DH67" s="742"/>
      <c r="DI67" s="742"/>
      <c r="DJ67" s="742"/>
      <c r="DK67" s="742"/>
      <c r="DL67" s="742"/>
      <c r="DM67" s="742"/>
      <c r="DN67" s="742"/>
      <c r="DO67" s="742"/>
      <c r="DP67" s="742"/>
      <c r="DQ67" s="742"/>
      <c r="DR67" s="742"/>
      <c r="DS67" s="742"/>
      <c r="DT67" s="742"/>
      <c r="DU67" s="742"/>
      <c r="DV67" s="742"/>
      <c r="DW67" s="742"/>
      <c r="DX67" s="742"/>
      <c r="DY67" s="742"/>
      <c r="DZ67" s="742"/>
      <c r="EA67" s="742"/>
      <c r="EB67" s="742"/>
      <c r="EC67" s="742"/>
      <c r="ED67" s="742"/>
      <c r="EE67" s="742"/>
      <c r="EF67" s="742"/>
      <c r="EG67" s="742"/>
      <c r="EH67" s="742"/>
      <c r="EI67" s="742"/>
      <c r="EJ67" s="742"/>
      <c r="EK67" s="742"/>
      <c r="EL67" s="742"/>
      <c r="EM67" s="742"/>
      <c r="EN67" s="742"/>
      <c r="EO67" s="742"/>
      <c r="EP67" s="742"/>
      <c r="EQ67" s="742"/>
      <c r="ER67" s="742"/>
      <c r="ES67" s="742"/>
      <c r="ET67" s="742"/>
      <c r="EU67" s="742"/>
      <c r="EV67" s="742"/>
      <c r="EW67" s="742"/>
      <c r="EX67" s="742"/>
      <c r="EY67" s="742"/>
      <c r="EZ67" s="742"/>
      <c r="FA67" s="742"/>
      <c r="FB67" s="742"/>
      <c r="FC67" s="742"/>
      <c r="FD67" s="742"/>
      <c r="FE67" s="742"/>
      <c r="FF67" s="742"/>
      <c r="FG67" s="742"/>
      <c r="FH67" s="742"/>
      <c r="FI67" s="742"/>
      <c r="FJ67" s="742"/>
      <c r="FK67" s="742"/>
      <c r="FL67" s="742"/>
      <c r="FM67" s="742"/>
      <c r="FN67" s="742"/>
      <c r="FO67" s="742"/>
      <c r="FP67" s="742"/>
      <c r="FQ67" s="742"/>
      <c r="FR67" s="742"/>
      <c r="FS67" s="742"/>
      <c r="FT67" s="742"/>
      <c r="FU67" s="742"/>
      <c r="FV67" s="742"/>
      <c r="FW67" s="742"/>
      <c r="FX67" s="742"/>
      <c r="FY67" s="742"/>
      <c r="FZ67" s="742"/>
      <c r="GA67" s="742"/>
      <c r="GB67" s="742"/>
      <c r="GC67" s="742"/>
      <c r="GD67" s="742"/>
      <c r="GE67" s="742"/>
      <c r="GF67" s="742"/>
      <c r="GG67" s="742"/>
      <c r="GH67" s="742"/>
      <c r="GI67" s="742"/>
      <c r="GJ67" s="742"/>
      <c r="GK67" s="742"/>
      <c r="GL67" s="742"/>
      <c r="GM67" s="742"/>
      <c r="GN67" s="742"/>
      <c r="GO67" s="742"/>
      <c r="GP67" s="742"/>
      <c r="GQ67" s="742"/>
      <c r="GR67" s="742"/>
      <c r="GS67" s="742"/>
      <c r="GT67" s="742"/>
      <c r="GU67" s="742"/>
      <c r="GV67" s="742"/>
      <c r="GW67" s="742"/>
      <c r="GX67" s="742"/>
      <c r="GY67" s="742"/>
      <c r="GZ67" s="742"/>
      <c r="HA67" s="742"/>
      <c r="HB67" s="742"/>
      <c r="HC67" s="742"/>
      <c r="HD67" s="742"/>
      <c r="HE67" s="742"/>
      <c r="HF67" s="742"/>
      <c r="HG67" s="742"/>
      <c r="HH67" s="742"/>
      <c r="HI67" s="742"/>
      <c r="HJ67" s="742"/>
      <c r="HK67" s="742"/>
      <c r="HL67" s="742"/>
      <c r="HM67" s="742"/>
      <c r="HN67" s="742"/>
      <c r="HO67" s="742"/>
      <c r="HP67" s="742"/>
      <c r="HQ67" s="742"/>
      <c r="HR67" s="742"/>
      <c r="HS67" s="742"/>
      <c r="HT67" s="742"/>
      <c r="HU67" s="742"/>
      <c r="HV67" s="742"/>
      <c r="HW67" s="742"/>
      <c r="HX67" s="742"/>
      <c r="HY67" s="742"/>
      <c r="HZ67" s="742"/>
      <c r="IA67" s="742"/>
      <c r="IB67" s="742"/>
      <c r="IC67" s="742"/>
      <c r="ID67" s="742"/>
      <c r="IE67" s="742"/>
      <c r="IF67" s="742"/>
      <c r="IG67" s="742"/>
      <c r="IH67" s="742"/>
      <c r="II67" s="742"/>
      <c r="IJ67" s="742"/>
      <c r="IK67" s="742"/>
      <c r="IL67" s="742"/>
      <c r="IM67" s="742"/>
      <c r="IN67" s="742"/>
      <c r="IO67" s="742"/>
      <c r="IP67" s="742"/>
      <c r="IQ67" s="742"/>
      <c r="IR67" s="742"/>
      <c r="IS67" s="742"/>
      <c r="IT67" s="742"/>
      <c r="IU67" s="742"/>
      <c r="IV67" s="742"/>
      <c r="IW67" s="742"/>
    </row>
    <row r="68" customFormat="false" ht="12.75" hidden="false" customHeight="false" outlineLevel="0" collapsed="false">
      <c r="A68" s="805"/>
      <c r="B68" s="806" t="s">
        <v>830</v>
      </c>
      <c r="C68" s="806"/>
      <c r="D68" s="806"/>
      <c r="E68" s="807" t="n">
        <f aca="false">SUM($E67:E67)</f>
        <v>0</v>
      </c>
      <c r="F68" s="807" t="n">
        <f aca="false">SUM($E67:F67)</f>
        <v>0</v>
      </c>
      <c r="G68" s="807" t="n">
        <f aca="false">SUM($E67:G67)</f>
        <v>0</v>
      </c>
      <c r="H68" s="807" t="n">
        <f aca="false">SUM($E67:H67)</f>
        <v>0</v>
      </c>
      <c r="I68" s="807" t="n">
        <f aca="false">SUM($E67:I67)</f>
        <v>0</v>
      </c>
      <c r="J68" s="807" t="n">
        <f aca="false">SUM($E67:J67)</f>
        <v>0</v>
      </c>
      <c r="K68" s="807" t="n">
        <f aca="false">SUM($E67:K67)</f>
        <v>0</v>
      </c>
      <c r="L68" s="807" t="n">
        <f aca="false">SUM($E67:L67)</f>
        <v>0</v>
      </c>
      <c r="M68" s="807" t="n">
        <f aca="false">SUM($E67:M67)</f>
        <v>0</v>
      </c>
      <c r="N68" s="807" t="n">
        <f aca="false">SUM($E67:N67)</f>
        <v>0</v>
      </c>
      <c r="O68" s="807" t="n">
        <f aca="false">SUM($E67:O67)</f>
        <v>0</v>
      </c>
      <c r="P68" s="807" t="n">
        <f aca="false">SUM($E67:P67)</f>
        <v>0.0903823730113774</v>
      </c>
      <c r="Q68" s="807" t="n">
        <f aca="false">SUM($E67:Q67)</f>
        <v>0.141318263145669</v>
      </c>
      <c r="R68" s="807" t="n">
        <f aca="false">SUM($E67:R67)</f>
        <v>0.192254153279961</v>
      </c>
      <c r="S68" s="807" t="n">
        <f aca="false">SUM($E67:S67)</f>
        <v>0.243190043414253</v>
      </c>
      <c r="T68" s="807" t="n">
        <f aca="false">SUM($E67:T67)</f>
        <v>0.294125933548545</v>
      </c>
      <c r="U68" s="807" t="n">
        <f aca="false">SUM($E67:U67)</f>
        <v>0.345061823682837</v>
      </c>
      <c r="V68" s="807" t="n">
        <f aca="false">SUM($E67:V67)</f>
        <v>0.383587214192082</v>
      </c>
      <c r="W68" s="807" t="n">
        <f aca="false">SUM($E67:W67)</f>
        <v>0.422112604701327</v>
      </c>
      <c r="X68" s="807" t="n">
        <f aca="false">SUM($E67:X67)</f>
        <v>0.460637995210572</v>
      </c>
      <c r="Y68" s="807" t="n">
        <f aca="false">SUM($E67:Y67)</f>
        <v>0.499163385719817</v>
      </c>
      <c r="Z68" s="807" t="n">
        <f aca="false">SUM($E67:Z67)</f>
        <v>0.537688776229062</v>
      </c>
      <c r="AA68" s="807" t="n">
        <f aca="false">SUM($E67:AA67)</f>
        <v>0.576214166738307</v>
      </c>
      <c r="AB68" s="807" t="n">
        <f aca="false">SUM($E67:AB67)</f>
        <v>0.614739557247552</v>
      </c>
      <c r="AC68" s="807" t="n">
        <f aca="false">SUM($E67:AC67)</f>
        <v>0.653264947756797</v>
      </c>
      <c r="AD68" s="807" t="n">
        <f aca="false">SUM($E67:AD67)</f>
        <v>0.691790338266043</v>
      </c>
      <c r="AE68" s="807" t="n">
        <f aca="false">SUM($E67:AE67)</f>
        <v>0.730315728775288</v>
      </c>
      <c r="AF68" s="807" t="n">
        <f aca="false">SUM($E67:AF67)</f>
        <v>0.768841119284533</v>
      </c>
      <c r="AG68" s="807" t="n">
        <f aca="false">SUM($E67:AG67)</f>
        <v>0.807366509793778</v>
      </c>
      <c r="AH68" s="807" t="n">
        <f aca="false">SUM($E67:AH67)</f>
        <v>0.845891900303023</v>
      </c>
      <c r="AI68" s="807" t="n">
        <f aca="false">SUM($E67:AI67)</f>
        <v>0.884417290812268</v>
      </c>
      <c r="AJ68" s="807" t="n">
        <f aca="false">SUM($E67:AJ67)</f>
        <v>0.922942681321513</v>
      </c>
      <c r="AK68" s="807" t="n">
        <f aca="false">SUM($E67:AK67)</f>
        <v>0.961468071830758</v>
      </c>
      <c r="AL68" s="807" t="n">
        <f aca="false">SUM($E67:AL67)</f>
        <v>0.999993462340003</v>
      </c>
      <c r="AM68" s="807" t="n">
        <f aca="false">SUM($E67:AM67)</f>
        <v>0.999993462340003</v>
      </c>
      <c r="AN68" s="807" t="n">
        <f aca="false">SUM($E67:AN67)</f>
        <v>0.999993462340003</v>
      </c>
      <c r="AO68" s="806"/>
      <c r="AP68" s="808"/>
      <c r="AQ68" s="754" t="n">
        <f aca="false">AQ67+1</f>
        <v>62</v>
      </c>
      <c r="AR68" s="792" t="n">
        <f aca="false">AR67+1</f>
        <v>18</v>
      </c>
      <c r="AS68" s="742"/>
      <c r="AT68" s="826" t="s">
        <v>844</v>
      </c>
      <c r="AU68" s="39"/>
      <c r="AV68" s="817" t="n">
        <f aca="false">C60</f>
        <v>36892</v>
      </c>
      <c r="AW68" s="39"/>
      <c r="AX68" s="39"/>
      <c r="AY68" s="39"/>
      <c r="AZ68" s="834"/>
      <c r="BA68" s="742"/>
      <c r="BB68" s="742"/>
      <c r="BC68" s="742"/>
      <c r="BD68" s="742"/>
      <c r="BE68" s="742"/>
      <c r="BF68" s="742"/>
      <c r="BG68" s="742"/>
      <c r="BH68" s="742"/>
      <c r="BI68" s="742"/>
      <c r="BJ68" s="742"/>
      <c r="BK68" s="742"/>
      <c r="BL68" s="742"/>
      <c r="BM68" s="742"/>
      <c r="BN68" s="742"/>
      <c r="BO68" s="742"/>
      <c r="BP68" s="742"/>
      <c r="BQ68" s="742"/>
      <c r="BR68" s="742"/>
      <c r="BS68" s="742"/>
      <c r="BT68" s="742"/>
      <c r="BU68" s="742"/>
      <c r="BV68" s="742"/>
      <c r="BW68" s="742"/>
      <c r="BX68" s="742"/>
      <c r="BY68" s="742"/>
      <c r="BZ68" s="742"/>
      <c r="CA68" s="742"/>
      <c r="CB68" s="742"/>
      <c r="CC68" s="742"/>
      <c r="CD68" s="742"/>
      <c r="CE68" s="742"/>
      <c r="CF68" s="742"/>
      <c r="CG68" s="742"/>
      <c r="CH68" s="742"/>
      <c r="CI68" s="742"/>
      <c r="CJ68" s="742"/>
      <c r="CK68" s="742"/>
      <c r="CL68" s="742"/>
      <c r="CM68" s="742"/>
      <c r="CN68" s="742"/>
      <c r="CO68" s="742"/>
      <c r="CP68" s="742"/>
      <c r="CQ68" s="742"/>
      <c r="CR68" s="742"/>
      <c r="CS68" s="742"/>
      <c r="CT68" s="742"/>
      <c r="CU68" s="742"/>
      <c r="CV68" s="742"/>
      <c r="CW68" s="742"/>
      <c r="CX68" s="742"/>
      <c r="CY68" s="742"/>
      <c r="CZ68" s="742"/>
      <c r="DA68" s="742"/>
      <c r="DB68" s="742"/>
      <c r="DC68" s="742"/>
      <c r="DD68" s="742"/>
      <c r="DE68" s="742"/>
      <c r="DF68" s="742"/>
      <c r="DG68" s="742"/>
      <c r="DH68" s="742"/>
      <c r="DI68" s="742"/>
      <c r="DJ68" s="742"/>
      <c r="DK68" s="742"/>
      <c r="DL68" s="742"/>
      <c r="DM68" s="742"/>
      <c r="DN68" s="742"/>
      <c r="DO68" s="742"/>
      <c r="DP68" s="742"/>
      <c r="DQ68" s="742"/>
      <c r="DR68" s="742"/>
      <c r="DS68" s="742"/>
      <c r="DT68" s="742"/>
      <c r="DU68" s="742"/>
      <c r="DV68" s="742"/>
      <c r="DW68" s="742"/>
      <c r="DX68" s="742"/>
      <c r="DY68" s="742"/>
      <c r="DZ68" s="742"/>
      <c r="EA68" s="742"/>
      <c r="EB68" s="742"/>
      <c r="EC68" s="742"/>
      <c r="ED68" s="742"/>
      <c r="EE68" s="742"/>
      <c r="EF68" s="742"/>
      <c r="EG68" s="742"/>
      <c r="EH68" s="742"/>
      <c r="EI68" s="742"/>
      <c r="EJ68" s="742"/>
      <c r="EK68" s="742"/>
      <c r="EL68" s="742"/>
      <c r="EM68" s="742"/>
      <c r="EN68" s="742"/>
      <c r="EO68" s="742"/>
      <c r="EP68" s="742"/>
      <c r="EQ68" s="742"/>
      <c r="ER68" s="742"/>
      <c r="ES68" s="742"/>
      <c r="ET68" s="742"/>
      <c r="EU68" s="742"/>
      <c r="EV68" s="742"/>
      <c r="EW68" s="742"/>
      <c r="EX68" s="742"/>
      <c r="EY68" s="742"/>
      <c r="EZ68" s="742"/>
      <c r="FA68" s="742"/>
      <c r="FB68" s="742"/>
      <c r="FC68" s="742"/>
      <c r="FD68" s="742"/>
      <c r="FE68" s="742"/>
      <c r="FF68" s="742"/>
      <c r="FG68" s="742"/>
      <c r="FH68" s="742"/>
      <c r="FI68" s="742"/>
      <c r="FJ68" s="742"/>
      <c r="FK68" s="742"/>
      <c r="FL68" s="742"/>
      <c r="FM68" s="742"/>
      <c r="FN68" s="742"/>
      <c r="FO68" s="742"/>
      <c r="FP68" s="742"/>
      <c r="FQ68" s="742"/>
      <c r="FR68" s="742"/>
      <c r="FS68" s="742"/>
      <c r="FT68" s="742"/>
      <c r="FU68" s="742"/>
      <c r="FV68" s="742"/>
      <c r="FW68" s="742"/>
      <c r="FX68" s="742"/>
      <c r="FY68" s="742"/>
      <c r="FZ68" s="742"/>
      <c r="GA68" s="742"/>
      <c r="GB68" s="742"/>
      <c r="GC68" s="742"/>
      <c r="GD68" s="742"/>
      <c r="GE68" s="742"/>
      <c r="GF68" s="742"/>
      <c r="GG68" s="742"/>
      <c r="GH68" s="742"/>
      <c r="GI68" s="742"/>
      <c r="GJ68" s="742"/>
      <c r="GK68" s="742"/>
      <c r="GL68" s="742"/>
      <c r="GM68" s="742"/>
      <c r="GN68" s="742"/>
      <c r="GO68" s="742"/>
      <c r="GP68" s="742"/>
      <c r="GQ68" s="742"/>
      <c r="GR68" s="742"/>
      <c r="GS68" s="742"/>
      <c r="GT68" s="742"/>
      <c r="GU68" s="742"/>
      <c r="GV68" s="742"/>
      <c r="GW68" s="742"/>
      <c r="GX68" s="742"/>
      <c r="GY68" s="742"/>
      <c r="GZ68" s="742"/>
      <c r="HA68" s="742"/>
      <c r="HB68" s="742"/>
      <c r="HC68" s="742"/>
      <c r="HD68" s="742"/>
      <c r="HE68" s="742"/>
      <c r="HF68" s="742"/>
      <c r="HG68" s="742"/>
      <c r="HH68" s="742"/>
      <c r="HI68" s="742"/>
      <c r="HJ68" s="742"/>
      <c r="HK68" s="742"/>
      <c r="HL68" s="742"/>
      <c r="HM68" s="742"/>
      <c r="HN68" s="742"/>
      <c r="HO68" s="742"/>
      <c r="HP68" s="742"/>
      <c r="HQ68" s="742"/>
      <c r="HR68" s="742"/>
      <c r="HS68" s="742"/>
      <c r="HT68" s="742"/>
      <c r="HU68" s="742"/>
      <c r="HV68" s="742"/>
      <c r="HW68" s="742"/>
      <c r="HX68" s="742"/>
      <c r="HY68" s="742"/>
      <c r="HZ68" s="742"/>
      <c r="IA68" s="742"/>
      <c r="IB68" s="742"/>
      <c r="IC68" s="742"/>
      <c r="ID68" s="742"/>
      <c r="IE68" s="742"/>
      <c r="IF68" s="742"/>
      <c r="IG68" s="742"/>
      <c r="IH68" s="742"/>
      <c r="II68" s="742"/>
      <c r="IJ68" s="742"/>
      <c r="IK68" s="742"/>
      <c r="IL68" s="742"/>
      <c r="IM68" s="742"/>
      <c r="IN68" s="742"/>
      <c r="IO68" s="742"/>
      <c r="IP68" s="742"/>
      <c r="IQ68" s="742"/>
      <c r="IR68" s="742"/>
      <c r="IS68" s="742"/>
      <c r="IT68" s="742"/>
      <c r="IU68" s="742"/>
      <c r="IV68" s="742"/>
      <c r="IW68" s="742"/>
    </row>
    <row r="69" customFormat="false" ht="13.5" hidden="false" customHeight="false" outlineLevel="0" collapsed="false">
      <c r="A69" s="49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362"/>
      <c r="AT69" s="835" t="s">
        <v>845</v>
      </c>
      <c r="AU69" s="446"/>
      <c r="AV69" s="446"/>
      <c r="AW69" s="836" t="n">
        <f aca="false">ROUND((AV68-AV60)/(365/12),0)</f>
        <v>17</v>
      </c>
      <c r="AX69" s="446"/>
      <c r="AY69" s="446"/>
      <c r="AZ69" s="837"/>
    </row>
    <row r="71" customFormat="false" ht="13.5" hidden="false" customHeight="false" outlineLevel="0" collapsed="false"/>
    <row r="72" customFormat="false" ht="12.75" hidden="false" customHeight="false" outlineLevel="0" collapsed="false">
      <c r="A72" s="838"/>
      <c r="B72" s="839"/>
      <c r="C72" s="839"/>
      <c r="D72" s="839"/>
      <c r="E72" s="839"/>
      <c r="F72" s="839"/>
      <c r="G72" s="839"/>
      <c r="H72" s="839"/>
      <c r="I72" s="839"/>
      <c r="J72" s="839"/>
      <c r="K72" s="839"/>
      <c r="L72" s="839"/>
      <c r="M72" s="839"/>
      <c r="N72" s="839"/>
      <c r="O72" s="839"/>
      <c r="P72" s="839"/>
      <c r="Q72" s="839"/>
      <c r="R72" s="839"/>
      <c r="S72" s="839"/>
      <c r="T72" s="839"/>
      <c r="U72" s="839"/>
      <c r="V72" s="839"/>
      <c r="W72" s="839"/>
      <c r="X72" s="839"/>
      <c r="Y72" s="839"/>
      <c r="Z72" s="839"/>
      <c r="AA72" s="839"/>
      <c r="AB72" s="839"/>
      <c r="AC72" s="839"/>
      <c r="AD72" s="840" t="s">
        <v>41</v>
      </c>
    </row>
    <row r="73" customFormat="false" ht="18" hidden="false" customHeight="false" outlineLevel="0" collapsed="false">
      <c r="A73" s="841" t="s">
        <v>846</v>
      </c>
      <c r="B73" s="842"/>
      <c r="C73" s="842"/>
      <c r="D73" s="842"/>
      <c r="E73" s="843" t="n">
        <v>35887</v>
      </c>
      <c r="F73" s="843" t="n">
        <v>35917</v>
      </c>
      <c r="G73" s="843" t="n">
        <v>35947</v>
      </c>
      <c r="H73" s="843" t="n">
        <v>35977</v>
      </c>
      <c r="I73" s="843" t="n">
        <v>36008</v>
      </c>
      <c r="J73" s="843" t="n">
        <v>36039</v>
      </c>
      <c r="K73" s="843" t="n">
        <v>36070</v>
      </c>
      <c r="L73" s="843" t="n">
        <v>36100</v>
      </c>
      <c r="M73" s="843" t="n">
        <v>36130</v>
      </c>
      <c r="N73" s="843" t="n">
        <v>36161</v>
      </c>
      <c r="O73" s="843" t="n">
        <v>36192</v>
      </c>
      <c r="P73" s="843" t="n">
        <v>36222</v>
      </c>
      <c r="Q73" s="843" t="n">
        <v>36252</v>
      </c>
      <c r="R73" s="843" t="n">
        <v>36282</v>
      </c>
      <c r="S73" s="843" t="n">
        <v>36312</v>
      </c>
      <c r="T73" s="843" t="n">
        <v>36342</v>
      </c>
      <c r="U73" s="843" t="n">
        <v>36373</v>
      </c>
      <c r="V73" s="843" t="n">
        <v>36404</v>
      </c>
      <c r="W73" s="843" t="n">
        <v>36434</v>
      </c>
      <c r="X73" s="843" t="n">
        <v>36465</v>
      </c>
      <c r="Y73" s="843" t="n">
        <v>36495</v>
      </c>
      <c r="Z73" s="843" t="n">
        <v>36526</v>
      </c>
      <c r="AA73" s="843" t="n">
        <v>36557</v>
      </c>
      <c r="AB73" s="843" t="n">
        <v>36586</v>
      </c>
      <c r="AC73" s="843" t="n">
        <v>36617</v>
      </c>
      <c r="AD73" s="844" t="s">
        <v>847</v>
      </c>
    </row>
    <row r="74" customFormat="false" ht="12.75" hidden="false" customHeight="false" outlineLevel="0" collapsed="false">
      <c r="A74" s="845" t="s">
        <v>848</v>
      </c>
      <c r="B74" s="846"/>
      <c r="C74" s="846"/>
      <c r="D74" s="846"/>
      <c r="E74" s="846"/>
      <c r="F74" s="846"/>
      <c r="G74" s="846"/>
      <c r="H74" s="846"/>
      <c r="I74" s="846"/>
      <c r="J74" s="846"/>
      <c r="K74" s="846"/>
      <c r="L74" s="846"/>
      <c r="M74" s="846"/>
      <c r="N74" s="846"/>
      <c r="O74" s="846"/>
      <c r="P74" s="846"/>
      <c r="Q74" s="846"/>
      <c r="R74" s="846"/>
      <c r="S74" s="846"/>
      <c r="T74" s="846"/>
      <c r="U74" s="846"/>
      <c r="V74" s="846"/>
      <c r="W74" s="846"/>
      <c r="X74" s="847"/>
      <c r="Y74" s="847"/>
      <c r="Z74" s="847"/>
      <c r="AA74" s="847"/>
      <c r="AB74" s="847"/>
      <c r="AC74" s="847"/>
      <c r="AD74" s="848"/>
    </row>
    <row r="75" customFormat="false" ht="12.75" hidden="false" customHeight="false" outlineLevel="0" collapsed="false">
      <c r="A75" s="849" t="s">
        <v>849</v>
      </c>
      <c r="B75" s="850"/>
      <c r="C75" s="850"/>
      <c r="D75" s="850"/>
      <c r="E75" s="851"/>
      <c r="F75" s="851"/>
      <c r="G75" s="851"/>
      <c r="H75" s="851"/>
      <c r="I75" s="851"/>
      <c r="J75" s="851"/>
      <c r="K75" s="851"/>
      <c r="L75" s="851"/>
      <c r="M75" s="851"/>
      <c r="N75" s="851"/>
      <c r="O75" s="851"/>
      <c r="P75" s="851"/>
      <c r="Q75" s="851"/>
      <c r="R75" s="851"/>
      <c r="S75" s="851"/>
      <c r="T75" s="851"/>
      <c r="U75" s="851"/>
      <c r="V75" s="851"/>
      <c r="W75" s="851"/>
      <c r="X75" s="851"/>
      <c r="Y75" s="851"/>
      <c r="Z75" s="851"/>
      <c r="AA75" s="851"/>
      <c r="AB75" s="851"/>
      <c r="AC75" s="851"/>
      <c r="AD75" s="852"/>
      <c r="AE75" s="853"/>
      <c r="AF75" s="853"/>
      <c r="AG75" s="853"/>
      <c r="AH75" s="853"/>
      <c r="AI75" s="853"/>
      <c r="AJ75" s="853"/>
      <c r="AK75" s="853"/>
      <c r="AL75" s="853"/>
      <c r="AM75" s="853"/>
      <c r="AN75" s="853"/>
      <c r="AO75" s="853"/>
      <c r="AP75" s="853"/>
      <c r="AQ75" s="853"/>
      <c r="AR75" s="853"/>
      <c r="AS75" s="853"/>
      <c r="AT75" s="853"/>
      <c r="AU75" s="853"/>
      <c r="AV75" s="853"/>
      <c r="AW75" s="853"/>
      <c r="AX75" s="853"/>
      <c r="AY75" s="853"/>
      <c r="AZ75" s="853"/>
      <c r="BA75" s="853"/>
      <c r="BB75" s="853"/>
      <c r="BC75" s="853"/>
      <c r="BD75" s="853"/>
      <c r="BE75" s="853"/>
      <c r="BF75" s="853"/>
      <c r="BG75" s="853"/>
      <c r="BH75" s="853"/>
      <c r="BI75" s="853"/>
      <c r="BJ75" s="853"/>
      <c r="BK75" s="853"/>
      <c r="BL75" s="853"/>
      <c r="BM75" s="853"/>
      <c r="BN75" s="853"/>
      <c r="BO75" s="853"/>
      <c r="BP75" s="853"/>
      <c r="BQ75" s="853"/>
      <c r="BR75" s="853"/>
      <c r="BS75" s="853"/>
      <c r="BT75" s="853"/>
      <c r="BU75" s="853"/>
      <c r="BV75" s="853"/>
      <c r="BW75" s="853"/>
      <c r="BX75" s="853"/>
      <c r="BY75" s="853"/>
      <c r="BZ75" s="853"/>
      <c r="CA75" s="853"/>
      <c r="CB75" s="853"/>
      <c r="CC75" s="853"/>
      <c r="CD75" s="853"/>
      <c r="CE75" s="853"/>
      <c r="CF75" s="853"/>
      <c r="CG75" s="853"/>
      <c r="CH75" s="853"/>
      <c r="CI75" s="853"/>
      <c r="CJ75" s="853"/>
      <c r="CK75" s="853"/>
      <c r="CL75" s="853"/>
      <c r="CM75" s="853"/>
      <c r="CN75" s="853"/>
      <c r="CO75" s="853"/>
      <c r="CP75" s="853"/>
      <c r="CQ75" s="853"/>
      <c r="CR75" s="853"/>
      <c r="CS75" s="853"/>
      <c r="CT75" s="853"/>
      <c r="CU75" s="853"/>
      <c r="CV75" s="853"/>
      <c r="CW75" s="853"/>
      <c r="CX75" s="853"/>
      <c r="CY75" s="853"/>
      <c r="CZ75" s="853"/>
      <c r="DA75" s="853"/>
      <c r="DB75" s="853"/>
      <c r="DC75" s="853"/>
      <c r="DD75" s="853"/>
      <c r="DE75" s="853"/>
      <c r="DF75" s="853"/>
      <c r="DG75" s="853"/>
      <c r="DH75" s="853"/>
      <c r="DI75" s="853"/>
      <c r="DJ75" s="853"/>
      <c r="DK75" s="853"/>
      <c r="DL75" s="853"/>
      <c r="DM75" s="853"/>
      <c r="DN75" s="853"/>
      <c r="DO75" s="853"/>
      <c r="DP75" s="853"/>
      <c r="DQ75" s="853"/>
      <c r="DR75" s="853"/>
      <c r="DS75" s="853"/>
      <c r="DT75" s="853"/>
      <c r="DU75" s="853"/>
      <c r="DV75" s="853"/>
      <c r="DW75" s="853"/>
      <c r="DX75" s="853"/>
      <c r="DY75" s="853"/>
      <c r="DZ75" s="853"/>
      <c r="EA75" s="853"/>
      <c r="EB75" s="853"/>
      <c r="EC75" s="853"/>
      <c r="ED75" s="853"/>
      <c r="EE75" s="853"/>
      <c r="EF75" s="853"/>
      <c r="EG75" s="853"/>
      <c r="EH75" s="853"/>
      <c r="EI75" s="853"/>
      <c r="EJ75" s="853"/>
      <c r="EK75" s="853"/>
      <c r="EL75" s="853"/>
      <c r="EM75" s="853"/>
      <c r="EN75" s="853"/>
      <c r="EO75" s="853"/>
      <c r="EP75" s="853"/>
      <c r="EQ75" s="853"/>
      <c r="ER75" s="853"/>
      <c r="ES75" s="853"/>
      <c r="ET75" s="853"/>
      <c r="EU75" s="853"/>
      <c r="EV75" s="853"/>
      <c r="EW75" s="853"/>
      <c r="EX75" s="853"/>
      <c r="EY75" s="853"/>
      <c r="EZ75" s="853"/>
      <c r="FA75" s="853"/>
      <c r="FB75" s="853"/>
      <c r="FC75" s="853"/>
      <c r="FD75" s="853"/>
      <c r="FE75" s="853"/>
      <c r="FF75" s="853"/>
      <c r="FG75" s="853"/>
      <c r="FH75" s="853"/>
      <c r="FI75" s="853"/>
      <c r="FJ75" s="853"/>
      <c r="FK75" s="853"/>
      <c r="FL75" s="853"/>
      <c r="FM75" s="853"/>
      <c r="FN75" s="853"/>
      <c r="FO75" s="853"/>
      <c r="FP75" s="853"/>
      <c r="FQ75" s="853"/>
      <c r="FR75" s="853"/>
      <c r="FS75" s="853"/>
      <c r="FT75" s="853"/>
      <c r="FU75" s="853"/>
      <c r="FV75" s="853"/>
      <c r="FW75" s="853"/>
      <c r="FX75" s="853"/>
      <c r="FY75" s="853"/>
      <c r="FZ75" s="853"/>
      <c r="GA75" s="853"/>
      <c r="GB75" s="853"/>
      <c r="GC75" s="853"/>
      <c r="GD75" s="853"/>
      <c r="GE75" s="853"/>
      <c r="GF75" s="853"/>
      <c r="GG75" s="853"/>
      <c r="GH75" s="853"/>
      <c r="GI75" s="853"/>
      <c r="GJ75" s="853"/>
      <c r="GK75" s="853"/>
      <c r="GL75" s="853"/>
      <c r="GM75" s="853"/>
      <c r="GN75" s="853"/>
      <c r="GO75" s="853"/>
      <c r="GP75" s="853"/>
      <c r="GQ75" s="853"/>
      <c r="GR75" s="853"/>
      <c r="GS75" s="853"/>
      <c r="GT75" s="853"/>
      <c r="GU75" s="853"/>
      <c r="GV75" s="853"/>
      <c r="GW75" s="853"/>
      <c r="GX75" s="853"/>
      <c r="GY75" s="853"/>
      <c r="GZ75" s="853"/>
      <c r="HA75" s="853"/>
      <c r="HB75" s="853"/>
      <c r="HC75" s="853"/>
      <c r="HD75" s="853"/>
      <c r="HE75" s="853"/>
      <c r="HF75" s="853"/>
      <c r="HG75" s="853"/>
      <c r="HH75" s="853"/>
      <c r="HI75" s="853"/>
      <c r="HJ75" s="853"/>
      <c r="HK75" s="853"/>
      <c r="HL75" s="853"/>
      <c r="HM75" s="853"/>
      <c r="HN75" s="853"/>
      <c r="HO75" s="853"/>
      <c r="HP75" s="853"/>
      <c r="HQ75" s="853"/>
      <c r="HR75" s="853"/>
      <c r="HS75" s="853"/>
      <c r="HT75" s="853"/>
      <c r="HU75" s="853"/>
      <c r="HV75" s="853"/>
      <c r="HW75" s="853"/>
      <c r="HX75" s="853"/>
      <c r="HY75" s="853"/>
      <c r="HZ75" s="853"/>
      <c r="IA75" s="853"/>
      <c r="IB75" s="853"/>
      <c r="IC75" s="853"/>
      <c r="ID75" s="853"/>
      <c r="IE75" s="853"/>
      <c r="IF75" s="853"/>
      <c r="IG75" s="853"/>
      <c r="IH75" s="853"/>
      <c r="II75" s="853"/>
      <c r="IJ75" s="853"/>
      <c r="IK75" s="853"/>
      <c r="IL75" s="853"/>
      <c r="IM75" s="853"/>
      <c r="IN75" s="853"/>
      <c r="IO75" s="853"/>
      <c r="IP75" s="853"/>
      <c r="IQ75" s="853"/>
      <c r="IR75" s="853"/>
      <c r="IS75" s="853"/>
      <c r="IT75" s="853"/>
      <c r="IU75" s="853"/>
      <c r="IV75" s="853"/>
      <c r="IW75" s="853"/>
    </row>
    <row r="76" customFormat="false" ht="12.75" hidden="false" customHeight="false" outlineLevel="0" collapsed="false">
      <c r="A76" s="854"/>
      <c r="B76" s="850" t="s">
        <v>850</v>
      </c>
      <c r="C76" s="850"/>
      <c r="D76" s="850"/>
      <c r="E76" s="855" t="n">
        <v>0</v>
      </c>
      <c r="F76" s="855" t="n">
        <v>0</v>
      </c>
      <c r="G76" s="855" t="n">
        <v>0</v>
      </c>
      <c r="H76" s="855" t="n">
        <v>0</v>
      </c>
      <c r="I76" s="855" t="n">
        <v>0</v>
      </c>
      <c r="J76" s="855" t="n">
        <v>4072.33637</v>
      </c>
      <c r="K76" s="855" t="n">
        <v>0</v>
      </c>
      <c r="L76" s="855" t="n">
        <v>0</v>
      </c>
      <c r="M76" s="855" t="n">
        <v>6300</v>
      </c>
      <c r="N76" s="855" t="n">
        <v>4327</v>
      </c>
      <c r="O76" s="855" t="n">
        <v>2178</v>
      </c>
      <c r="P76" s="855" t="n">
        <v>7899.509</v>
      </c>
      <c r="Q76" s="855" t="n">
        <v>5560</v>
      </c>
      <c r="R76" s="855" t="n">
        <v>4625</v>
      </c>
      <c r="S76" s="855" t="n">
        <v>4996.159</v>
      </c>
      <c r="T76" s="855" t="n">
        <v>41.9956400000006</v>
      </c>
      <c r="U76" s="855" t="n">
        <v>0</v>
      </c>
      <c r="V76" s="855" t="n">
        <v>0</v>
      </c>
      <c r="W76" s="855" t="n">
        <v>0</v>
      </c>
      <c r="X76" s="855" t="n">
        <v>0</v>
      </c>
      <c r="Y76" s="855" t="n">
        <v>0</v>
      </c>
      <c r="Z76" s="855" t="n">
        <v>0</v>
      </c>
      <c r="AA76" s="855" t="n">
        <v>0</v>
      </c>
      <c r="AB76" s="855" t="n">
        <v>0</v>
      </c>
      <c r="AC76" s="855" t="n">
        <v>0</v>
      </c>
      <c r="AD76" s="856" t="n">
        <f aca="false">SUM(E76:AC76)</f>
        <v>40000.00001</v>
      </c>
      <c r="AE76" s="853"/>
      <c r="AF76" s="853"/>
      <c r="AG76" s="853"/>
      <c r="AH76" s="853"/>
      <c r="AI76" s="853"/>
      <c r="AJ76" s="853"/>
      <c r="AK76" s="853"/>
      <c r="AL76" s="853"/>
      <c r="AM76" s="853"/>
      <c r="AN76" s="853"/>
      <c r="AO76" s="853"/>
      <c r="AP76" s="853"/>
      <c r="AQ76" s="853"/>
      <c r="AR76" s="853"/>
      <c r="AS76" s="853"/>
      <c r="AT76" s="853"/>
      <c r="AU76" s="853"/>
      <c r="AV76" s="853"/>
      <c r="AW76" s="853"/>
      <c r="AX76" s="853"/>
      <c r="AY76" s="853"/>
      <c r="AZ76" s="853"/>
      <c r="BA76" s="853"/>
      <c r="BB76" s="853"/>
      <c r="BC76" s="853"/>
      <c r="BD76" s="853"/>
      <c r="BE76" s="853"/>
      <c r="BF76" s="853"/>
      <c r="BG76" s="853"/>
      <c r="BH76" s="853"/>
      <c r="BI76" s="853"/>
      <c r="BJ76" s="853"/>
      <c r="BK76" s="853"/>
      <c r="BL76" s="853"/>
      <c r="BM76" s="853"/>
      <c r="BN76" s="853"/>
      <c r="BO76" s="853"/>
      <c r="BP76" s="853"/>
      <c r="BQ76" s="853"/>
      <c r="BR76" s="853"/>
      <c r="BS76" s="853"/>
      <c r="BT76" s="853"/>
      <c r="BU76" s="853"/>
      <c r="BV76" s="853"/>
      <c r="BW76" s="853"/>
      <c r="BX76" s="853"/>
      <c r="BY76" s="853"/>
      <c r="BZ76" s="853"/>
      <c r="CA76" s="853"/>
      <c r="CB76" s="853"/>
      <c r="CC76" s="853"/>
      <c r="CD76" s="853"/>
      <c r="CE76" s="853"/>
      <c r="CF76" s="853"/>
      <c r="CG76" s="853"/>
      <c r="CH76" s="853"/>
      <c r="CI76" s="853"/>
      <c r="CJ76" s="853"/>
      <c r="CK76" s="853"/>
      <c r="CL76" s="853"/>
      <c r="CM76" s="853"/>
      <c r="CN76" s="853"/>
      <c r="CO76" s="853"/>
      <c r="CP76" s="853"/>
      <c r="CQ76" s="853"/>
      <c r="CR76" s="853"/>
      <c r="CS76" s="853"/>
      <c r="CT76" s="853"/>
      <c r="CU76" s="853"/>
      <c r="CV76" s="853"/>
      <c r="CW76" s="853"/>
      <c r="CX76" s="853"/>
      <c r="CY76" s="853"/>
      <c r="CZ76" s="853"/>
      <c r="DA76" s="853"/>
      <c r="DB76" s="853"/>
      <c r="DC76" s="853"/>
      <c r="DD76" s="853"/>
      <c r="DE76" s="853"/>
      <c r="DF76" s="853"/>
      <c r="DG76" s="853"/>
      <c r="DH76" s="853"/>
      <c r="DI76" s="853"/>
      <c r="DJ76" s="853"/>
      <c r="DK76" s="853"/>
      <c r="DL76" s="853"/>
      <c r="DM76" s="853"/>
      <c r="DN76" s="853"/>
      <c r="DO76" s="853"/>
      <c r="DP76" s="853"/>
      <c r="DQ76" s="853"/>
      <c r="DR76" s="853"/>
      <c r="DS76" s="853"/>
      <c r="DT76" s="853"/>
      <c r="DU76" s="853"/>
      <c r="DV76" s="853"/>
      <c r="DW76" s="853"/>
      <c r="DX76" s="853"/>
      <c r="DY76" s="853"/>
      <c r="DZ76" s="853"/>
      <c r="EA76" s="853"/>
      <c r="EB76" s="853"/>
      <c r="EC76" s="853"/>
      <c r="ED76" s="853"/>
      <c r="EE76" s="853"/>
      <c r="EF76" s="853"/>
      <c r="EG76" s="853"/>
      <c r="EH76" s="853"/>
      <c r="EI76" s="853"/>
      <c r="EJ76" s="853"/>
      <c r="EK76" s="853"/>
      <c r="EL76" s="853"/>
      <c r="EM76" s="853"/>
      <c r="EN76" s="853"/>
      <c r="EO76" s="853"/>
      <c r="EP76" s="853"/>
      <c r="EQ76" s="853"/>
      <c r="ER76" s="853"/>
      <c r="ES76" s="853"/>
      <c r="ET76" s="853"/>
      <c r="EU76" s="853"/>
      <c r="EV76" s="853"/>
      <c r="EW76" s="853"/>
      <c r="EX76" s="853"/>
      <c r="EY76" s="853"/>
      <c r="EZ76" s="853"/>
      <c r="FA76" s="853"/>
      <c r="FB76" s="853"/>
      <c r="FC76" s="853"/>
      <c r="FD76" s="853"/>
      <c r="FE76" s="853"/>
      <c r="FF76" s="853"/>
      <c r="FG76" s="853"/>
      <c r="FH76" s="853"/>
      <c r="FI76" s="853"/>
      <c r="FJ76" s="853"/>
      <c r="FK76" s="853"/>
      <c r="FL76" s="853"/>
      <c r="FM76" s="853"/>
      <c r="FN76" s="853"/>
      <c r="FO76" s="853"/>
      <c r="FP76" s="853"/>
      <c r="FQ76" s="853"/>
      <c r="FR76" s="853"/>
      <c r="FS76" s="853"/>
      <c r="FT76" s="853"/>
      <c r="FU76" s="853"/>
      <c r="FV76" s="853"/>
      <c r="FW76" s="853"/>
      <c r="FX76" s="853"/>
      <c r="FY76" s="853"/>
      <c r="FZ76" s="853"/>
      <c r="GA76" s="853"/>
      <c r="GB76" s="853"/>
      <c r="GC76" s="853"/>
      <c r="GD76" s="853"/>
      <c r="GE76" s="853"/>
      <c r="GF76" s="853"/>
      <c r="GG76" s="853"/>
      <c r="GH76" s="853"/>
      <c r="GI76" s="853"/>
      <c r="GJ76" s="853"/>
      <c r="GK76" s="853"/>
      <c r="GL76" s="853"/>
      <c r="GM76" s="853"/>
      <c r="GN76" s="853"/>
      <c r="GO76" s="853"/>
      <c r="GP76" s="853"/>
      <c r="GQ76" s="853"/>
      <c r="GR76" s="853"/>
      <c r="GS76" s="853"/>
      <c r="GT76" s="853"/>
      <c r="GU76" s="853"/>
      <c r="GV76" s="853"/>
      <c r="GW76" s="853"/>
      <c r="GX76" s="853"/>
      <c r="GY76" s="853"/>
      <c r="GZ76" s="853"/>
      <c r="HA76" s="853"/>
      <c r="HB76" s="853"/>
      <c r="HC76" s="853"/>
      <c r="HD76" s="853"/>
      <c r="HE76" s="853"/>
      <c r="HF76" s="853"/>
      <c r="HG76" s="853"/>
      <c r="HH76" s="853"/>
      <c r="HI76" s="853"/>
      <c r="HJ76" s="853"/>
      <c r="HK76" s="853"/>
      <c r="HL76" s="853"/>
      <c r="HM76" s="853"/>
      <c r="HN76" s="853"/>
      <c r="HO76" s="853"/>
      <c r="HP76" s="853"/>
      <c r="HQ76" s="853"/>
      <c r="HR76" s="853"/>
      <c r="HS76" s="853"/>
      <c r="HT76" s="853"/>
      <c r="HU76" s="853"/>
      <c r="HV76" s="853"/>
      <c r="HW76" s="853"/>
      <c r="HX76" s="853"/>
      <c r="HY76" s="853"/>
      <c r="HZ76" s="853"/>
      <c r="IA76" s="853"/>
      <c r="IB76" s="853"/>
      <c r="IC76" s="853"/>
      <c r="ID76" s="853"/>
      <c r="IE76" s="853"/>
      <c r="IF76" s="853"/>
      <c r="IG76" s="853"/>
      <c r="IH76" s="853"/>
      <c r="II76" s="853"/>
      <c r="IJ76" s="853"/>
      <c r="IK76" s="853"/>
      <c r="IL76" s="853"/>
      <c r="IM76" s="853"/>
      <c r="IN76" s="853"/>
      <c r="IO76" s="853"/>
      <c r="IP76" s="853"/>
      <c r="IQ76" s="853"/>
      <c r="IR76" s="853"/>
      <c r="IS76" s="853"/>
      <c r="IT76" s="853"/>
      <c r="IU76" s="853"/>
      <c r="IV76" s="853"/>
      <c r="IW76" s="853"/>
    </row>
    <row r="77" customFormat="false" ht="12.75" hidden="false" customHeight="false" outlineLevel="0" collapsed="false">
      <c r="A77" s="857"/>
      <c r="B77" s="858" t="s">
        <v>851</v>
      </c>
      <c r="C77" s="846"/>
      <c r="D77" s="846"/>
      <c r="E77" s="855" t="n">
        <v>0</v>
      </c>
      <c r="F77" s="855" t="n">
        <v>0</v>
      </c>
      <c r="G77" s="855" t="n">
        <v>0</v>
      </c>
      <c r="H77" s="855" t="n">
        <v>0</v>
      </c>
      <c r="I77" s="855" t="n">
        <v>0</v>
      </c>
      <c r="J77" s="855" t="n">
        <v>0</v>
      </c>
      <c r="K77" s="855" t="n">
        <v>0</v>
      </c>
      <c r="L77" s="855" t="n">
        <v>0</v>
      </c>
      <c r="M77" s="855" t="n">
        <v>0</v>
      </c>
      <c r="N77" s="855" t="n">
        <v>0</v>
      </c>
      <c r="O77" s="855" t="n">
        <v>0</v>
      </c>
      <c r="P77" s="855" t="n">
        <v>0</v>
      </c>
      <c r="Q77" s="855" t="n">
        <v>0</v>
      </c>
      <c r="R77" s="855" t="n">
        <v>0</v>
      </c>
      <c r="S77" s="855" t="n">
        <v>0</v>
      </c>
      <c r="T77" s="855" t="n">
        <v>19943.38036</v>
      </c>
      <c r="U77" s="855" t="n">
        <v>5445.704</v>
      </c>
      <c r="V77" s="855" t="n">
        <v>0</v>
      </c>
      <c r="W77" s="855" t="n">
        <v>5128</v>
      </c>
      <c r="X77" s="855" t="n">
        <v>8600</v>
      </c>
      <c r="Y77" s="855" t="n">
        <v>8200</v>
      </c>
      <c r="Z77" s="855" t="n">
        <v>7594</v>
      </c>
      <c r="AA77" s="855" t="n">
        <v>5990</v>
      </c>
      <c r="AB77" s="855" t="n">
        <v>0</v>
      </c>
      <c r="AC77" s="855" t="n">
        <v>5400</v>
      </c>
      <c r="AD77" s="859" t="n">
        <f aca="false">SUM(E77:AC77)</f>
        <v>66301.08436</v>
      </c>
    </row>
    <row r="78" customFormat="false" ht="12.75" hidden="false" customHeight="false" outlineLevel="0" collapsed="false">
      <c r="A78" s="857"/>
      <c r="B78" s="858" t="s">
        <v>852</v>
      </c>
      <c r="C78" s="846"/>
      <c r="D78" s="846"/>
      <c r="E78" s="855" t="n">
        <v>0</v>
      </c>
      <c r="F78" s="855" t="n">
        <v>0</v>
      </c>
      <c r="G78" s="855" t="n">
        <v>0</v>
      </c>
      <c r="H78" s="855" t="n">
        <v>0</v>
      </c>
      <c r="I78" s="855" t="n">
        <v>0</v>
      </c>
      <c r="J78" s="855" t="n">
        <v>0</v>
      </c>
      <c r="K78" s="855" t="n">
        <v>0</v>
      </c>
      <c r="L78" s="855" t="n">
        <v>0</v>
      </c>
      <c r="M78" s="855" t="n">
        <v>0</v>
      </c>
      <c r="N78" s="855" t="n">
        <v>0</v>
      </c>
      <c r="O78" s="855" t="n">
        <v>0</v>
      </c>
      <c r="P78" s="855" t="n">
        <v>0</v>
      </c>
      <c r="Q78" s="855" t="n">
        <v>0</v>
      </c>
      <c r="R78" s="855" t="n">
        <v>0</v>
      </c>
      <c r="S78" s="855" t="n">
        <v>0</v>
      </c>
      <c r="T78" s="855" t="n">
        <v>0</v>
      </c>
      <c r="U78" s="855" t="n">
        <v>0</v>
      </c>
      <c r="V78" s="855" t="n">
        <v>0</v>
      </c>
      <c r="W78" s="855" t="n">
        <v>0</v>
      </c>
      <c r="X78" s="855" t="n">
        <v>0</v>
      </c>
      <c r="Y78" s="855" t="n">
        <v>0</v>
      </c>
      <c r="Z78" s="855" t="n">
        <v>0</v>
      </c>
      <c r="AA78" s="855" t="n">
        <v>0</v>
      </c>
      <c r="AB78" s="855" t="n">
        <v>0</v>
      </c>
      <c r="AC78" s="855" t="n">
        <v>0</v>
      </c>
      <c r="AD78" s="859" t="n">
        <f aca="false">SUM(E78:AC78)</f>
        <v>0</v>
      </c>
    </row>
    <row r="79" customFormat="false" ht="12.75" hidden="false" customHeight="false" outlineLevel="0" collapsed="false">
      <c r="A79" s="857"/>
      <c r="B79" s="858" t="s">
        <v>853</v>
      </c>
      <c r="C79" s="846"/>
      <c r="D79" s="846"/>
      <c r="E79" s="855" t="n">
        <v>0</v>
      </c>
      <c r="F79" s="855" t="n">
        <v>0</v>
      </c>
      <c r="G79" s="855" t="n">
        <v>0</v>
      </c>
      <c r="H79" s="855" t="n">
        <v>0</v>
      </c>
      <c r="I79" s="855" t="n">
        <v>0</v>
      </c>
      <c r="J79" s="855" t="n">
        <v>0</v>
      </c>
      <c r="K79" s="855" t="n">
        <v>0</v>
      </c>
      <c r="L79" s="855" t="n">
        <v>0</v>
      </c>
      <c r="M79" s="855" t="n">
        <v>0</v>
      </c>
      <c r="N79" s="855" t="n">
        <v>0</v>
      </c>
      <c r="O79" s="855" t="n">
        <v>0</v>
      </c>
      <c r="P79" s="855" t="n">
        <v>0</v>
      </c>
      <c r="Q79" s="855" t="n">
        <v>0</v>
      </c>
      <c r="R79" s="855" t="n">
        <v>0</v>
      </c>
      <c r="S79" s="855" t="n">
        <v>0</v>
      </c>
      <c r="T79" s="855" t="n">
        <v>0</v>
      </c>
      <c r="U79" s="855" t="n">
        <v>0</v>
      </c>
      <c r="V79" s="855" t="n">
        <v>0</v>
      </c>
      <c r="W79" s="855" t="n">
        <v>0</v>
      </c>
      <c r="X79" s="855" t="n">
        <v>0</v>
      </c>
      <c r="Y79" s="855" t="n">
        <v>0</v>
      </c>
      <c r="Z79" s="855" t="n">
        <v>0</v>
      </c>
      <c r="AA79" s="855" t="n">
        <v>0</v>
      </c>
      <c r="AB79" s="855" t="n">
        <v>0</v>
      </c>
      <c r="AC79" s="855" t="n">
        <v>0</v>
      </c>
      <c r="AD79" s="859" t="n">
        <f aca="false">SUM(E79:AC79)</f>
        <v>0</v>
      </c>
    </row>
    <row r="80" customFormat="false" ht="12.75" hidden="false" customHeight="false" outlineLevel="0" collapsed="false">
      <c r="A80" s="857"/>
      <c r="B80" s="858" t="s">
        <v>854</v>
      </c>
      <c r="C80" s="846"/>
      <c r="D80" s="846"/>
      <c r="E80" s="860" t="n">
        <v>0</v>
      </c>
      <c r="F80" s="860" t="n">
        <v>0</v>
      </c>
      <c r="G80" s="860" t="n">
        <v>0</v>
      </c>
      <c r="H80" s="860" t="n">
        <v>0</v>
      </c>
      <c r="I80" s="860" t="n">
        <v>0</v>
      </c>
      <c r="J80" s="860" t="n">
        <v>0</v>
      </c>
      <c r="K80" s="860" t="n">
        <v>0</v>
      </c>
      <c r="L80" s="860" t="n">
        <v>0</v>
      </c>
      <c r="M80" s="860" t="n">
        <v>0</v>
      </c>
      <c r="N80" s="860" t="n">
        <v>0</v>
      </c>
      <c r="O80" s="860" t="n">
        <v>0</v>
      </c>
      <c r="P80" s="860" t="n">
        <v>0</v>
      </c>
      <c r="Q80" s="860" t="n">
        <v>0</v>
      </c>
      <c r="R80" s="860" t="n">
        <v>0</v>
      </c>
      <c r="S80" s="860" t="n">
        <v>0</v>
      </c>
      <c r="T80" s="860" t="n">
        <v>0</v>
      </c>
      <c r="U80" s="860" t="n">
        <v>0</v>
      </c>
      <c r="V80" s="860" t="n">
        <v>0</v>
      </c>
      <c r="W80" s="860" t="n">
        <v>0</v>
      </c>
      <c r="X80" s="860" t="n">
        <v>0</v>
      </c>
      <c r="Y80" s="860" t="n">
        <v>0</v>
      </c>
      <c r="Z80" s="860" t="n">
        <v>0</v>
      </c>
      <c r="AA80" s="860" t="n">
        <v>0</v>
      </c>
      <c r="AB80" s="860" t="n">
        <v>0</v>
      </c>
      <c r="AC80" s="860" t="n">
        <v>0</v>
      </c>
      <c r="AD80" s="859" t="n">
        <f aca="false">SUM(E80:AC80)</f>
        <v>0</v>
      </c>
    </row>
    <row r="81" customFormat="false" ht="12.75" hidden="false" customHeight="false" outlineLevel="0" collapsed="false">
      <c r="A81" s="857"/>
      <c r="B81" s="861" t="s">
        <v>855</v>
      </c>
      <c r="C81" s="846"/>
      <c r="D81" s="846"/>
      <c r="E81" s="797" t="n">
        <f aca="false">SUM(E76:E80)</f>
        <v>0</v>
      </c>
      <c r="F81" s="797" t="n">
        <f aca="false">SUM(F76:F80)</f>
        <v>0</v>
      </c>
      <c r="G81" s="797" t="n">
        <f aca="false">SUM(G76:G80)</f>
        <v>0</v>
      </c>
      <c r="H81" s="797" t="n">
        <f aca="false">SUM(H76:H80)</f>
        <v>0</v>
      </c>
      <c r="I81" s="797" t="n">
        <f aca="false">SUM(I76:I80)</f>
        <v>0</v>
      </c>
      <c r="J81" s="797" t="n">
        <f aca="false">SUM(J76:J80)</f>
        <v>4072.33637</v>
      </c>
      <c r="K81" s="797" t="n">
        <f aca="false">SUM(K76:K80)</f>
        <v>0</v>
      </c>
      <c r="L81" s="797" t="n">
        <f aca="false">SUM(L76:L80)</f>
        <v>0</v>
      </c>
      <c r="M81" s="797" t="n">
        <f aca="false">SUM(M76:M80)</f>
        <v>6300</v>
      </c>
      <c r="N81" s="797" t="n">
        <f aca="false">SUM(N76:N80)</f>
        <v>4327</v>
      </c>
      <c r="O81" s="797" t="n">
        <f aca="false">SUM(O76:O80)</f>
        <v>2178</v>
      </c>
      <c r="P81" s="797" t="n">
        <f aca="false">SUM(P76:P80)</f>
        <v>7899.509</v>
      </c>
      <c r="Q81" s="797" t="n">
        <f aca="false">SUM(Q76:Q80)</f>
        <v>5560</v>
      </c>
      <c r="R81" s="797" t="n">
        <f aca="false">SUM(R76:R80)</f>
        <v>4625</v>
      </c>
      <c r="S81" s="797" t="n">
        <f aca="false">SUM(S76:S80)</f>
        <v>4996.159</v>
      </c>
      <c r="T81" s="797" t="n">
        <f aca="false">SUM(T76:T80)</f>
        <v>19985.376</v>
      </c>
      <c r="U81" s="797" t="n">
        <f aca="false">SUM(U76:U80)</f>
        <v>5445.704</v>
      </c>
      <c r="V81" s="797" t="n">
        <f aca="false">SUM(V76:V80)</f>
        <v>0</v>
      </c>
      <c r="W81" s="797" t="n">
        <f aca="false">SUM(W76:W80)</f>
        <v>5128</v>
      </c>
      <c r="X81" s="797" t="n">
        <f aca="false">SUM(X76:X80)</f>
        <v>8600</v>
      </c>
      <c r="Y81" s="797" t="n">
        <f aca="false">SUM(Y76:Y80)</f>
        <v>8200</v>
      </c>
      <c r="Z81" s="797" t="n">
        <f aca="false">SUM(Z76:Z80)</f>
        <v>7594</v>
      </c>
      <c r="AA81" s="797" t="n">
        <f aca="false">SUM(AA76:AA80)</f>
        <v>5990</v>
      </c>
      <c r="AB81" s="797" t="n">
        <f aca="false">SUM(AB76:AB80)</f>
        <v>0</v>
      </c>
      <c r="AC81" s="797" t="n">
        <f aca="false">SUM(AC76:AC80)</f>
        <v>5400</v>
      </c>
      <c r="AD81" s="859" t="n">
        <f aca="false">SUM(AD76:AD80)</f>
        <v>106301.08437</v>
      </c>
    </row>
    <row r="82" customFormat="false" ht="12.75" hidden="false" customHeight="false" outlineLevel="0" collapsed="false">
      <c r="A82" s="862"/>
      <c r="B82" s="846"/>
      <c r="C82" s="846"/>
      <c r="D82" s="846"/>
      <c r="E82" s="846"/>
      <c r="F82" s="846"/>
      <c r="G82" s="846"/>
      <c r="H82" s="846"/>
      <c r="I82" s="846"/>
      <c r="J82" s="846"/>
      <c r="K82" s="846"/>
      <c r="L82" s="846"/>
      <c r="M82" s="846"/>
      <c r="N82" s="846"/>
      <c r="O82" s="846"/>
      <c r="P82" s="846"/>
      <c r="Q82" s="846"/>
      <c r="R82" s="846"/>
      <c r="S82" s="846"/>
      <c r="T82" s="846"/>
      <c r="U82" s="846"/>
      <c r="V82" s="846"/>
      <c r="W82" s="846"/>
      <c r="X82" s="846"/>
      <c r="Y82" s="846"/>
      <c r="Z82" s="846"/>
      <c r="AA82" s="846"/>
      <c r="AB82" s="846"/>
      <c r="AC82" s="846"/>
      <c r="AD82" s="863"/>
    </row>
    <row r="83" customFormat="false" ht="12.75" hidden="false" customHeight="false" outlineLevel="0" collapsed="false">
      <c r="A83" s="864" t="s">
        <v>856</v>
      </c>
      <c r="B83" s="858"/>
      <c r="C83" s="846"/>
      <c r="D83" s="846"/>
      <c r="E83" s="846"/>
      <c r="F83" s="846"/>
      <c r="G83" s="846"/>
      <c r="H83" s="846"/>
      <c r="I83" s="846"/>
      <c r="J83" s="846"/>
      <c r="K83" s="846"/>
      <c r="L83" s="846"/>
      <c r="M83" s="846"/>
      <c r="N83" s="846"/>
      <c r="O83" s="846"/>
      <c r="P83" s="846"/>
      <c r="Q83" s="846"/>
      <c r="R83" s="846"/>
      <c r="S83" s="846"/>
      <c r="T83" s="846"/>
      <c r="U83" s="846"/>
      <c r="V83" s="846"/>
      <c r="W83" s="846"/>
      <c r="X83" s="846"/>
      <c r="Y83" s="846"/>
      <c r="Z83" s="846"/>
      <c r="AA83" s="846"/>
      <c r="AB83" s="846"/>
      <c r="AC83" s="846"/>
      <c r="AD83" s="863"/>
    </row>
    <row r="84" customFormat="false" ht="12.75" hidden="false" customHeight="false" outlineLevel="0" collapsed="false">
      <c r="A84" s="857"/>
      <c r="B84" s="858" t="s">
        <v>857</v>
      </c>
      <c r="C84" s="846"/>
      <c r="D84" s="846"/>
      <c r="E84" s="865" t="n">
        <v>0</v>
      </c>
      <c r="F84" s="865" t="n">
        <v>0</v>
      </c>
      <c r="G84" s="865" t="n">
        <v>0</v>
      </c>
      <c r="H84" s="865" t="n">
        <v>0</v>
      </c>
      <c r="I84" s="865" t="n">
        <v>0</v>
      </c>
      <c r="J84" s="865" t="n">
        <v>0</v>
      </c>
      <c r="K84" s="865" t="n">
        <v>0</v>
      </c>
      <c r="L84" s="865" t="n">
        <v>0</v>
      </c>
      <c r="M84" s="865" t="n">
        <v>2874.265</v>
      </c>
      <c r="N84" s="865" t="n">
        <v>0</v>
      </c>
      <c r="O84" s="865" t="n">
        <v>0</v>
      </c>
      <c r="P84" s="865" t="n">
        <v>-245.366</v>
      </c>
      <c r="Q84" s="865" t="n">
        <v>0</v>
      </c>
      <c r="R84" s="865" t="n">
        <v>2747.845</v>
      </c>
      <c r="S84" s="865" t="n">
        <v>222.465</v>
      </c>
      <c r="T84" s="865" t="n">
        <v>1171.745</v>
      </c>
      <c r="U84" s="865" t="n">
        <v>29.141</v>
      </c>
      <c r="V84" s="865" t="n">
        <v>0</v>
      </c>
      <c r="W84" s="865" t="n">
        <v>57.5</v>
      </c>
      <c r="X84" s="865" t="n">
        <v>56.293</v>
      </c>
      <c r="Y84" s="865" t="n">
        <v>0</v>
      </c>
      <c r="Z84" s="865" t="n">
        <v>0</v>
      </c>
      <c r="AA84" s="865" t="n">
        <v>0</v>
      </c>
      <c r="AB84" s="865" t="n">
        <v>0</v>
      </c>
      <c r="AC84" s="865" t="n">
        <v>0</v>
      </c>
      <c r="AD84" s="866" t="n">
        <f aca="false">SUM(E84:AC84)</f>
        <v>6913.888</v>
      </c>
    </row>
    <row r="85" customFormat="false" ht="12.75" hidden="false" customHeight="false" outlineLevel="0" collapsed="false">
      <c r="A85" s="857"/>
      <c r="B85" s="858" t="s">
        <v>858</v>
      </c>
      <c r="C85" s="846"/>
      <c r="D85" s="846"/>
      <c r="E85" s="865" t="n">
        <v>0.829</v>
      </c>
      <c r="F85" s="865" t="n">
        <v>0</v>
      </c>
      <c r="G85" s="865" t="n">
        <v>0</v>
      </c>
      <c r="H85" s="865" t="n">
        <v>0.321</v>
      </c>
      <c r="I85" s="865" t="n">
        <v>0.676</v>
      </c>
      <c r="J85" s="865" t="n">
        <v>0</v>
      </c>
      <c r="K85" s="865" t="n">
        <v>3.745</v>
      </c>
      <c r="L85" s="865" t="n">
        <v>0</v>
      </c>
      <c r="M85" s="865" t="n">
        <v>129.062</v>
      </c>
      <c r="N85" s="865" t="n">
        <v>5.249</v>
      </c>
      <c r="O85" s="865" t="n">
        <v>0.723</v>
      </c>
      <c r="P85" s="865" t="n">
        <v>0</v>
      </c>
      <c r="Q85" s="865" t="n">
        <v>1.372</v>
      </c>
      <c r="R85" s="865" t="n">
        <v>0.756</v>
      </c>
      <c r="S85" s="865" t="n">
        <v>488.41</v>
      </c>
      <c r="T85" s="865" t="n">
        <v>65.586</v>
      </c>
      <c r="U85" s="865" t="n">
        <v>298.144</v>
      </c>
      <c r="V85" s="865" t="n">
        <v>37.798</v>
      </c>
      <c r="W85" s="865" t="n">
        <v>65.015</v>
      </c>
      <c r="X85" s="865" t="n">
        <v>48</v>
      </c>
      <c r="Y85" s="865" t="n">
        <v>0</v>
      </c>
      <c r="Z85" s="865" t="n">
        <v>0</v>
      </c>
      <c r="AA85" s="865" t="n">
        <v>0</v>
      </c>
      <c r="AB85" s="865" t="n">
        <v>0</v>
      </c>
      <c r="AC85" s="865" t="n">
        <v>0</v>
      </c>
      <c r="AD85" s="866" t="n">
        <f aca="false">SUM(E85:AC85)</f>
        <v>1145.686</v>
      </c>
    </row>
    <row r="86" customFormat="false" ht="12.75" hidden="false" customHeight="false" outlineLevel="0" collapsed="false">
      <c r="A86" s="857"/>
      <c r="B86" s="858" t="s">
        <v>859</v>
      </c>
      <c r="C86" s="846"/>
      <c r="D86" s="846"/>
      <c r="E86" s="865" t="n">
        <v>0</v>
      </c>
      <c r="F86" s="865" t="n">
        <v>0</v>
      </c>
      <c r="G86" s="865" t="n">
        <v>0</v>
      </c>
      <c r="H86" s="865" t="n">
        <v>0</v>
      </c>
      <c r="I86" s="865" t="n">
        <v>0</v>
      </c>
      <c r="J86" s="865" t="n">
        <v>0</v>
      </c>
      <c r="K86" s="865" t="n">
        <v>0</v>
      </c>
      <c r="L86" s="865" t="n">
        <v>0</v>
      </c>
      <c r="M86" s="865" t="n">
        <v>2977.218</v>
      </c>
      <c r="N86" s="865" t="n">
        <v>162.499</v>
      </c>
      <c r="O86" s="865" t="n">
        <v>4545.144</v>
      </c>
      <c r="P86" s="865" t="n">
        <v>1761.293</v>
      </c>
      <c r="Q86" s="865" t="n">
        <v>4461.092</v>
      </c>
      <c r="R86" s="865" t="n">
        <v>493.9</v>
      </c>
      <c r="S86" s="865" t="n">
        <v>4528.537</v>
      </c>
      <c r="T86" s="865" t="n">
        <v>5806.92</v>
      </c>
      <c r="U86" s="865" t="n">
        <v>0.11</v>
      </c>
      <c r="V86" s="865" t="n">
        <v>6918.882</v>
      </c>
      <c r="W86" s="865" t="n">
        <v>2451.426</v>
      </c>
      <c r="X86" s="865" t="n">
        <v>604.541</v>
      </c>
      <c r="Y86" s="865" t="n">
        <v>0</v>
      </c>
      <c r="Z86" s="865" t="n">
        <v>0</v>
      </c>
      <c r="AA86" s="865" t="n">
        <v>0</v>
      </c>
      <c r="AB86" s="865" t="n">
        <v>0</v>
      </c>
      <c r="AC86" s="865" t="n">
        <v>0</v>
      </c>
      <c r="AD86" s="866" t="n">
        <f aca="false">SUM(E86:AC86)</f>
        <v>34711.562</v>
      </c>
    </row>
    <row r="87" customFormat="false" ht="12.75" hidden="false" customHeight="false" outlineLevel="0" collapsed="false">
      <c r="A87" s="857"/>
      <c r="B87" s="858" t="s">
        <v>860</v>
      </c>
      <c r="C87" s="846"/>
      <c r="D87" s="846"/>
      <c r="E87" s="865" t="n">
        <v>0</v>
      </c>
      <c r="F87" s="865" t="n">
        <v>0</v>
      </c>
      <c r="G87" s="865" t="n">
        <v>0</v>
      </c>
      <c r="H87" s="865" t="n">
        <v>0</v>
      </c>
      <c r="I87" s="865" t="n">
        <v>0</v>
      </c>
      <c r="J87" s="865" t="n">
        <v>0</v>
      </c>
      <c r="K87" s="865" t="n">
        <v>0</v>
      </c>
      <c r="L87" s="865" t="n">
        <v>0</v>
      </c>
      <c r="M87" s="865" t="n">
        <v>0</v>
      </c>
      <c r="N87" s="865" t="n">
        <v>0</v>
      </c>
      <c r="O87" s="865" t="n">
        <v>55.544</v>
      </c>
      <c r="P87" s="865" t="n">
        <v>0</v>
      </c>
      <c r="Q87" s="865" t="n">
        <v>1.222</v>
      </c>
      <c r="R87" s="865" t="n">
        <v>-1.222</v>
      </c>
      <c r="S87" s="865" t="n">
        <v>1.222</v>
      </c>
      <c r="T87" s="865" t="n">
        <v>0</v>
      </c>
      <c r="U87" s="865" t="n">
        <v>328.691</v>
      </c>
      <c r="V87" s="865" t="n">
        <v>0</v>
      </c>
      <c r="W87" s="865" t="n">
        <v>0</v>
      </c>
      <c r="X87" s="865" t="n">
        <v>0</v>
      </c>
      <c r="Y87" s="865" t="n">
        <v>0</v>
      </c>
      <c r="Z87" s="865" t="n">
        <v>0</v>
      </c>
      <c r="AA87" s="865" t="n">
        <v>0</v>
      </c>
      <c r="AB87" s="865" t="n">
        <v>0</v>
      </c>
      <c r="AC87" s="865" t="n">
        <v>0</v>
      </c>
      <c r="AD87" s="866" t="n">
        <f aca="false">SUM(E87:AC87)</f>
        <v>385.457</v>
      </c>
    </row>
    <row r="88" customFormat="false" ht="12.75" hidden="false" customHeight="false" outlineLevel="0" collapsed="false">
      <c r="A88" s="857"/>
      <c r="B88" s="858" t="s">
        <v>861</v>
      </c>
      <c r="C88" s="846"/>
      <c r="D88" s="846"/>
      <c r="E88" s="865" t="n">
        <v>0</v>
      </c>
      <c r="F88" s="865" t="n">
        <v>0</v>
      </c>
      <c r="G88" s="865" t="n">
        <v>0</v>
      </c>
      <c r="H88" s="865" t="n">
        <v>41.993</v>
      </c>
      <c r="I88" s="865" t="n">
        <v>36.935</v>
      </c>
      <c r="J88" s="865" t="n">
        <v>22.612</v>
      </c>
      <c r="K88" s="865" t="n">
        <v>0</v>
      </c>
      <c r="L88" s="865" t="n">
        <v>0</v>
      </c>
      <c r="M88" s="865" t="n">
        <v>42.949</v>
      </c>
      <c r="N88" s="865" t="n">
        <v>0</v>
      </c>
      <c r="O88" s="865" t="n">
        <v>0</v>
      </c>
      <c r="P88" s="865" t="n">
        <v>0</v>
      </c>
      <c r="Q88" s="865" t="n">
        <v>0</v>
      </c>
      <c r="R88" s="865" t="n">
        <v>0</v>
      </c>
      <c r="S88" s="865" t="n">
        <v>64.138</v>
      </c>
      <c r="T88" s="865" t="n">
        <v>68.131</v>
      </c>
      <c r="U88" s="865" t="n">
        <v>0</v>
      </c>
      <c r="V88" s="865" t="n">
        <v>0.151</v>
      </c>
      <c r="W88" s="865" t="n">
        <v>0</v>
      </c>
      <c r="X88" s="865" t="n">
        <v>0</v>
      </c>
      <c r="Y88" s="865" t="n">
        <v>0</v>
      </c>
      <c r="Z88" s="865" t="n">
        <v>0</v>
      </c>
      <c r="AA88" s="865" t="n">
        <v>0</v>
      </c>
      <c r="AB88" s="865" t="n">
        <v>0</v>
      </c>
      <c r="AC88" s="865" t="n">
        <v>0</v>
      </c>
      <c r="AD88" s="866" t="n">
        <f aca="false">SUM(E88:AC88)</f>
        <v>276.909</v>
      </c>
    </row>
    <row r="89" customFormat="false" ht="12.75" hidden="false" customHeight="false" outlineLevel="0" collapsed="false">
      <c r="A89" s="857"/>
      <c r="B89" s="858" t="s">
        <v>862</v>
      </c>
      <c r="C89" s="846"/>
      <c r="D89" s="846"/>
      <c r="E89" s="865" t="n">
        <v>0</v>
      </c>
      <c r="F89" s="865" t="n">
        <v>0</v>
      </c>
      <c r="G89" s="865" t="n">
        <v>0</v>
      </c>
      <c r="H89" s="865" t="n">
        <v>0</v>
      </c>
      <c r="I89" s="865" t="n">
        <v>0</v>
      </c>
      <c r="J89" s="865" t="n">
        <v>0</v>
      </c>
      <c r="K89" s="865" t="n">
        <v>0</v>
      </c>
      <c r="L89" s="865" t="n">
        <v>0</v>
      </c>
      <c r="M89" s="865" t="n">
        <v>0</v>
      </c>
      <c r="N89" s="865" t="n">
        <v>0</v>
      </c>
      <c r="O89" s="865" t="n">
        <v>0</v>
      </c>
      <c r="P89" s="865" t="n">
        <v>0</v>
      </c>
      <c r="Q89" s="865" t="n">
        <v>202.626</v>
      </c>
      <c r="R89" s="865" t="n">
        <v>0</v>
      </c>
      <c r="S89" s="865" t="n">
        <v>-156.6</v>
      </c>
      <c r="T89" s="865" t="n">
        <v>4511.421</v>
      </c>
      <c r="U89" s="865" t="n">
        <v>2978.784</v>
      </c>
      <c r="V89" s="865" t="n">
        <v>1051.402</v>
      </c>
      <c r="W89" s="865" t="n">
        <v>4194.1047</v>
      </c>
      <c r="X89" s="865" t="n">
        <v>6388.573</v>
      </c>
      <c r="Y89" s="865" t="n">
        <v>0</v>
      </c>
      <c r="Z89" s="865" t="n">
        <v>0</v>
      </c>
      <c r="AA89" s="865" t="n">
        <v>0</v>
      </c>
      <c r="AB89" s="865" t="n">
        <v>0</v>
      </c>
      <c r="AC89" s="865" t="n">
        <v>0</v>
      </c>
      <c r="AD89" s="866" t="n">
        <f aca="false">SUM(E89:AC89)</f>
        <v>19170.3107</v>
      </c>
    </row>
    <row r="90" customFormat="false" ht="12.75" hidden="false" customHeight="false" outlineLevel="0" collapsed="false">
      <c r="A90" s="857"/>
      <c r="B90" s="858" t="s">
        <v>863</v>
      </c>
      <c r="C90" s="846"/>
      <c r="D90" s="846"/>
      <c r="E90" s="865" t="n">
        <v>1195</v>
      </c>
      <c r="F90" s="865" t="n">
        <v>0</v>
      </c>
      <c r="G90" s="865" t="n">
        <v>0</v>
      </c>
      <c r="H90" s="865" t="n">
        <v>147.024</v>
      </c>
      <c r="I90" s="865" t="n">
        <v>0</v>
      </c>
      <c r="J90" s="865" t="n">
        <v>0</v>
      </c>
      <c r="K90" s="865" t="n">
        <v>0</v>
      </c>
      <c r="L90" s="865" t="n">
        <v>335.439</v>
      </c>
      <c r="M90" s="865" t="n">
        <v>337.555</v>
      </c>
      <c r="N90" s="865" t="n">
        <v>244.41</v>
      </c>
      <c r="O90" s="865" t="n">
        <v>113.61</v>
      </c>
      <c r="P90" s="865" t="n">
        <v>62.146</v>
      </c>
      <c r="Q90" s="865" t="n">
        <v>0</v>
      </c>
      <c r="R90" s="865" t="n">
        <v>40.078</v>
      </c>
      <c r="S90" s="865" t="n">
        <v>44.805</v>
      </c>
      <c r="T90" s="865" t="n">
        <v>100.728</v>
      </c>
      <c r="U90" s="865" t="n">
        <v>119.206</v>
      </c>
      <c r="V90" s="865" t="n">
        <v>383.951</v>
      </c>
      <c r="W90" s="865" t="n">
        <v>274.666</v>
      </c>
      <c r="X90" s="865" t="n">
        <v>265</v>
      </c>
      <c r="Y90" s="865" t="n">
        <v>0</v>
      </c>
      <c r="Z90" s="865" t="n">
        <v>0</v>
      </c>
      <c r="AA90" s="865" t="n">
        <v>0</v>
      </c>
      <c r="AB90" s="865" t="n">
        <v>0</v>
      </c>
      <c r="AC90" s="865" t="n">
        <v>0</v>
      </c>
      <c r="AD90" s="866" t="n">
        <f aca="false">SUM(E90:AC90)</f>
        <v>3663.618</v>
      </c>
    </row>
    <row r="91" customFormat="false" ht="12.75" hidden="false" customHeight="false" outlineLevel="0" collapsed="false">
      <c r="A91" s="857"/>
      <c r="B91" s="858" t="s">
        <v>864</v>
      </c>
      <c r="C91" s="846"/>
      <c r="D91" s="846"/>
      <c r="E91" s="865" t="n">
        <v>0</v>
      </c>
      <c r="F91" s="865" t="n">
        <v>0</v>
      </c>
      <c r="G91" s="865" t="n">
        <v>0</v>
      </c>
      <c r="H91" s="865" t="n">
        <v>0</v>
      </c>
      <c r="I91" s="865" t="n">
        <v>0</v>
      </c>
      <c r="J91" s="865" t="n">
        <v>0</v>
      </c>
      <c r="K91" s="865" t="n">
        <v>0</v>
      </c>
      <c r="L91" s="865" t="n">
        <v>0</v>
      </c>
      <c r="M91" s="865" t="n">
        <v>0</v>
      </c>
      <c r="N91" s="865" t="n">
        <v>10.035</v>
      </c>
      <c r="O91" s="865" t="n">
        <v>4.93</v>
      </c>
      <c r="P91" s="865" t="n">
        <v>16.804</v>
      </c>
      <c r="Q91" s="865" t="n">
        <v>2.084</v>
      </c>
      <c r="R91" s="865" t="n">
        <v>87</v>
      </c>
      <c r="S91" s="865" t="n">
        <v>223.544</v>
      </c>
      <c r="T91" s="865" t="n">
        <v>90.376</v>
      </c>
      <c r="U91" s="865" t="n">
        <v>592.756</v>
      </c>
      <c r="V91" s="865" t="n">
        <v>107.143</v>
      </c>
      <c r="W91" s="865" t="n">
        <v>146.665</v>
      </c>
      <c r="X91" s="865" t="n">
        <v>266.933</v>
      </c>
      <c r="Y91" s="865" t="n">
        <v>0</v>
      </c>
      <c r="Z91" s="865" t="n">
        <v>0</v>
      </c>
      <c r="AA91" s="865" t="n">
        <v>0</v>
      </c>
      <c r="AB91" s="865" t="n">
        <v>0</v>
      </c>
      <c r="AC91" s="865" t="n">
        <v>0</v>
      </c>
      <c r="AD91" s="866" t="n">
        <f aca="false">SUM(E91:AC91)</f>
        <v>1548.27</v>
      </c>
    </row>
    <row r="92" customFormat="false" ht="12.75" hidden="false" customHeight="false" outlineLevel="0" collapsed="false">
      <c r="A92" s="857"/>
      <c r="B92" s="858" t="s">
        <v>865</v>
      </c>
      <c r="C92" s="846"/>
      <c r="D92" s="846"/>
      <c r="E92" s="865" t="n">
        <v>0</v>
      </c>
      <c r="F92" s="865" t="n">
        <v>0</v>
      </c>
      <c r="G92" s="865" t="n">
        <v>0</v>
      </c>
      <c r="H92" s="865" t="n">
        <v>0</v>
      </c>
      <c r="I92" s="865" t="n">
        <v>0</v>
      </c>
      <c r="J92" s="865" t="n">
        <v>0</v>
      </c>
      <c r="K92" s="865" t="n">
        <v>0</v>
      </c>
      <c r="L92" s="865" t="n">
        <v>0</v>
      </c>
      <c r="M92" s="865" t="n">
        <v>0</v>
      </c>
      <c r="N92" s="865" t="n">
        <v>0</v>
      </c>
      <c r="O92" s="865" t="n">
        <v>0</v>
      </c>
      <c r="P92" s="865" t="n">
        <v>0</v>
      </c>
      <c r="Q92" s="865" t="n">
        <v>0</v>
      </c>
      <c r="R92" s="865" t="n">
        <v>0</v>
      </c>
      <c r="S92" s="865" t="n">
        <v>0</v>
      </c>
      <c r="T92" s="865" t="n">
        <v>0</v>
      </c>
      <c r="U92" s="865" t="n">
        <v>79.15</v>
      </c>
      <c r="V92" s="865" t="n">
        <v>6.028</v>
      </c>
      <c r="W92" s="865" t="n">
        <v>121.758</v>
      </c>
      <c r="X92" s="865" t="n">
        <v>328.613</v>
      </c>
      <c r="Y92" s="865" t="n">
        <v>0</v>
      </c>
      <c r="Z92" s="865" t="n">
        <v>0</v>
      </c>
      <c r="AA92" s="865" t="n">
        <v>0</v>
      </c>
      <c r="AB92" s="865" t="n">
        <v>0</v>
      </c>
      <c r="AC92" s="865" t="n">
        <v>0</v>
      </c>
      <c r="AD92" s="866" t="n">
        <f aca="false">SUM(E92:AC92)</f>
        <v>535.549</v>
      </c>
    </row>
    <row r="93" customFormat="false" ht="12.75" hidden="false" customHeight="false" outlineLevel="0" collapsed="false">
      <c r="A93" s="857"/>
      <c r="B93" s="858" t="s">
        <v>866</v>
      </c>
      <c r="C93" s="846"/>
      <c r="D93" s="846"/>
      <c r="E93" s="867" t="n">
        <v>2884.998</v>
      </c>
      <c r="F93" s="867" t="n">
        <v>0</v>
      </c>
      <c r="G93" s="867" t="n">
        <v>0</v>
      </c>
      <c r="H93" s="867" t="n">
        <v>0</v>
      </c>
      <c r="I93" s="867" t="n">
        <v>-0.078</v>
      </c>
      <c r="J93" s="867" t="n">
        <v>1.385</v>
      </c>
      <c r="K93" s="867" t="n">
        <v>-0.094</v>
      </c>
      <c r="L93" s="867" t="n">
        <v>1.589</v>
      </c>
      <c r="M93" s="867" t="n">
        <v>555.587</v>
      </c>
      <c r="N93" s="867" t="n">
        <v>-79.862</v>
      </c>
      <c r="O93" s="867" t="n">
        <v>20.897</v>
      </c>
      <c r="P93" s="867" t="n">
        <v>21.949</v>
      </c>
      <c r="Q93" s="867" t="n">
        <v>6.731</v>
      </c>
      <c r="R93" s="867" t="n">
        <v>-0.256</v>
      </c>
      <c r="S93" s="867" t="n">
        <v>87.049</v>
      </c>
      <c r="T93" s="867" t="n">
        <v>38.5</v>
      </c>
      <c r="U93" s="867" t="n">
        <v>834.608</v>
      </c>
      <c r="V93" s="867" t="n">
        <v>162.288</v>
      </c>
      <c r="W93" s="867" t="n">
        <v>1224.26466666667</v>
      </c>
      <c r="X93" s="867" t="n">
        <v>1071.96566666667</v>
      </c>
      <c r="Y93" s="867" t="n">
        <v>8200</v>
      </c>
      <c r="Z93" s="867" t="n">
        <v>7594</v>
      </c>
      <c r="AA93" s="867" t="n">
        <v>5990</v>
      </c>
      <c r="AB93" s="867" t="n">
        <v>0</v>
      </c>
      <c r="AC93" s="867" t="n">
        <v>5400</v>
      </c>
      <c r="AD93" s="868" t="n">
        <f aca="false">SUM(E93:AC93)</f>
        <v>34015.5213333333</v>
      </c>
    </row>
    <row r="94" customFormat="false" ht="12.75" hidden="false" customHeight="false" outlineLevel="0" collapsed="false">
      <c r="A94" s="857"/>
      <c r="B94" s="861" t="s">
        <v>867</v>
      </c>
      <c r="C94" s="846"/>
      <c r="D94" s="846"/>
      <c r="E94" s="869" t="n">
        <f aca="false">SUM(E84:E93)</f>
        <v>4080.827</v>
      </c>
      <c r="F94" s="869" t="n">
        <f aca="false">SUM(F84:F93)</f>
        <v>0</v>
      </c>
      <c r="G94" s="869" t="n">
        <f aca="false">SUM(G84:G93)</f>
        <v>0</v>
      </c>
      <c r="H94" s="869" t="n">
        <f aca="false">SUM(H84:H93)</f>
        <v>189.338</v>
      </c>
      <c r="I94" s="869" t="n">
        <f aca="false">SUM(I84:I93)</f>
        <v>37.533</v>
      </c>
      <c r="J94" s="869" t="n">
        <f aca="false">SUM(J84:J93)</f>
        <v>23.997</v>
      </c>
      <c r="K94" s="869" t="n">
        <f aca="false">SUM(K84:K93)</f>
        <v>3.651</v>
      </c>
      <c r="L94" s="869" t="n">
        <f aca="false">SUM(L84:L93)</f>
        <v>337.028</v>
      </c>
      <c r="M94" s="869" t="n">
        <f aca="false">SUM(M84:M93)</f>
        <v>6916.636</v>
      </c>
      <c r="N94" s="869" t="n">
        <f aca="false">SUM(N84:N93)</f>
        <v>342.331</v>
      </c>
      <c r="O94" s="869" t="n">
        <f aca="false">SUM(O84:O93)</f>
        <v>4740.848</v>
      </c>
      <c r="P94" s="869" t="n">
        <f aca="false">SUM(P84:P93)</f>
        <v>1616.826</v>
      </c>
      <c r="Q94" s="869" t="n">
        <f aca="false">SUM(Q84:Q93)</f>
        <v>4675.127</v>
      </c>
      <c r="R94" s="869" t="n">
        <f aca="false">SUM(R84:R93)</f>
        <v>3368.101</v>
      </c>
      <c r="S94" s="869" t="n">
        <f aca="false">SUM(S84:S93)</f>
        <v>5503.57</v>
      </c>
      <c r="T94" s="869" t="n">
        <f aca="false">SUM(T84:T93)</f>
        <v>11853.407</v>
      </c>
      <c r="U94" s="869" t="n">
        <f aca="false">SUM(U84:U93)</f>
        <v>5260.59</v>
      </c>
      <c r="V94" s="869" t="n">
        <f aca="false">SUM(V84:V93)</f>
        <v>8667.643</v>
      </c>
      <c r="W94" s="869" t="n">
        <f aca="false">SUM(W84:W93)</f>
        <v>8535.39936666667</v>
      </c>
      <c r="X94" s="869" t="n">
        <f aca="false">SUM(X84:X93)</f>
        <v>9029.91866666667</v>
      </c>
      <c r="Y94" s="869" t="n">
        <f aca="false">SUM(Y84:Y93)</f>
        <v>8200</v>
      </c>
      <c r="Z94" s="869" t="n">
        <f aca="false">SUM(Z84:Z93)</f>
        <v>7594</v>
      </c>
      <c r="AA94" s="869" t="n">
        <f aca="false">SUM(AA84:AA93)</f>
        <v>5990</v>
      </c>
      <c r="AB94" s="869" t="n">
        <f aca="false">SUM(AB84:AB93)</f>
        <v>0</v>
      </c>
      <c r="AC94" s="869" t="n">
        <f aca="false">SUM(AC84:AC93)</f>
        <v>5400</v>
      </c>
      <c r="AD94" s="866" t="n">
        <f aca="false">SUM(AD84:AD93)</f>
        <v>102366.771033333</v>
      </c>
    </row>
    <row r="95" customFormat="false" ht="13.5" hidden="false" customHeight="false" outlineLevel="0" collapsed="false">
      <c r="A95" s="870"/>
      <c r="B95" s="871"/>
      <c r="C95" s="871"/>
      <c r="D95" s="871"/>
      <c r="E95" s="871"/>
      <c r="F95" s="871"/>
      <c r="G95" s="871"/>
      <c r="H95" s="871"/>
      <c r="I95" s="871"/>
      <c r="J95" s="871"/>
      <c r="K95" s="871"/>
      <c r="L95" s="871"/>
      <c r="M95" s="871"/>
      <c r="N95" s="871"/>
      <c r="O95" s="871"/>
      <c r="P95" s="871"/>
      <c r="Q95" s="871"/>
      <c r="R95" s="871"/>
      <c r="S95" s="871"/>
      <c r="T95" s="871"/>
      <c r="U95" s="871"/>
      <c r="V95" s="871"/>
      <c r="W95" s="871"/>
      <c r="X95" s="871"/>
      <c r="Y95" s="871"/>
      <c r="Z95" s="871"/>
      <c r="AA95" s="871"/>
      <c r="AB95" s="871"/>
      <c r="AC95" s="871"/>
      <c r="AD95" s="872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4" ySplit="7" topLeftCell="E8" activePane="bottomRight" state="frozen"/>
      <selection pane="topLeft" activeCell="A1" activeCellId="0" sqref="A1"/>
      <selection pane="topRight" activeCell="E1" activeCellId="0" sqref="E1"/>
      <selection pane="bottomLeft" activeCell="A8" activeCellId="0" sqref="A8"/>
      <selection pane="bottomRight" activeCell="J17" activeCellId="0" sqref="J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0.7"/>
    <col collapsed="false" customWidth="true" hidden="false" outlineLevel="0" max="2" min="2" style="1" width="9.7"/>
    <col collapsed="false" customWidth="true" hidden="false" outlineLevel="0" max="3" min="3" style="1" width="2.7"/>
    <col collapsed="false" customWidth="true" hidden="false" outlineLevel="0" max="40" min="4" style="1" width="9.7"/>
    <col collapsed="false" customWidth="true" hidden="false" outlineLevel="0" max="41" min="41" style="39" width="10.71"/>
    <col collapsed="false" customWidth="false" hidden="false" outlineLevel="0" max="257" min="42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5"/>
      <c r="F1" s="415"/>
      <c r="G1" s="415"/>
      <c r="H1" s="416"/>
      <c r="I1" s="415"/>
      <c r="J1" s="415"/>
      <c r="K1" s="417"/>
      <c r="L1" s="415"/>
      <c r="M1" s="415"/>
      <c r="N1" s="415"/>
      <c r="O1" s="415"/>
      <c r="P1" s="415"/>
      <c r="Q1" s="415"/>
      <c r="R1" s="415"/>
      <c r="S1" s="418"/>
      <c r="T1" s="415"/>
      <c r="U1" s="415"/>
      <c r="V1" s="415"/>
      <c r="W1" s="415"/>
      <c r="X1" s="415"/>
      <c r="Y1" s="415"/>
      <c r="Z1" s="116"/>
      <c r="AA1" s="116"/>
      <c r="AB1" s="67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67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5"/>
      <c r="F2" s="415"/>
      <c r="G2" s="415"/>
      <c r="H2" s="416"/>
      <c r="I2" s="415"/>
      <c r="J2" s="415"/>
      <c r="K2" s="417"/>
      <c r="L2" s="415"/>
      <c r="M2" s="415"/>
      <c r="N2" s="415"/>
      <c r="O2" s="415"/>
      <c r="P2" s="415"/>
      <c r="Q2" s="415"/>
      <c r="R2" s="415"/>
      <c r="S2" s="418"/>
      <c r="T2" s="415"/>
      <c r="U2" s="415"/>
      <c r="V2" s="415"/>
      <c r="W2" s="415"/>
      <c r="X2" s="415"/>
      <c r="Y2" s="415"/>
      <c r="Z2" s="116"/>
      <c r="AA2" s="116"/>
      <c r="AB2" s="67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67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15"/>
      <c r="F3" s="421"/>
      <c r="G3" s="415"/>
      <c r="H3" s="416"/>
      <c r="I3" s="415"/>
      <c r="J3" s="415"/>
      <c r="K3" s="417"/>
      <c r="L3" s="415"/>
      <c r="M3" s="415"/>
      <c r="N3" s="415"/>
      <c r="O3" s="415"/>
      <c r="P3" s="415"/>
      <c r="Q3" s="415"/>
      <c r="R3" s="415"/>
      <c r="S3" s="415"/>
      <c r="T3" s="422"/>
      <c r="U3" s="422"/>
      <c r="V3" s="415"/>
      <c r="W3" s="415"/>
      <c r="X3" s="415"/>
      <c r="Y3" s="415"/>
      <c r="Z3" s="116"/>
      <c r="AA3" s="116"/>
      <c r="AB3" s="67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67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868</v>
      </c>
      <c r="B4" s="21"/>
      <c r="C4" s="633"/>
      <c r="D4" s="525"/>
      <c r="E4" s="415"/>
      <c r="F4" s="421"/>
      <c r="G4" s="415"/>
      <c r="H4" s="416"/>
      <c r="I4" s="415"/>
      <c r="J4" s="415"/>
      <c r="K4" s="417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116"/>
      <c r="AA4" s="116"/>
      <c r="AB4" s="67"/>
      <c r="AC4" s="419"/>
      <c r="AD4" s="419"/>
      <c r="AE4" s="873"/>
      <c r="AF4" s="419"/>
      <c r="AG4" s="419"/>
      <c r="AH4" s="419"/>
      <c r="AI4" s="419"/>
      <c r="AJ4" s="419"/>
      <c r="AK4" s="419"/>
      <c r="AL4" s="419"/>
      <c r="AM4" s="419"/>
      <c r="AN4" s="419"/>
      <c r="AO4" s="67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116"/>
      <c r="F5" s="116"/>
      <c r="G5" s="116"/>
      <c r="H5" s="116"/>
      <c r="I5" s="116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116"/>
      <c r="AB5" s="67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67"/>
      <c r="AP5" s="419" t="s">
        <v>312</v>
      </c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816</v>
      </c>
      <c r="B6" s="26"/>
      <c r="C6" s="26"/>
      <c r="D6" s="26"/>
      <c r="E6" s="874" t="n">
        <v>1</v>
      </c>
      <c r="F6" s="224" t="n">
        <f aca="false">E6+1</f>
        <v>2</v>
      </c>
      <c r="G6" s="224" t="n">
        <f aca="false">F6+1</f>
        <v>3</v>
      </c>
      <c r="H6" s="224" t="n">
        <f aca="false">G6+1</f>
        <v>4</v>
      </c>
      <c r="I6" s="224" t="n">
        <f aca="false">H6+1</f>
        <v>5</v>
      </c>
      <c r="J6" s="224" t="n">
        <f aca="false">I6+1</f>
        <v>6</v>
      </c>
      <c r="K6" s="224" t="n">
        <f aca="false">J6+1</f>
        <v>7</v>
      </c>
      <c r="L6" s="224" t="n">
        <f aca="false">K6+1</f>
        <v>8</v>
      </c>
      <c r="M6" s="224" t="n">
        <f aca="false">L6+1</f>
        <v>9</v>
      </c>
      <c r="N6" s="224" t="n">
        <f aca="false">M6+1</f>
        <v>10</v>
      </c>
      <c r="O6" s="224" t="n">
        <f aca="false">N6+1</f>
        <v>11</v>
      </c>
      <c r="P6" s="224" t="n">
        <f aca="false">O6+1</f>
        <v>12</v>
      </c>
      <c r="Q6" s="224" t="n">
        <f aca="false">P6+1</f>
        <v>13</v>
      </c>
      <c r="R6" s="224" t="n">
        <f aca="false">Q6+1</f>
        <v>14</v>
      </c>
      <c r="S6" s="224" t="n">
        <f aca="false">R6+1</f>
        <v>15</v>
      </c>
      <c r="T6" s="224" t="n">
        <f aca="false">S6+1</f>
        <v>16</v>
      </c>
      <c r="U6" s="224" t="n">
        <f aca="false">T6+1</f>
        <v>17</v>
      </c>
      <c r="V6" s="224" t="n">
        <f aca="false">U6+1</f>
        <v>18</v>
      </c>
      <c r="W6" s="224" t="n">
        <f aca="false">V6+1</f>
        <v>19</v>
      </c>
      <c r="X6" s="224" t="n">
        <f aca="false">W6+1</f>
        <v>20</v>
      </c>
      <c r="Y6" s="224" t="n">
        <f aca="false">X6+1</f>
        <v>21</v>
      </c>
      <c r="Z6" s="224" t="n">
        <f aca="false">Y6+1</f>
        <v>22</v>
      </c>
      <c r="AA6" s="224" t="n">
        <f aca="false">Z6+1</f>
        <v>23</v>
      </c>
      <c r="AB6" s="224" t="n">
        <f aca="false">AA6+1</f>
        <v>24</v>
      </c>
      <c r="AC6" s="224" t="n">
        <f aca="false">AB6+1</f>
        <v>25</v>
      </c>
      <c r="AD6" s="224" t="n">
        <f aca="false">AC6+1</f>
        <v>26</v>
      </c>
      <c r="AE6" s="224" t="n">
        <f aca="false">AD6+1</f>
        <v>27</v>
      </c>
      <c r="AF6" s="224" t="n">
        <f aca="false">AE6+1</f>
        <v>28</v>
      </c>
      <c r="AG6" s="224" t="n">
        <f aca="false">AF6+1</f>
        <v>29</v>
      </c>
      <c r="AH6" s="224" t="n">
        <f aca="false">AG6+1</f>
        <v>30</v>
      </c>
      <c r="AI6" s="224" t="n">
        <f aca="false">AH6+1</f>
        <v>31</v>
      </c>
      <c r="AJ6" s="224" t="n">
        <f aca="false">AI6+1</f>
        <v>32</v>
      </c>
      <c r="AK6" s="224" t="n">
        <f aca="false">AJ6+1</f>
        <v>33</v>
      </c>
      <c r="AL6" s="224" t="n">
        <f aca="false">AK6+1</f>
        <v>34</v>
      </c>
      <c r="AM6" s="224" t="n">
        <f aca="false">AL6+1</f>
        <v>35</v>
      </c>
      <c r="AN6" s="224" t="n">
        <f aca="false">AM6+1</f>
        <v>36</v>
      </c>
      <c r="AO6" s="875"/>
      <c r="AP6" s="876" t="s">
        <v>869</v>
      </c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9" t="s">
        <v>818</v>
      </c>
      <c r="B7" s="877"/>
      <c r="C7" s="877"/>
      <c r="D7" s="877"/>
      <c r="E7" s="878" t="n">
        <f aca="false">Startconst</f>
        <v>35886</v>
      </c>
      <c r="F7" s="750" t="n">
        <f aca="false">EDATE(E$7,1)</f>
        <v>35916</v>
      </c>
      <c r="G7" s="750" t="n">
        <f aca="false">EDATE(F$7,1)</f>
        <v>35947</v>
      </c>
      <c r="H7" s="750" t="n">
        <f aca="false">EDATE(G$7,1)</f>
        <v>35977</v>
      </c>
      <c r="I7" s="750" t="n">
        <f aca="false">EDATE(H$7,1)</f>
        <v>36008</v>
      </c>
      <c r="J7" s="750" t="n">
        <f aca="false">EDATE(I$7,1)</f>
        <v>36039</v>
      </c>
      <c r="K7" s="750" t="n">
        <f aca="false">EDATE(J$7,1)</f>
        <v>36069</v>
      </c>
      <c r="L7" s="750" t="n">
        <f aca="false">EDATE(K$7,1)</f>
        <v>36100</v>
      </c>
      <c r="M7" s="750" t="n">
        <f aca="false">EDATE(L$7,1)</f>
        <v>36130</v>
      </c>
      <c r="N7" s="750" t="n">
        <f aca="false">EDATE(M$7,1)</f>
        <v>36161</v>
      </c>
      <c r="O7" s="750" t="n">
        <f aca="false">EDATE(N$7,1)</f>
        <v>36192</v>
      </c>
      <c r="P7" s="750" t="n">
        <f aca="false">EDATE(O$7,1)</f>
        <v>36220</v>
      </c>
      <c r="Q7" s="750" t="n">
        <f aca="false">EDATE(P$7,1)</f>
        <v>36251</v>
      </c>
      <c r="R7" s="750" t="n">
        <f aca="false">EDATE(Q$7,1)</f>
        <v>36281</v>
      </c>
      <c r="S7" s="750" t="n">
        <f aca="false">EDATE(R$7,1)</f>
        <v>36312</v>
      </c>
      <c r="T7" s="750" t="n">
        <f aca="false">EDATE(S$7,1)</f>
        <v>36342</v>
      </c>
      <c r="U7" s="750" t="n">
        <f aca="false">EDATE(T$7,1)</f>
        <v>36373</v>
      </c>
      <c r="V7" s="750" t="n">
        <f aca="false">EDATE(U$7,1)</f>
        <v>36404</v>
      </c>
      <c r="W7" s="750" t="n">
        <f aca="false">EDATE(V$7,1)</f>
        <v>36434</v>
      </c>
      <c r="X7" s="750" t="n">
        <f aca="false">EDATE(W$7,1)</f>
        <v>36465</v>
      </c>
      <c r="Y7" s="750" t="n">
        <f aca="false">EDATE(X$7,1)</f>
        <v>36495</v>
      </c>
      <c r="Z7" s="750" t="n">
        <f aca="false">EDATE(Y$7,1)</f>
        <v>36526</v>
      </c>
      <c r="AA7" s="750" t="n">
        <f aca="false">EDATE(Z$7,1)</f>
        <v>36557</v>
      </c>
      <c r="AB7" s="750" t="n">
        <f aca="false">EDATE(AA$7,1)</f>
        <v>36586</v>
      </c>
      <c r="AC7" s="750" t="n">
        <f aca="false">EDATE(AB$7,1)</f>
        <v>36617</v>
      </c>
      <c r="AD7" s="750" t="n">
        <f aca="false">EDATE(AC$7,1)</f>
        <v>36647</v>
      </c>
      <c r="AE7" s="750" t="n">
        <f aca="false">EDATE(AD$7,1)</f>
        <v>36678</v>
      </c>
      <c r="AF7" s="750" t="n">
        <f aca="false">EDATE(AE$7,1)</f>
        <v>36708</v>
      </c>
      <c r="AG7" s="750" t="n">
        <f aca="false">EDATE(AF$7,1)</f>
        <v>36739</v>
      </c>
      <c r="AH7" s="750" t="n">
        <f aca="false">EDATE(AG$7,1)</f>
        <v>36770</v>
      </c>
      <c r="AI7" s="750" t="n">
        <f aca="false">EDATE(AH$7,1)</f>
        <v>36800</v>
      </c>
      <c r="AJ7" s="750" t="n">
        <f aca="false">EDATE(AI$7,1)</f>
        <v>36831</v>
      </c>
      <c r="AK7" s="750" t="n">
        <f aca="false">EDATE(AJ$7,1)</f>
        <v>36861</v>
      </c>
      <c r="AL7" s="750" t="n">
        <f aca="false">EDATE(AK$7,1)</f>
        <v>36892</v>
      </c>
      <c r="AM7" s="750" t="n">
        <f aca="false">EDATE(AL$7,1)</f>
        <v>36923</v>
      </c>
      <c r="AN7" s="750" t="n">
        <f aca="false">EDATE(AM$7,1)</f>
        <v>36951</v>
      </c>
      <c r="AO7" s="294" t="s">
        <v>316</v>
      </c>
      <c r="AP7" s="879" t="n">
        <v>1</v>
      </c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85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02"/>
      <c r="AP8" s="65" t="n">
        <f aca="false">AP7+1</f>
        <v>2</v>
      </c>
    </row>
    <row r="9" customFormat="false" ht="12.75" hidden="false" customHeight="false" outlineLevel="0" collapsed="false">
      <c r="A9" s="609"/>
      <c r="B9" s="880" t="s">
        <v>870</v>
      </c>
      <c r="C9" s="880"/>
      <c r="D9" s="881" t="s">
        <v>41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02"/>
      <c r="AP9" s="65" t="n">
        <f aca="false">AP8+1</f>
        <v>3</v>
      </c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662" t="s">
        <v>871</v>
      </c>
      <c r="B10" s="882" t="n">
        <f aca="false">Est_Cost-Est_IDC-Est_WhTax</f>
        <v>147753.206269012</v>
      </c>
      <c r="C10" s="883"/>
      <c r="D10" s="884" t="n">
        <f aca="false">Est_Cost</f>
        <v>156184.092515464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02"/>
      <c r="AP10" s="65" t="n">
        <f aca="false">AP9+1</f>
        <v>4</v>
      </c>
    </row>
    <row r="11" customFormat="false" ht="12.75" hidden="false" customHeight="false" outlineLevel="0" collapsed="false">
      <c r="A11" s="662" t="s">
        <v>872</v>
      </c>
      <c r="B11" s="883"/>
      <c r="C11" s="883"/>
      <c r="D11" s="885" t="n">
        <f aca="false">Int_BL</f>
        <v>0.06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02"/>
      <c r="AP11" s="65" t="n">
        <f aca="false">AP10+1</f>
        <v>5</v>
      </c>
    </row>
    <row r="12" customFormat="false" ht="12.75" hidden="false" customHeight="false" outlineLevel="0" collapsed="false">
      <c r="A12" s="666" t="s">
        <v>873</v>
      </c>
      <c r="B12" s="667"/>
      <c r="C12" s="667"/>
      <c r="D12" s="886" t="n">
        <f aca="false">Assm!X73</f>
        <v>0.110125</v>
      </c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02"/>
      <c r="AP12" s="65" t="n">
        <f aca="false">AP11+1</f>
        <v>6</v>
      </c>
    </row>
    <row r="13" customFormat="false" ht="12.75" hidden="false" customHeight="false" outlineLevel="0" collapsed="false">
      <c r="A13" s="662" t="s">
        <v>267</v>
      </c>
      <c r="B13" s="496"/>
      <c r="C13" s="496"/>
      <c r="D13" s="887" t="n">
        <f aca="false">Assm!X59</f>
        <v>0.13</v>
      </c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02"/>
      <c r="AP13" s="65" t="n">
        <f aca="false">AP12+1</f>
        <v>7</v>
      </c>
    </row>
    <row r="14" customFormat="false" ht="12.75" hidden="false" customHeight="false" outlineLevel="0" collapsed="false">
      <c r="A14" s="37" t="s">
        <v>150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02"/>
      <c r="AP14" s="65" t="n">
        <f aca="false">AP13+1</f>
        <v>8</v>
      </c>
    </row>
    <row r="15" customFormat="false" ht="12.75" hidden="false" customHeight="false" outlineLevel="0" collapsed="false">
      <c r="A15" s="97" t="s">
        <v>874</v>
      </c>
      <c r="B15" s="39"/>
      <c r="C15" s="39"/>
      <c r="D15" s="39"/>
      <c r="E15" s="32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02"/>
      <c r="AP15" s="65" t="n">
        <f aca="false">AP14+1</f>
        <v>9</v>
      </c>
    </row>
    <row r="16" customFormat="false" ht="12.75" hidden="false" customHeight="false" outlineLevel="0" collapsed="false">
      <c r="A16" s="37" t="s">
        <v>656</v>
      </c>
      <c r="B16" s="39"/>
      <c r="C16" s="39"/>
      <c r="D16" s="39"/>
      <c r="E16" s="99" t="n">
        <v>0</v>
      </c>
      <c r="F16" s="61" t="n">
        <f aca="false">E20</f>
        <v>0</v>
      </c>
      <c r="G16" s="61" t="n">
        <f aca="false">F20</f>
        <v>0</v>
      </c>
      <c r="H16" s="61" t="n">
        <f aca="false">G20</f>
        <v>0</v>
      </c>
      <c r="I16" s="61" t="n">
        <f aca="false">H20</f>
        <v>0</v>
      </c>
      <c r="J16" s="61" t="n">
        <f aca="false">I20</f>
        <v>0</v>
      </c>
      <c r="K16" s="61" t="n">
        <f aca="false">J20</f>
        <v>4072.33637</v>
      </c>
      <c r="L16" s="61" t="n">
        <f aca="false">K20</f>
        <v>4072.33637</v>
      </c>
      <c r="M16" s="61" t="n">
        <f aca="false">L20</f>
        <v>4072.33637</v>
      </c>
      <c r="N16" s="61" t="n">
        <f aca="false">M20</f>
        <v>10372.33637</v>
      </c>
      <c r="O16" s="61" t="n">
        <f aca="false">N20</f>
        <v>14699.33637</v>
      </c>
      <c r="P16" s="61" t="n">
        <f aca="false">O20</f>
        <v>16877.33637</v>
      </c>
      <c r="Q16" s="61" t="n">
        <f aca="false">P20</f>
        <v>24776.84537</v>
      </c>
      <c r="R16" s="61" t="n">
        <f aca="false">Q20</f>
        <v>30336.84537</v>
      </c>
      <c r="S16" s="61" t="n">
        <f aca="false">R20</f>
        <v>34961.84537</v>
      </c>
      <c r="T16" s="61" t="n">
        <f aca="false">S20</f>
        <v>39958.00437</v>
      </c>
      <c r="U16" s="61" t="n">
        <f aca="false">T20</f>
        <v>60000.3614567429</v>
      </c>
      <c r="V16" s="61" t="n">
        <f aca="false">U20</f>
        <v>65575.9123907243</v>
      </c>
      <c r="W16" s="61" t="n">
        <f aca="false">V20</f>
        <v>65722.0604614713</v>
      </c>
      <c r="X16" s="61" t="n">
        <f aca="false">W20</f>
        <v>71011.6950926225</v>
      </c>
      <c r="Y16" s="61" t="n">
        <f aca="false">X20</f>
        <v>79813.4762073804</v>
      </c>
      <c r="Z16" s="61" t="n">
        <f aca="false">Y20</f>
        <v>84691.4420095743</v>
      </c>
      <c r="AA16" s="61" t="n">
        <f aca="false">Z20</f>
        <v>89597.2819020664</v>
      </c>
      <c r="AB16" s="61" t="n">
        <f aca="false">AA20</f>
        <v>94531.1551653728</v>
      </c>
      <c r="AC16" s="61" t="n">
        <f aca="false">AB20</f>
        <v>99493.2219901838</v>
      </c>
      <c r="AD16" s="61" t="n">
        <f aca="false">AC20</f>
        <v>104483.643482565</v>
      </c>
      <c r="AE16" s="61" t="n">
        <f aca="false">AD20</f>
        <v>109502.581669189</v>
      </c>
      <c r="AF16" s="61" t="n">
        <f aca="false">AE20</f>
        <v>114493.05664545</v>
      </c>
      <c r="AG16" s="61" t="n">
        <f aca="false">AF20</f>
        <v>125106.904107281</v>
      </c>
      <c r="AH16" s="61" t="n">
        <f aca="false">AG20</f>
        <v>130129.403783189</v>
      </c>
      <c r="AI16" s="61" t="n">
        <f aca="false">AH20</f>
        <v>136857.492328915</v>
      </c>
      <c r="AJ16" s="61" t="n">
        <f aca="false">AI20</f>
        <v>142233.522306777</v>
      </c>
      <c r="AK16" s="61" t="n">
        <f aca="false">AJ20</f>
        <v>147657.119616672</v>
      </c>
      <c r="AL16" s="61" t="n">
        <f aca="false">AK20</f>
        <v>154426.944590093</v>
      </c>
      <c r="AM16" s="61" t="n">
        <f aca="false">AL20</f>
        <v>155301.648843363</v>
      </c>
      <c r="AN16" s="61" t="n">
        <f aca="false">AM20</f>
        <v>156184.092515464</v>
      </c>
      <c r="AO16" s="309" t="n">
        <f aca="false">E16</f>
        <v>0</v>
      </c>
      <c r="AP16" s="65" t="n">
        <f aca="false">AP15+1</f>
        <v>10</v>
      </c>
    </row>
    <row r="17" customFormat="false" ht="12.75" hidden="false" customHeight="false" outlineLevel="0" collapsed="false">
      <c r="A17" s="37" t="s">
        <v>875</v>
      </c>
      <c r="B17" s="39"/>
      <c r="C17" s="39"/>
      <c r="D17" s="39"/>
      <c r="E17" s="61" t="n">
        <f aca="false">Drawdown!E48</f>
        <v>0</v>
      </c>
      <c r="F17" s="61" t="n">
        <f aca="false">Drawdown!F48</f>
        <v>0</v>
      </c>
      <c r="G17" s="61" t="n">
        <f aca="false">Drawdown!G48</f>
        <v>0</v>
      </c>
      <c r="H17" s="61" t="n">
        <f aca="false">Drawdown!H48</f>
        <v>0</v>
      </c>
      <c r="I17" s="61" t="n">
        <f aca="false">Drawdown!I48</f>
        <v>0</v>
      </c>
      <c r="J17" s="61" t="n">
        <f aca="false">Drawdown!J48</f>
        <v>4072.33637</v>
      </c>
      <c r="K17" s="61" t="n">
        <f aca="false">Drawdown!K48</f>
        <v>0</v>
      </c>
      <c r="L17" s="61" t="n">
        <f aca="false">Drawdown!L48</f>
        <v>0</v>
      </c>
      <c r="M17" s="61" t="n">
        <f aca="false">Drawdown!M48</f>
        <v>6300</v>
      </c>
      <c r="N17" s="61" t="n">
        <f aca="false">Drawdown!N48</f>
        <v>4327</v>
      </c>
      <c r="O17" s="61" t="n">
        <f aca="false">Drawdown!O48</f>
        <v>2178</v>
      </c>
      <c r="P17" s="61" t="n">
        <f aca="false">Drawdown!P48</f>
        <v>7899.509</v>
      </c>
      <c r="Q17" s="61" t="n">
        <f aca="false">Drawdown!Q48</f>
        <v>5560</v>
      </c>
      <c r="R17" s="61" t="n">
        <f aca="false">Drawdown!R48</f>
        <v>4625</v>
      </c>
      <c r="S17" s="61" t="n">
        <f aca="false">Drawdown!S48</f>
        <v>4996.159</v>
      </c>
      <c r="T17" s="61" t="n">
        <f aca="false">Drawdown!T48</f>
        <v>19985.376</v>
      </c>
      <c r="U17" s="61" t="n">
        <f aca="false">Drawdown!U48</f>
        <v>5445.704</v>
      </c>
      <c r="V17" s="61" t="n">
        <f aca="false">Drawdown!V48</f>
        <v>0</v>
      </c>
      <c r="W17" s="61" t="n">
        <f aca="false">Drawdown!W48</f>
        <v>5128</v>
      </c>
      <c r="X17" s="61" t="n">
        <f aca="false">Drawdown!X48</f>
        <v>8600</v>
      </c>
      <c r="Y17" s="61" t="n">
        <f aca="false">Drawdown!Y48</f>
        <v>4637.21104949602</v>
      </c>
      <c r="Z17" s="61" t="n">
        <f aca="false">Drawdown!Z48</f>
        <v>4637.21104949602</v>
      </c>
      <c r="AA17" s="61" t="n">
        <f aca="false">Drawdown!AA48</f>
        <v>4637.21104949602</v>
      </c>
      <c r="AB17" s="61" t="n">
        <f aca="false">Drawdown!AB48</f>
        <v>4637.21104949602</v>
      </c>
      <c r="AC17" s="61" t="n">
        <f aca="false">Drawdown!AC48</f>
        <v>4637.21104949602</v>
      </c>
      <c r="AD17" s="61" t="n">
        <f aca="false">Drawdown!AD48</f>
        <v>4637.21104949602</v>
      </c>
      <c r="AE17" s="61" t="n">
        <f aca="false">Drawdown!AE48</f>
        <v>4637.21104949602</v>
      </c>
      <c r="AF17" s="61" t="n">
        <f aca="false">Drawdown!AF48</f>
        <v>10273.1068329627</v>
      </c>
      <c r="AG17" s="61" t="n">
        <f aca="false">Drawdown!AG48</f>
        <v>4637.21104949602</v>
      </c>
      <c r="AH17" s="61" t="n">
        <f aca="false">Drawdown!AH48</f>
        <v>6050.71353372092</v>
      </c>
      <c r="AI17" s="61" t="n">
        <f aca="false">Drawdown!AI48</f>
        <v>4642.87429663846</v>
      </c>
      <c r="AJ17" s="61" t="n">
        <f aca="false">Drawdown!AJ48</f>
        <v>4640.67258219184</v>
      </c>
      <c r="AK17" s="61" t="n">
        <f aca="false">Drawdown!AK48</f>
        <v>5930.70802868801</v>
      </c>
      <c r="AL17" s="61" t="n">
        <f aca="false">Drawdown!AL48</f>
        <v>0.358228841518961</v>
      </c>
      <c r="AM17" s="61" t="n">
        <f aca="false">Drawdown!AM48</f>
        <v>4.68958205601666E-015</v>
      </c>
      <c r="AN17" s="61" t="n">
        <f aca="false">Drawdown!AN48</f>
        <v>4.68521868551918E-015</v>
      </c>
      <c r="AO17" s="309" t="n">
        <f aca="false">SUM(E17:AN17)</f>
        <v>147753.206269012</v>
      </c>
      <c r="AP17" s="65" t="n">
        <f aca="false">AP16+1</f>
        <v>11</v>
      </c>
      <c r="AQ17" s="888"/>
    </row>
    <row r="18" customFormat="false" ht="12.75" hidden="false" customHeight="false" outlineLevel="0" collapsed="false">
      <c r="A18" s="37" t="s">
        <v>21</v>
      </c>
      <c r="B18" s="39"/>
      <c r="C18" s="39"/>
      <c r="D18" s="39"/>
      <c r="E18" s="61" t="n">
        <f aca="false">E51</f>
        <v>0</v>
      </c>
      <c r="F18" s="61" t="n">
        <f aca="false">F51</f>
        <v>0</v>
      </c>
      <c r="G18" s="61" t="n">
        <f aca="false">G51</f>
        <v>0</v>
      </c>
      <c r="H18" s="61" t="n">
        <f aca="false">H51</f>
        <v>0</v>
      </c>
      <c r="I18" s="61" t="n">
        <f aca="false">I51</f>
        <v>0</v>
      </c>
      <c r="J18" s="61" t="n">
        <f aca="false">J51</f>
        <v>0</v>
      </c>
      <c r="K18" s="61" t="n">
        <f aca="false">K51</f>
        <v>0</v>
      </c>
      <c r="L18" s="61" t="n">
        <f aca="false">L51</f>
        <v>0</v>
      </c>
      <c r="M18" s="61" t="n">
        <f aca="false">M51</f>
        <v>0</v>
      </c>
      <c r="N18" s="61" t="n">
        <f aca="false">N51</f>
        <v>0</v>
      </c>
      <c r="O18" s="61" t="n">
        <f aca="false">O51</f>
        <v>0</v>
      </c>
      <c r="P18" s="61" t="n">
        <f aca="false">P51</f>
        <v>0</v>
      </c>
      <c r="Q18" s="61" t="n">
        <f aca="false">Q51</f>
        <v>0</v>
      </c>
      <c r="R18" s="61" t="n">
        <f aca="false">R51</f>
        <v>0</v>
      </c>
      <c r="S18" s="61" t="n">
        <f aca="false">S51</f>
        <v>0</v>
      </c>
      <c r="T18" s="61" t="n">
        <f aca="false">T51</f>
        <v>49.8584509</v>
      </c>
      <c r="U18" s="61" t="n">
        <f aca="false">U51</f>
        <v>113.616067233714</v>
      </c>
      <c r="V18" s="61" t="n">
        <f aca="false">V51</f>
        <v>127.879561903621</v>
      </c>
      <c r="W18" s="61" t="n">
        <f aca="false">W51</f>
        <v>141.430302257356</v>
      </c>
      <c r="X18" s="61" t="n">
        <f aca="false">X51</f>
        <v>176.558475413113</v>
      </c>
      <c r="Y18" s="61" t="n">
        <f aca="false">Y51</f>
        <v>210.660408610642</v>
      </c>
      <c r="Z18" s="61" t="n">
        <f aca="false">Z51</f>
        <v>235.050237621611</v>
      </c>
      <c r="AA18" s="61" t="n">
        <f aca="false">AA51</f>
        <v>259.579437084072</v>
      </c>
      <c r="AB18" s="61" t="n">
        <f aca="false">AB51</f>
        <v>284.248803400604</v>
      </c>
      <c r="AC18" s="61" t="n">
        <f aca="false">AC51</f>
        <v>309.059137524659</v>
      </c>
      <c r="AD18" s="61" t="n">
        <f aca="false">AD51</f>
        <v>334.011244986566</v>
      </c>
      <c r="AE18" s="61" t="n">
        <f aca="false">AE51</f>
        <v>309.105935919683</v>
      </c>
      <c r="AF18" s="61" t="n">
        <f aca="false">AF51</f>
        <v>298.148050259657</v>
      </c>
      <c r="AG18" s="61" t="n">
        <f aca="false">AG51</f>
        <v>337.127548110144</v>
      </c>
      <c r="AH18" s="61" t="n">
        <f aca="false">AH51</f>
        <v>674.463360620738</v>
      </c>
      <c r="AI18" s="61" t="n">
        <f aca="false">AI51</f>
        <v>730.004260345944</v>
      </c>
      <c r="AJ18" s="61" t="n">
        <f aca="false">AJ51</f>
        <v>779.559377894574</v>
      </c>
      <c r="AK18" s="61" t="n">
        <f aca="false">AK51</f>
        <v>835.510056419822</v>
      </c>
      <c r="AL18" s="61" t="n">
        <f aca="false">AL51</f>
        <v>870.587706262611</v>
      </c>
      <c r="AM18" s="61" t="n">
        <f aca="false">AM51</f>
        <v>878.650546735894</v>
      </c>
      <c r="AN18" s="61" t="n">
        <f aca="false">AN51</f>
        <v>0</v>
      </c>
      <c r="AO18" s="309" t="n">
        <f aca="false">SUM(E18:AN18)</f>
        <v>7955.10896950503</v>
      </c>
      <c r="AP18" s="65" t="n">
        <f aca="false">AP17+1</f>
        <v>12</v>
      </c>
    </row>
    <row r="19" customFormat="false" ht="12.75" hidden="false" customHeight="false" outlineLevel="0" collapsed="false">
      <c r="A19" s="37" t="s">
        <v>68</v>
      </c>
      <c r="B19" s="39"/>
      <c r="C19" s="39"/>
      <c r="D19" s="39"/>
      <c r="E19" s="311" t="n">
        <f aca="false">E53</f>
        <v>0</v>
      </c>
      <c r="F19" s="311" t="n">
        <f aca="false">F53</f>
        <v>0</v>
      </c>
      <c r="G19" s="311" t="n">
        <f aca="false">G53</f>
        <v>0</v>
      </c>
      <c r="H19" s="311" t="n">
        <f aca="false">H53</f>
        <v>0</v>
      </c>
      <c r="I19" s="311" t="n">
        <f aca="false">I53</f>
        <v>0</v>
      </c>
      <c r="J19" s="311" t="n">
        <f aca="false">J53</f>
        <v>0</v>
      </c>
      <c r="K19" s="311" t="n">
        <f aca="false">K53</f>
        <v>0</v>
      </c>
      <c r="L19" s="311" t="n">
        <f aca="false">L53</f>
        <v>0</v>
      </c>
      <c r="M19" s="311" t="n">
        <f aca="false">M53</f>
        <v>0</v>
      </c>
      <c r="N19" s="311" t="n">
        <f aca="false">N53</f>
        <v>0</v>
      </c>
      <c r="O19" s="311" t="n">
        <f aca="false">O53</f>
        <v>0</v>
      </c>
      <c r="P19" s="311" t="n">
        <f aca="false">P53</f>
        <v>0</v>
      </c>
      <c r="Q19" s="311" t="n">
        <f aca="false">Q53</f>
        <v>0</v>
      </c>
      <c r="R19" s="311" t="n">
        <f aca="false">R53</f>
        <v>0</v>
      </c>
      <c r="S19" s="311" t="n">
        <f aca="false">S53</f>
        <v>0</v>
      </c>
      <c r="T19" s="311" t="n">
        <f aca="false">T53</f>
        <v>7.12263584285714</v>
      </c>
      <c r="U19" s="311" t="n">
        <f aca="false">U53</f>
        <v>16.2308667476735</v>
      </c>
      <c r="V19" s="311" t="n">
        <f aca="false">V53</f>
        <v>18.2685088433745</v>
      </c>
      <c r="W19" s="311" t="n">
        <f aca="false">W53</f>
        <v>20.204328893908</v>
      </c>
      <c r="X19" s="311" t="n">
        <f aca="false">X53</f>
        <v>25.2226393447304</v>
      </c>
      <c r="Y19" s="311" t="n">
        <f aca="false">Y53</f>
        <v>30.0943440872345</v>
      </c>
      <c r="Z19" s="311" t="n">
        <f aca="false">Z53</f>
        <v>33.5786053745159</v>
      </c>
      <c r="AA19" s="311" t="n">
        <f aca="false">AA53</f>
        <v>37.082776726296</v>
      </c>
      <c r="AB19" s="311" t="n">
        <f aca="false">AB53</f>
        <v>40.606971914372</v>
      </c>
      <c r="AC19" s="311" t="n">
        <f aca="false">AC53</f>
        <v>44.1513053606656</v>
      </c>
      <c r="AD19" s="311" t="n">
        <f aca="false">AD53</f>
        <v>47.7158921409379</v>
      </c>
      <c r="AE19" s="311" t="n">
        <f aca="false">AE53</f>
        <v>44.157990845669</v>
      </c>
      <c r="AF19" s="311" t="n">
        <f aca="false">AF53</f>
        <v>42.5925786085224</v>
      </c>
      <c r="AG19" s="311" t="n">
        <f aca="false">AG53</f>
        <v>48.1610783014492</v>
      </c>
      <c r="AH19" s="311" t="n">
        <f aca="false">AH53</f>
        <v>2.91165138477125</v>
      </c>
      <c r="AI19" s="311" t="n">
        <f aca="false">AI53</f>
        <v>3.15142087713849</v>
      </c>
      <c r="AJ19" s="311" t="n">
        <f aca="false">AJ53</f>
        <v>3.365349809468</v>
      </c>
      <c r="AK19" s="311" t="n">
        <f aca="false">AK53</f>
        <v>3.6068883126967</v>
      </c>
      <c r="AL19" s="311" t="n">
        <f aca="false">AL53</f>
        <v>3.75831816597335</v>
      </c>
      <c r="AM19" s="311" t="n">
        <f aca="false">AM53</f>
        <v>3.79312536529641</v>
      </c>
      <c r="AN19" s="311" t="n">
        <f aca="false">AN53</f>
        <v>0</v>
      </c>
      <c r="AO19" s="313" t="n">
        <f aca="false">SUM(E19:AN19)</f>
        <v>475.77727694755</v>
      </c>
      <c r="AP19" s="65" t="n">
        <f aca="false">AP18+1</f>
        <v>13</v>
      </c>
    </row>
    <row r="20" customFormat="false" ht="12.75" hidden="false" customHeight="false" outlineLevel="0" collapsed="false">
      <c r="A20" s="37" t="s">
        <v>660</v>
      </c>
      <c r="B20" s="39"/>
      <c r="C20" s="39"/>
      <c r="D20" s="39"/>
      <c r="E20" s="61" t="n">
        <f aca="false">SUM(E16:E19)</f>
        <v>0</v>
      </c>
      <c r="F20" s="61" t="n">
        <f aca="false">SUM(F16:F19)</f>
        <v>0</v>
      </c>
      <c r="G20" s="61" t="n">
        <f aca="false">SUM(G16:G19)</f>
        <v>0</v>
      </c>
      <c r="H20" s="61" t="n">
        <f aca="false">SUM(H16:H19)</f>
        <v>0</v>
      </c>
      <c r="I20" s="61" t="n">
        <f aca="false">SUM(I16:I19)</f>
        <v>0</v>
      </c>
      <c r="J20" s="61" t="n">
        <f aca="false">SUM(J16:J19)</f>
        <v>4072.33637</v>
      </c>
      <c r="K20" s="61" t="n">
        <f aca="false">SUM(K16:K19)</f>
        <v>4072.33637</v>
      </c>
      <c r="L20" s="61" t="n">
        <f aca="false">SUM(L16:L19)</f>
        <v>4072.33637</v>
      </c>
      <c r="M20" s="61" t="n">
        <f aca="false">SUM(M16:M19)</f>
        <v>10372.33637</v>
      </c>
      <c r="N20" s="61" t="n">
        <f aca="false">SUM(N16:N19)</f>
        <v>14699.33637</v>
      </c>
      <c r="O20" s="61" t="n">
        <f aca="false">SUM(O16:O19)</f>
        <v>16877.33637</v>
      </c>
      <c r="P20" s="61" t="n">
        <f aca="false">SUM(P16:P19)</f>
        <v>24776.84537</v>
      </c>
      <c r="Q20" s="61" t="n">
        <f aca="false">SUM(Q16:Q19)</f>
        <v>30336.84537</v>
      </c>
      <c r="R20" s="61" t="n">
        <f aca="false">SUM(R16:R19)</f>
        <v>34961.84537</v>
      </c>
      <c r="S20" s="61" t="n">
        <f aca="false">SUM(S16:S19)</f>
        <v>39958.00437</v>
      </c>
      <c r="T20" s="61" t="n">
        <f aca="false">SUM(T16:T19)</f>
        <v>60000.3614567429</v>
      </c>
      <c r="U20" s="61" t="n">
        <f aca="false">SUM(U16:U19)</f>
        <v>65575.9123907243</v>
      </c>
      <c r="V20" s="61" t="n">
        <f aca="false">SUM(V16:V19)</f>
        <v>65722.0604614713</v>
      </c>
      <c r="W20" s="61" t="n">
        <f aca="false">SUM(W16:W19)</f>
        <v>71011.6950926225</v>
      </c>
      <c r="X20" s="61" t="n">
        <f aca="false">SUM(X16:X19)</f>
        <v>79813.4762073804</v>
      </c>
      <c r="Y20" s="61" t="n">
        <f aca="false">SUM(Y16:Y19)</f>
        <v>84691.4420095743</v>
      </c>
      <c r="Z20" s="61" t="n">
        <f aca="false">SUM(Z16:Z19)</f>
        <v>89597.2819020664</v>
      </c>
      <c r="AA20" s="61" t="n">
        <f aca="false">SUM(AA16:AA19)</f>
        <v>94531.1551653728</v>
      </c>
      <c r="AB20" s="61" t="n">
        <f aca="false">SUM(AB16:AB19)</f>
        <v>99493.2219901838</v>
      </c>
      <c r="AC20" s="61" t="n">
        <f aca="false">SUM(AC16:AC19)</f>
        <v>104483.643482565</v>
      </c>
      <c r="AD20" s="61" t="n">
        <f aca="false">SUM(AD16:AD19)</f>
        <v>109502.581669189</v>
      </c>
      <c r="AE20" s="61" t="n">
        <f aca="false">SUM(AE16:AE19)</f>
        <v>114493.05664545</v>
      </c>
      <c r="AF20" s="61" t="n">
        <f aca="false">SUM(AF16:AF19)</f>
        <v>125106.904107281</v>
      </c>
      <c r="AG20" s="61" t="n">
        <f aca="false">SUM(AG16:AG19)</f>
        <v>130129.403783189</v>
      </c>
      <c r="AH20" s="61" t="n">
        <f aca="false">SUM(AH16:AH19)</f>
        <v>136857.492328915</v>
      </c>
      <c r="AI20" s="61" t="n">
        <f aca="false">SUM(AI16:AI19)</f>
        <v>142233.522306777</v>
      </c>
      <c r="AJ20" s="61" t="n">
        <f aca="false">SUM(AJ16:AJ19)</f>
        <v>147657.119616672</v>
      </c>
      <c r="AK20" s="61" t="n">
        <f aca="false">SUM(AK16:AK19)</f>
        <v>154426.944590093</v>
      </c>
      <c r="AL20" s="61" t="n">
        <f aca="false">SUM(AL16:AL19)</f>
        <v>155301.648843363</v>
      </c>
      <c r="AM20" s="61" t="n">
        <f aca="false">SUM(AM16:AM19)</f>
        <v>156184.092515464</v>
      </c>
      <c r="AN20" s="61" t="n">
        <f aca="false">SUM(AN16:AN19)</f>
        <v>156184.092515464</v>
      </c>
      <c r="AO20" s="309" t="n">
        <f aca="false">SUM(AO16:AO19)</f>
        <v>156184.092515464</v>
      </c>
      <c r="AP20" s="65" t="n">
        <f aca="false">AP19+1</f>
        <v>14</v>
      </c>
    </row>
    <row r="21" customFormat="false" ht="12.75" hidden="false" customHeight="false" outlineLevel="0" collapsed="false">
      <c r="A21" s="37" t="s">
        <v>876</v>
      </c>
      <c r="B21" s="39"/>
      <c r="C21" s="39"/>
      <c r="D21" s="39"/>
      <c r="E21" s="889" t="n">
        <f aca="false">SUM($E$17:E17)/$B$10</f>
        <v>0</v>
      </c>
      <c r="F21" s="889" t="n">
        <f aca="false">SUM($E$17:F17)/$B$10</f>
        <v>0</v>
      </c>
      <c r="G21" s="889" t="n">
        <f aca="false">SUM($E$17:G17)/$B$10</f>
        <v>0</v>
      </c>
      <c r="H21" s="889" t="n">
        <f aca="false">SUM($E$17:H17)/$B$10</f>
        <v>0</v>
      </c>
      <c r="I21" s="889" t="n">
        <f aca="false">SUM($E$17:I17)/$B$10</f>
        <v>0</v>
      </c>
      <c r="J21" s="889" t="n">
        <f aca="false">SUM($E$17:J17)/$B$10</f>
        <v>0.0275617461903708</v>
      </c>
      <c r="K21" s="889" t="n">
        <f aca="false">SUM($E$17:K17)/$B$10</f>
        <v>0.0275617461903708</v>
      </c>
      <c r="L21" s="889" t="n">
        <f aca="false">SUM($E$17:L17)/$B$10</f>
        <v>0.0275617461903708</v>
      </c>
      <c r="M21" s="889" t="n">
        <f aca="false">SUM($E$17:M17)/$B$10</f>
        <v>0.0702004148127606</v>
      </c>
      <c r="N21" s="889" t="n">
        <f aca="false">SUM($E$17:N17)/$B$10</f>
        <v>0.0994857353094402</v>
      </c>
      <c r="O21" s="889" t="n">
        <f aca="false">SUM($E$17:O17)/$B$10</f>
        <v>0.114226532176038</v>
      </c>
      <c r="P21" s="889" t="n">
        <f aca="false">SUM($E$17:P17)/$B$10</f>
        <v>0.167690745911052</v>
      </c>
      <c r="Q21" s="889" t="n">
        <f aca="false">SUM($E$17:Q17)/$B$10</f>
        <v>0.20532106298097</v>
      </c>
      <c r="R21" s="889" t="n">
        <f aca="false">SUM($E$17:R17)/$B$10</f>
        <v>0.236623260183915</v>
      </c>
      <c r="S21" s="889" t="n">
        <f aca="false">SUM($E$17:S17)/$B$10</f>
        <v>0.270437477324514</v>
      </c>
      <c r="T21" s="889" t="n">
        <f aca="false">SUM($E$17:T17)/$B$10</f>
        <v>0.40569935423846</v>
      </c>
      <c r="U21" s="889" t="n">
        <f aca="false">SUM($E$17:U17)/$B$10</f>
        <v>0.442556111106972</v>
      </c>
      <c r="V21" s="889" t="n">
        <f aca="false">SUM($E$17:V17)/$B$10</f>
        <v>0.442556111106972</v>
      </c>
      <c r="W21" s="889" t="n">
        <f aca="false">SUM($E$17:W17)/$B$10</f>
        <v>0.477262633757069</v>
      </c>
      <c r="X21" s="889" t="n">
        <f aca="false">SUM($E$17:X17)/$B$10</f>
        <v>0.535467800447951</v>
      </c>
      <c r="Y21" s="889" t="n">
        <f aca="false">SUM($E$17:Y17)/$B$10</f>
        <v>0.566852642554545</v>
      </c>
      <c r="Z21" s="889" t="n">
        <f aca="false">SUM($E$17:Z17)/$B$10</f>
        <v>0.59823748466114</v>
      </c>
      <c r="AA21" s="889" t="n">
        <f aca="false">SUM($E$17:AA17)/$B$10</f>
        <v>0.629622326767734</v>
      </c>
      <c r="AB21" s="889" t="n">
        <f aca="false">SUM($E$17:AB17)/$B$10</f>
        <v>0.661007168874329</v>
      </c>
      <c r="AC21" s="889" t="n">
        <f aca="false">SUM($E$17:AC17)/$B$10</f>
        <v>0.692392010980923</v>
      </c>
      <c r="AD21" s="889" t="n">
        <f aca="false">SUM($E$17:AD17)/$B$10</f>
        <v>0.723776853087518</v>
      </c>
      <c r="AE21" s="889" t="n">
        <f aca="false">SUM($E$17:AE17)/$B$10</f>
        <v>0.755161695194112</v>
      </c>
      <c r="AF21" s="889" t="n">
        <f aca="false">SUM($E$17:AF17)/$B$10</f>
        <v>0.824690520269208</v>
      </c>
      <c r="AG21" s="889" t="n">
        <f aca="false">SUM($E$17:AG17)/$B$10</f>
        <v>0.856075362375803</v>
      </c>
      <c r="AH21" s="889" t="n">
        <f aca="false">SUM($E$17:AH17)/$B$10</f>
        <v>0.897026849565221</v>
      </c>
      <c r="AI21" s="889" t="n">
        <f aca="false">SUM($E$17:AI17)/$B$10</f>
        <v>0.928450020769948</v>
      </c>
      <c r="AJ21" s="889" t="n">
        <f aca="false">SUM($E$17:AJ17)/$B$10</f>
        <v>0.959858290677423</v>
      </c>
      <c r="AK21" s="889" t="n">
        <f aca="false">SUM($E$17:AK17)/$B$10</f>
        <v>0.999997575491926</v>
      </c>
      <c r="AL21" s="889" t="n">
        <f aca="false">SUM($E$17:AL17)/$B$10</f>
        <v>1</v>
      </c>
      <c r="AM21" s="889" t="n">
        <f aca="false">SUM($E$17:AM17)/$B$10</f>
        <v>1</v>
      </c>
      <c r="AN21" s="889" t="n">
        <f aca="false">SUM($E$17:AN17)/$B$10</f>
        <v>1</v>
      </c>
      <c r="AO21" s="302"/>
      <c r="AP21" s="65" t="n">
        <f aca="false">AP20+1</f>
        <v>15</v>
      </c>
    </row>
    <row r="22" customFormat="false" ht="12.75" hidden="false" customHeight="false" outlineLevel="0" collapsed="false">
      <c r="A22" s="37" t="s">
        <v>877</v>
      </c>
      <c r="B22" s="39"/>
      <c r="C22" s="39"/>
      <c r="D22" s="39"/>
      <c r="E22" s="889" t="n">
        <f aca="false">E20/$D$10</f>
        <v>0</v>
      </c>
      <c r="F22" s="889" t="n">
        <f aca="false">F20/$D$10</f>
        <v>0</v>
      </c>
      <c r="G22" s="889" t="n">
        <f aca="false">G20/$D$10</f>
        <v>0</v>
      </c>
      <c r="H22" s="889" t="n">
        <f aca="false">H20/$D$10</f>
        <v>0</v>
      </c>
      <c r="I22" s="889" t="n">
        <f aca="false">I20/$D$10</f>
        <v>0</v>
      </c>
      <c r="J22" s="889" t="n">
        <f aca="false">J20/$D$10</f>
        <v>0.0260739509665287</v>
      </c>
      <c r="K22" s="889" t="n">
        <f aca="false">K20/$D$10</f>
        <v>0.0260739509665287</v>
      </c>
      <c r="L22" s="889" t="n">
        <f aca="false">L20/$D$10</f>
        <v>0.0260739509665287</v>
      </c>
      <c r="M22" s="889" t="n">
        <f aca="false">M20/$D$10</f>
        <v>0.0664109654379367</v>
      </c>
      <c r="N22" s="889" t="n">
        <f aca="false">N20/$D$10</f>
        <v>0.0941154514090133</v>
      </c>
      <c r="O22" s="889" t="n">
        <f aca="false">O20/$D$10</f>
        <v>0.108060533554843</v>
      </c>
      <c r="P22" s="889" t="n">
        <f aca="false">P20/$D$10</f>
        <v>0.158638725435798</v>
      </c>
      <c r="Q22" s="889" t="n">
        <f aca="false">Q20/$D$10</f>
        <v>0.194237741381993</v>
      </c>
      <c r="R22" s="889" t="n">
        <f aca="false">R20/$D$10</f>
        <v>0.223850232164574</v>
      </c>
      <c r="S22" s="889" t="n">
        <f aca="false">S20/$D$10</f>
        <v>0.255839142939885</v>
      </c>
      <c r="T22" s="889" t="n">
        <f aca="false">T20/$D$10</f>
        <v>0.384164356884182</v>
      </c>
      <c r="U22" s="889" t="n">
        <f aca="false">U20/$D$10</f>
        <v>0.419862940806417</v>
      </c>
      <c r="V22" s="889" t="n">
        <f aca="false">V20/$D$10</f>
        <v>0.420798683162717</v>
      </c>
      <c r="W22" s="889" t="n">
        <f aca="false">W20/$D$10</f>
        <v>0.454666630569893</v>
      </c>
      <c r="X22" s="889" t="n">
        <f aca="false">X20/$D$10</f>
        <v>0.511021800760393</v>
      </c>
      <c r="Y22" s="889" t="n">
        <f aca="false">Y20/$D$10</f>
        <v>0.542253955864223</v>
      </c>
      <c r="Z22" s="889" t="n">
        <f aca="false">Z20/$D$10</f>
        <v>0.573664580425789</v>
      </c>
      <c r="AA22" s="889" t="n">
        <f aca="false">AA20/$D$10</f>
        <v>0.605254694270564</v>
      </c>
      <c r="AB22" s="889" t="n">
        <f aca="false">AB20/$D$10</f>
        <v>0.637025323051595</v>
      </c>
      <c r="AC22" s="889" t="n">
        <f aca="false">AC20/$D$10</f>
        <v>0.668977498282803</v>
      </c>
      <c r="AD22" s="889" t="n">
        <f aca="false">AD20/$D$10</f>
        <v>0.701112257372476</v>
      </c>
      <c r="AE22" s="889" t="n">
        <f aca="false">AE20/$D$10</f>
        <v>0.733064775044961</v>
      </c>
      <c r="AF22" s="889" t="n">
        <f aca="false">AF20/$D$10</f>
        <v>0.801022063721975</v>
      </c>
      <c r="AG22" s="889" t="n">
        <f aca="false">AG20/$D$10</f>
        <v>0.833179625961614</v>
      </c>
      <c r="AH22" s="889" t="n">
        <f aca="false">AH20/$D$10</f>
        <v>0.876257563268579</v>
      </c>
      <c r="AI22" s="889" t="n">
        <f aca="false">AI20/$D$10</f>
        <v>0.910678674223456</v>
      </c>
      <c r="AJ22" s="889" t="n">
        <f aca="false">AJ20/$D$10</f>
        <v>0.94540434456891</v>
      </c>
      <c r="AK22" s="889" t="n">
        <f aca="false">AK20/$D$10</f>
        <v>0.988749507731094</v>
      </c>
      <c r="AL22" s="889" t="n">
        <f aca="false">AL20/$D$10</f>
        <v>0.994349977274326</v>
      </c>
      <c r="AM22" s="889" t="n">
        <f aca="false">AM20/$D$10</f>
        <v>1</v>
      </c>
      <c r="AN22" s="889" t="n">
        <f aca="false">AN20/$D$10</f>
        <v>1</v>
      </c>
      <c r="AO22" s="302"/>
      <c r="AP22" s="65" t="n">
        <f aca="false">AP21+1</f>
        <v>16</v>
      </c>
    </row>
    <row r="23" customFormat="false" ht="12.75" hidden="false" customHeight="false" outlineLevel="0" collapsed="false">
      <c r="A23" s="37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02"/>
      <c r="AP23" s="65" t="n">
        <f aca="false">AP22+1</f>
        <v>17</v>
      </c>
    </row>
    <row r="24" customFormat="false" ht="12.75" hidden="false" customHeight="false" outlineLevel="0" collapsed="false">
      <c r="A24" s="97" t="s">
        <v>878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02"/>
      <c r="AP24" s="65" t="n">
        <f aca="false">AP23+1</f>
        <v>18</v>
      </c>
    </row>
    <row r="25" customFormat="false" ht="12.75" hidden="false" customHeight="false" outlineLevel="0" collapsed="false">
      <c r="A25" s="37" t="s">
        <v>656</v>
      </c>
      <c r="B25" s="39"/>
      <c r="C25" s="39"/>
      <c r="D25" s="39"/>
      <c r="E25" s="99" t="n">
        <v>0</v>
      </c>
      <c r="F25" s="61" t="n">
        <f aca="false">E30</f>
        <v>0</v>
      </c>
      <c r="G25" s="61" t="n">
        <f aca="false">F30</f>
        <v>0</v>
      </c>
      <c r="H25" s="61" t="n">
        <f aca="false">G30</f>
        <v>0</v>
      </c>
      <c r="I25" s="61" t="n">
        <f aca="false">H30</f>
        <v>0</v>
      </c>
      <c r="J25" s="61" t="n">
        <f aca="false">I30</f>
        <v>0</v>
      </c>
      <c r="K25" s="61" t="n">
        <f aca="false">J30</f>
        <v>0</v>
      </c>
      <c r="L25" s="61" t="n">
        <f aca="false">K30</f>
        <v>0</v>
      </c>
      <c r="M25" s="61" t="n">
        <f aca="false">L30</f>
        <v>0</v>
      </c>
      <c r="N25" s="61" t="n">
        <f aca="false">M30</f>
        <v>0</v>
      </c>
      <c r="O25" s="61" t="n">
        <f aca="false">N30</f>
        <v>0</v>
      </c>
      <c r="P25" s="61" t="n">
        <f aca="false">O30</f>
        <v>0</v>
      </c>
      <c r="Q25" s="61" t="n">
        <f aca="false">P30</f>
        <v>0</v>
      </c>
      <c r="R25" s="61" t="n">
        <f aca="false">Q30</f>
        <v>0</v>
      </c>
      <c r="S25" s="61" t="n">
        <f aca="false">R30</f>
        <v>0</v>
      </c>
      <c r="T25" s="61" t="n">
        <f aca="false">S30</f>
        <v>0</v>
      </c>
      <c r="U25" s="61" t="n">
        <f aca="false">T30</f>
        <v>20000.3614467429</v>
      </c>
      <c r="V25" s="61" t="n">
        <f aca="false">U30</f>
        <v>25575.9123807242</v>
      </c>
      <c r="W25" s="61" t="n">
        <f aca="false">V30</f>
        <v>25722.0604514712</v>
      </c>
      <c r="X25" s="61" t="n">
        <f aca="false">W30</f>
        <v>31011.6950826225</v>
      </c>
      <c r="Y25" s="61" t="n">
        <f aca="false">X30</f>
        <v>39813.4761973804</v>
      </c>
      <c r="Z25" s="61" t="n">
        <f aca="false">Y30</f>
        <v>44691.4419995742</v>
      </c>
      <c r="AA25" s="61" t="n">
        <f aca="false">Z30</f>
        <v>49597.2818920664</v>
      </c>
      <c r="AB25" s="61" t="n">
        <f aca="false">AA30</f>
        <v>54531.1551553728</v>
      </c>
      <c r="AC25" s="61" t="n">
        <f aca="false">AB30</f>
        <v>59493.2219801838</v>
      </c>
      <c r="AD25" s="61" t="n">
        <f aca="false">AC30</f>
        <v>64483.6434725651</v>
      </c>
      <c r="AE25" s="61" t="n">
        <f aca="false">AD30</f>
        <v>69502.5816591887</v>
      </c>
      <c r="AF25" s="61" t="n">
        <f aca="false">AE30</f>
        <v>54493.05663545</v>
      </c>
      <c r="AG25" s="61" t="n">
        <f aca="false">AF30</f>
        <v>65106.9040972809</v>
      </c>
      <c r="AH25" s="61" t="n">
        <f aca="false">AG30</f>
        <v>70129.4037731885</v>
      </c>
      <c r="AI25" s="61" t="n">
        <f aca="false">AH30</f>
        <v>0</v>
      </c>
      <c r="AJ25" s="61" t="n">
        <f aca="false">AI30</f>
        <v>0</v>
      </c>
      <c r="AK25" s="61" t="n">
        <f aca="false">AJ30</f>
        <v>0</v>
      </c>
      <c r="AL25" s="61" t="n">
        <f aca="false">AK30</f>
        <v>0</v>
      </c>
      <c r="AM25" s="61" t="n">
        <f aca="false">AL30</f>
        <v>0</v>
      </c>
      <c r="AN25" s="61" t="n">
        <f aca="false">AM30</f>
        <v>0</v>
      </c>
      <c r="AO25" s="309" t="n">
        <f aca="false">E25</f>
        <v>0</v>
      </c>
      <c r="AP25" s="65" t="n">
        <f aca="false">AP24+1</f>
        <v>19</v>
      </c>
    </row>
    <row r="26" customFormat="false" ht="13.5" hidden="false" customHeight="true" outlineLevel="0" collapsed="false">
      <c r="A26" s="37" t="s">
        <v>879</v>
      </c>
      <c r="B26" s="39"/>
      <c r="C26" s="39"/>
      <c r="D26" s="39"/>
      <c r="E26" s="61" t="n">
        <f aca="false">IF(E$7=Fin_Close,-E25,0)</f>
        <v>0</v>
      </c>
      <c r="F26" s="61" t="n">
        <f aca="false">IF(F$7=Fin_Close,-F25,0)</f>
        <v>0</v>
      </c>
      <c r="G26" s="61" t="n">
        <f aca="false">IF(G$7=Fin_Close,-G25,0)</f>
        <v>0</v>
      </c>
      <c r="H26" s="61" t="n">
        <f aca="false">IF(H$7=Fin_Close,-H25,0)</f>
        <v>0</v>
      </c>
      <c r="I26" s="61" t="n">
        <f aca="false">IF(I$7=Fin_Close,-I25,0)</f>
        <v>0</v>
      </c>
      <c r="J26" s="61" t="n">
        <f aca="false">IF(J$7=Fin_Close,-J25,0)</f>
        <v>0</v>
      </c>
      <c r="K26" s="61" t="n">
        <f aca="false">IF(K$7=Fin_Close,-K25,0)</f>
        <v>0</v>
      </c>
      <c r="L26" s="61" t="n">
        <f aca="false">IF(L$7=Fin_Close,-L25,0)</f>
        <v>0</v>
      </c>
      <c r="M26" s="61" t="n">
        <f aca="false">IF(M$7=Fin_Close,-M25,0)</f>
        <v>0</v>
      </c>
      <c r="N26" s="61" t="n">
        <f aca="false">IF(N$7=Fin_Close,-N25,0)</f>
        <v>0</v>
      </c>
      <c r="O26" s="61" t="n">
        <f aca="false">IF(O$7=Fin_Close,-O25,0)</f>
        <v>0</v>
      </c>
      <c r="P26" s="61" t="n">
        <f aca="false">IF(P$7=Fin_Close,-P25,0)</f>
        <v>0</v>
      </c>
      <c r="Q26" s="61" t="n">
        <f aca="false">IF(Q$7=Fin_Close,-Q25,0)</f>
        <v>0</v>
      </c>
      <c r="R26" s="61" t="n">
        <f aca="false">IF(R$7=Fin_Close,-R25,0)</f>
        <v>0</v>
      </c>
      <c r="S26" s="61" t="n">
        <f aca="false">IF(S$7=Fin_Close,-S25,0)</f>
        <v>0</v>
      </c>
      <c r="T26" s="61" t="n">
        <f aca="false">IF(T$7=Fin_Close,-T25,0)</f>
        <v>0</v>
      </c>
      <c r="U26" s="61" t="n">
        <f aca="false">IF(U$7=Fin_Close,-U25,0)</f>
        <v>0</v>
      </c>
      <c r="V26" s="61" t="n">
        <f aca="false">IF(V$7=Fin_Close,-V25,0)</f>
        <v>0</v>
      </c>
      <c r="W26" s="61" t="n">
        <f aca="false">IF(W$7=Fin_Close,-W25,0)</f>
        <v>0</v>
      </c>
      <c r="X26" s="61" t="n">
        <f aca="false">IF(X$7=Fin_Close,-X25,0)</f>
        <v>0</v>
      </c>
      <c r="Y26" s="61" t="n">
        <f aca="false">IF(Y$7=Fin_Close,-Y25,0)</f>
        <v>0</v>
      </c>
      <c r="Z26" s="61" t="n">
        <f aca="false">IF(Z$7=Fin_Close,-Z25,0)</f>
        <v>0</v>
      </c>
      <c r="AA26" s="61" t="n">
        <f aca="false">IF(AA$7=Fin_Close,-AA25,0)</f>
        <v>0</v>
      </c>
      <c r="AB26" s="61" t="n">
        <f aca="false">IF(AB$7=Fin_Close,-AB25,0)</f>
        <v>0</v>
      </c>
      <c r="AC26" s="61" t="n">
        <f aca="false">IF(AC$7=Fin_Close,-AC25,0)</f>
        <v>0</v>
      </c>
      <c r="AD26" s="61" t="n">
        <f aca="false">IF(AD$7=Fin_Close,-AD25,0)</f>
        <v>0</v>
      </c>
      <c r="AE26" s="61" t="n">
        <f aca="false">IF(AE$7=Fin_Close,-AE25,0)</f>
        <v>0</v>
      </c>
      <c r="AF26" s="61" t="n">
        <f aca="false">IF(AF$7=Fin_Close,-AF25,0)</f>
        <v>0</v>
      </c>
      <c r="AG26" s="61" t="n">
        <f aca="false">IF(AG$7=Fin_Close,-AG25,0)</f>
        <v>0</v>
      </c>
      <c r="AH26" s="61" t="n">
        <f aca="false">IF(AH$7=Fin_Close,-AH25,0)</f>
        <v>-70129.4037731885</v>
      </c>
      <c r="AI26" s="61" t="n">
        <f aca="false">IF(AI$7=Fin_Close,-AI25,0)</f>
        <v>0</v>
      </c>
      <c r="AJ26" s="61" t="n">
        <f aca="false">IF(AJ$7=Fin_Close,-AJ25,0)</f>
        <v>0</v>
      </c>
      <c r="AK26" s="61" t="n">
        <f aca="false">IF(AK$7=Fin_Close,-AK25,0)</f>
        <v>0</v>
      </c>
      <c r="AL26" s="61" t="n">
        <f aca="false">IF(AL$7=Fin_Close,-AL25,0)</f>
        <v>0</v>
      </c>
      <c r="AM26" s="61" t="n">
        <f aca="false">IF(AM$7=Fin_Close,-AM25,0)</f>
        <v>0</v>
      </c>
      <c r="AN26" s="61" t="n">
        <f aca="false">IF(AN$7=Fin_Close,-AN25,0)</f>
        <v>0</v>
      </c>
      <c r="AO26" s="309" t="n">
        <f aca="false">SUM(E26:AN26)</f>
        <v>-70129.4037731885</v>
      </c>
      <c r="AP26" s="65" t="n">
        <f aca="false">AP25+1</f>
        <v>20</v>
      </c>
    </row>
    <row r="27" customFormat="false" ht="13.5" hidden="false" customHeight="true" outlineLevel="0" collapsed="false">
      <c r="A27" s="37" t="s">
        <v>875</v>
      </c>
      <c r="B27" s="39"/>
      <c r="C27" s="39"/>
      <c r="D27" s="39"/>
      <c r="E27" s="61" t="n">
        <f aca="false">IF(E$7&lt;Fin_Close,E17-E64,0)</f>
        <v>0</v>
      </c>
      <c r="F27" s="61" t="n">
        <f aca="false">IF(F$7&lt;Fin_Close,F17-F64,0)</f>
        <v>0</v>
      </c>
      <c r="G27" s="61" t="n">
        <f aca="false">IF(G$7&lt;Fin_Close,G17-G64,0)</f>
        <v>0</v>
      </c>
      <c r="H27" s="61" t="n">
        <f aca="false">IF(H$7&lt;Fin_Close,H17-H64,0)</f>
        <v>0</v>
      </c>
      <c r="I27" s="61" t="n">
        <f aca="false">IF(I$7&lt;Fin_Close,I17-I64,0)</f>
        <v>0</v>
      </c>
      <c r="J27" s="61" t="n">
        <f aca="false">IF(J$7&lt;Fin_Close,J17-J64,0)</f>
        <v>0</v>
      </c>
      <c r="K27" s="61" t="n">
        <f aca="false">IF(K$7&lt;Fin_Close,K17-K64,0)</f>
        <v>0</v>
      </c>
      <c r="L27" s="61" t="n">
        <f aca="false">IF(L$7&lt;Fin_Close,L17-L64,0)</f>
        <v>0</v>
      </c>
      <c r="M27" s="61" t="n">
        <f aca="false">IF(M$7&lt;Fin_Close,M17-M64,0)</f>
        <v>0</v>
      </c>
      <c r="N27" s="61" t="n">
        <f aca="false">IF(N$7&lt;Fin_Close,N17-N64,0)</f>
        <v>0</v>
      </c>
      <c r="O27" s="61" t="n">
        <f aca="false">IF(O$7&lt;Fin_Close,O17-O64,0)</f>
        <v>0</v>
      </c>
      <c r="P27" s="61" t="n">
        <f aca="false">IF(P$7&lt;Fin_Close,P17-P64,0)</f>
        <v>0</v>
      </c>
      <c r="Q27" s="61" t="n">
        <f aca="false">IF(Q$7&lt;Fin_Close,Q17-Q64,0)</f>
        <v>0</v>
      </c>
      <c r="R27" s="61" t="n">
        <f aca="false">IF(R$7&lt;Fin_Close,R17-R64,0)</f>
        <v>0</v>
      </c>
      <c r="S27" s="61" t="n">
        <f aca="false">IF(S$7&lt;Fin_Close,S17-S64,0)</f>
        <v>0</v>
      </c>
      <c r="T27" s="61" t="n">
        <f aca="false">IF(T$7&lt;Fin_Close,T17-T64,0)</f>
        <v>19943.38036</v>
      </c>
      <c r="U27" s="61" t="n">
        <f aca="false">IF(U$7&lt;Fin_Close,U17-U64,0)</f>
        <v>5445.704</v>
      </c>
      <c r="V27" s="61" t="n">
        <f aca="false">IF(V$7&lt;Fin_Close,V17-V64,0)</f>
        <v>0</v>
      </c>
      <c r="W27" s="61" t="n">
        <f aca="false">IF(W$7&lt;Fin_Close,W17-W64,0)</f>
        <v>5128</v>
      </c>
      <c r="X27" s="61" t="n">
        <f aca="false">IF(X$7&lt;Fin_Close,X17-X64,0)</f>
        <v>8600</v>
      </c>
      <c r="Y27" s="61" t="n">
        <f aca="false">IF(Y$7&lt;Fin_Close,Y17-Y64,0)</f>
        <v>4637.21104949602</v>
      </c>
      <c r="Z27" s="61" t="n">
        <f aca="false">IF(Z$7&lt;Fin_Close,Z17-Z64,0)</f>
        <v>4637.21104949602</v>
      </c>
      <c r="AA27" s="61" t="n">
        <f aca="false">IF(AA$7&lt;Fin_Close,AA17-AA64,0)</f>
        <v>4637.21104949602</v>
      </c>
      <c r="AB27" s="61" t="n">
        <f aca="false">IF(AB$7&lt;Fin_Close,AB17-AB64,0)</f>
        <v>4637.21104949602</v>
      </c>
      <c r="AC27" s="61" t="n">
        <f aca="false">IF(AC$7&lt;Fin_Close,AC17-AC64,0)</f>
        <v>4637.21104949602</v>
      </c>
      <c r="AD27" s="61" t="n">
        <f aca="false">IF(AD$7&lt;Fin_Close,AD17-AD64,0)</f>
        <v>4637.21104949602</v>
      </c>
      <c r="AE27" s="61" t="n">
        <f aca="false">IF(AE$7&lt;Fin_Close,AE17-AE64,0)</f>
        <v>-15362.788950504</v>
      </c>
      <c r="AF27" s="61" t="n">
        <f aca="false">IF(AF$7&lt;Fin_Close,AF17-AF64,0)</f>
        <v>10273.1068329627</v>
      </c>
      <c r="AG27" s="61" t="n">
        <f aca="false">IF(AG$7&lt;Fin_Close,AG17-AG64,0)</f>
        <v>4637.21104949602</v>
      </c>
      <c r="AH27" s="61" t="n">
        <f aca="false">IF(AH$7&lt;Fin_Close,AH17-AH64,0)</f>
        <v>0</v>
      </c>
      <c r="AI27" s="61" t="n">
        <f aca="false">IF(AI$7&lt;Fin_Close,AI17-AI64,0)</f>
        <v>0</v>
      </c>
      <c r="AJ27" s="61" t="n">
        <f aca="false">IF(AJ$7&lt;Fin_Close,AJ17-AJ64,0)</f>
        <v>0</v>
      </c>
      <c r="AK27" s="61" t="n">
        <f aca="false">IF(AK$7&lt;Fin_Close,AK17-AK64,0)</f>
        <v>0</v>
      </c>
      <c r="AL27" s="61" t="n">
        <f aca="false">IF(AL$7&lt;Fin_Close,AL17-AL64,0)</f>
        <v>0</v>
      </c>
      <c r="AM27" s="61" t="n">
        <f aca="false">IF(AM$7&lt;Fin_Close,AM17-AM64,0)</f>
        <v>0</v>
      </c>
      <c r="AN27" s="61" t="n">
        <f aca="false">IF(AN$7&lt;Fin_Close,AN17-AN64,0)</f>
        <v>0</v>
      </c>
      <c r="AO27" s="309" t="n">
        <f aca="false">SUM(E27:AN27)</f>
        <v>66487.8795889309</v>
      </c>
      <c r="AP27" s="65" t="n">
        <f aca="false">AP26+1</f>
        <v>21</v>
      </c>
    </row>
    <row r="28" customFormat="false" ht="12.75" hidden="false" customHeight="false" outlineLevel="0" collapsed="false">
      <c r="A28" s="37" t="s">
        <v>880</v>
      </c>
      <c r="B28" s="39"/>
      <c r="C28" s="39"/>
      <c r="D28" s="39"/>
      <c r="E28" s="61" t="n">
        <f aca="false">IF(E$7&lt;Fin_Close,E18-E65,0)</f>
        <v>0</v>
      </c>
      <c r="F28" s="61" t="n">
        <f aca="false">IF(F$7&lt;Fin_Close,F18-F65,0)</f>
        <v>0</v>
      </c>
      <c r="G28" s="61" t="n">
        <f aca="false">IF(G$7&lt;Fin_Close,G18-G65,0)</f>
        <v>0</v>
      </c>
      <c r="H28" s="61" t="n">
        <f aca="false">IF(H$7&lt;Fin_Close,H18-H65,0)</f>
        <v>0</v>
      </c>
      <c r="I28" s="61" t="n">
        <f aca="false">IF(I$7&lt;Fin_Close,I18-I65,0)</f>
        <v>0</v>
      </c>
      <c r="J28" s="61" t="n">
        <f aca="false">IF(J$7&lt;Fin_Close,J18-J65,0)</f>
        <v>0</v>
      </c>
      <c r="K28" s="61" t="n">
        <f aca="false">IF(K$7&lt;Fin_Close,K18-K65,0)</f>
        <v>0</v>
      </c>
      <c r="L28" s="61" t="n">
        <f aca="false">IF(L$7&lt;Fin_Close,L18-L65,0)</f>
        <v>0</v>
      </c>
      <c r="M28" s="61" t="n">
        <f aca="false">IF(M$7&lt;Fin_Close,M18-M65,0)</f>
        <v>0</v>
      </c>
      <c r="N28" s="61" t="n">
        <f aca="false">IF(N$7&lt;Fin_Close,N18-N65,0)</f>
        <v>0</v>
      </c>
      <c r="O28" s="61" t="n">
        <f aca="false">IF(O$7&lt;Fin_Close,O18-O65,0)</f>
        <v>0</v>
      </c>
      <c r="P28" s="61" t="n">
        <f aca="false">IF(P$7&lt;Fin_Close,P18-P65,0)</f>
        <v>0</v>
      </c>
      <c r="Q28" s="61" t="n">
        <f aca="false">IF(Q$7&lt;Fin_Close,Q18-Q65,0)</f>
        <v>0</v>
      </c>
      <c r="R28" s="61" t="n">
        <f aca="false">IF(R$7&lt;Fin_Close,R18-R65,0)</f>
        <v>0</v>
      </c>
      <c r="S28" s="61" t="n">
        <f aca="false">IF(S$7&lt;Fin_Close,S18-S65,0)</f>
        <v>0</v>
      </c>
      <c r="T28" s="61" t="n">
        <f aca="false">IF(T$7&lt;Fin_Close,T18-T65,0)</f>
        <v>49.8584509</v>
      </c>
      <c r="U28" s="61" t="n">
        <f aca="false">IF(U$7&lt;Fin_Close,U18-U65,0)</f>
        <v>113.616067233714</v>
      </c>
      <c r="V28" s="61" t="n">
        <f aca="false">IF(V$7&lt;Fin_Close,V18-V65,0)</f>
        <v>127.879561903621</v>
      </c>
      <c r="W28" s="61" t="n">
        <f aca="false">IF(W$7&lt;Fin_Close,W18-W65,0)</f>
        <v>141.430302257356</v>
      </c>
      <c r="X28" s="61" t="n">
        <f aca="false">IF(X$7&lt;Fin_Close,X18-X65,0)</f>
        <v>176.558475413113</v>
      </c>
      <c r="Y28" s="61" t="n">
        <f aca="false">IF(Y$7&lt;Fin_Close,Y18-Y65,0)</f>
        <v>210.660408610642</v>
      </c>
      <c r="Z28" s="61" t="n">
        <f aca="false">IF(Z$7&lt;Fin_Close,Z18-Z65,0)</f>
        <v>235.050237621611</v>
      </c>
      <c r="AA28" s="61" t="n">
        <f aca="false">IF(AA$7&lt;Fin_Close,AA18-AA65,0)</f>
        <v>259.579437084072</v>
      </c>
      <c r="AB28" s="61" t="n">
        <f aca="false">IF(AB$7&lt;Fin_Close,AB18-AB65,0)</f>
        <v>284.248803400604</v>
      </c>
      <c r="AC28" s="61" t="n">
        <f aca="false">IF(AC$7&lt;Fin_Close,AC18-AC65,0)</f>
        <v>309.059137524659</v>
      </c>
      <c r="AD28" s="61" t="n">
        <f aca="false">IF(AD$7&lt;Fin_Close,AD18-AD65,0)</f>
        <v>334.011244986566</v>
      </c>
      <c r="AE28" s="61" t="n">
        <f aca="false">IF(AE$7&lt;Fin_Close,AE18-AE65,0)</f>
        <v>309.105935919683</v>
      </c>
      <c r="AF28" s="61" t="n">
        <f aca="false">IF(AF$7&lt;Fin_Close,AF18-AF65,0)</f>
        <v>298.148050259657</v>
      </c>
      <c r="AG28" s="61" t="n">
        <f aca="false">IF(AG$7&lt;Fin_Close,AG18-AG65,0)</f>
        <v>337.127548110144</v>
      </c>
      <c r="AH28" s="61" t="n">
        <f aca="false">IF(AH$7&lt;Fin_Close,AH18-AH65,0)</f>
        <v>0</v>
      </c>
      <c r="AI28" s="61" t="n">
        <f aca="false">IF(AI$7&lt;Fin_Close,AI18-AI65,0)</f>
        <v>0</v>
      </c>
      <c r="AJ28" s="61" t="n">
        <f aca="false">IF(AJ$7&lt;Fin_Close,AJ18-AJ65,0)</f>
        <v>0</v>
      </c>
      <c r="AK28" s="61" t="n">
        <f aca="false">IF(AK$7&lt;Fin_Close,AK18-AK65,0)</f>
        <v>0</v>
      </c>
      <c r="AL28" s="61" t="n">
        <f aca="false">IF(AL$7&lt;Fin_Close,AL18-AL65,0)</f>
        <v>0</v>
      </c>
      <c r="AM28" s="61" t="n">
        <f aca="false">IF(AM$7&lt;Fin_Close,AM18-AM65,0)</f>
        <v>0</v>
      </c>
      <c r="AN28" s="61" t="n">
        <f aca="false">IF(AN$7&lt;Fin_Close,AN18-AN65,0)</f>
        <v>0</v>
      </c>
      <c r="AO28" s="309" t="n">
        <f aca="false">SUM(E28:AN28)</f>
        <v>3186.33366122544</v>
      </c>
      <c r="AP28" s="65" t="n">
        <f aca="false">AP27+1</f>
        <v>22</v>
      </c>
      <c r="AQ28" s="19"/>
    </row>
    <row r="29" customFormat="false" ht="12.75" hidden="false" customHeight="false" outlineLevel="0" collapsed="false">
      <c r="A29" s="37" t="s">
        <v>881</v>
      </c>
      <c r="B29" s="39"/>
      <c r="C29" s="39"/>
      <c r="D29" s="39"/>
      <c r="E29" s="311" t="n">
        <f aca="false">IF(E$7&lt;Fin_Close,E19-E66,0)</f>
        <v>0</v>
      </c>
      <c r="F29" s="311" t="n">
        <f aca="false">IF(F$7&lt;Fin_Close,F19-F66,0)</f>
        <v>0</v>
      </c>
      <c r="G29" s="311" t="n">
        <f aca="false">IF(G$7&lt;Fin_Close,G19-G66,0)</f>
        <v>0</v>
      </c>
      <c r="H29" s="311" t="n">
        <f aca="false">IF(H$7&lt;Fin_Close,H19-H66,0)</f>
        <v>0</v>
      </c>
      <c r="I29" s="311" t="n">
        <f aca="false">IF(I$7&lt;Fin_Close,I19-I66,0)</f>
        <v>0</v>
      </c>
      <c r="J29" s="311" t="n">
        <f aca="false">IF(J$7&lt;Fin_Close,J19-J66,0)</f>
        <v>0</v>
      </c>
      <c r="K29" s="311" t="n">
        <f aca="false">IF(K$7&lt;Fin_Close,K19-K66,0)</f>
        <v>0</v>
      </c>
      <c r="L29" s="311" t="n">
        <f aca="false">IF(L$7&lt;Fin_Close,L19-L66,0)</f>
        <v>0</v>
      </c>
      <c r="M29" s="311" t="n">
        <f aca="false">IF(M$7&lt;Fin_Close,M19-M66,0)</f>
        <v>0</v>
      </c>
      <c r="N29" s="311" t="n">
        <f aca="false">IF(N$7&lt;Fin_Close,N19-N66,0)</f>
        <v>0</v>
      </c>
      <c r="O29" s="311" t="n">
        <f aca="false">IF(O$7&lt;Fin_Close,O19-O66,0)</f>
        <v>0</v>
      </c>
      <c r="P29" s="311" t="n">
        <f aca="false">IF(P$7&lt;Fin_Close,P19-P66,0)</f>
        <v>0</v>
      </c>
      <c r="Q29" s="311" t="n">
        <f aca="false">IF(Q$7&lt;Fin_Close,Q19-Q66,0)</f>
        <v>0</v>
      </c>
      <c r="R29" s="311" t="n">
        <f aca="false">IF(R$7&lt;Fin_Close,R19-R66,0)</f>
        <v>0</v>
      </c>
      <c r="S29" s="311" t="n">
        <f aca="false">IF(S$7&lt;Fin_Close,S19-S66,0)</f>
        <v>0</v>
      </c>
      <c r="T29" s="311" t="n">
        <f aca="false">IF(T$7&lt;Fin_Close,T19-T66,0)</f>
        <v>7.12263584285714</v>
      </c>
      <c r="U29" s="311" t="n">
        <f aca="false">IF(U$7&lt;Fin_Close,U19-U66,0)</f>
        <v>16.2308667476735</v>
      </c>
      <c r="V29" s="311" t="n">
        <f aca="false">IF(V$7&lt;Fin_Close,V19-V66,0)</f>
        <v>18.2685088433745</v>
      </c>
      <c r="W29" s="311" t="n">
        <f aca="false">IF(W$7&lt;Fin_Close,W19-W66,0)</f>
        <v>20.204328893908</v>
      </c>
      <c r="X29" s="311" t="n">
        <f aca="false">IF(X$7&lt;Fin_Close,X19-X66,0)</f>
        <v>25.2226393447304</v>
      </c>
      <c r="Y29" s="311" t="n">
        <f aca="false">IF(Y$7&lt;Fin_Close,Y19-Y66,0)</f>
        <v>30.0943440872345</v>
      </c>
      <c r="Z29" s="311" t="n">
        <f aca="false">IF(Z$7&lt;Fin_Close,Z19-Z66,0)</f>
        <v>33.5786053745159</v>
      </c>
      <c r="AA29" s="311" t="n">
        <f aca="false">IF(AA$7&lt;Fin_Close,AA19-AA66,0)</f>
        <v>37.082776726296</v>
      </c>
      <c r="AB29" s="311" t="n">
        <f aca="false">IF(AB$7&lt;Fin_Close,AB19-AB66,0)</f>
        <v>40.606971914372</v>
      </c>
      <c r="AC29" s="311" t="n">
        <f aca="false">IF(AC$7&lt;Fin_Close,AC19-AC66,0)</f>
        <v>44.1513053606656</v>
      </c>
      <c r="AD29" s="311" t="n">
        <f aca="false">IF(AD$7&lt;Fin_Close,AD19-AD66,0)</f>
        <v>47.7158921409379</v>
      </c>
      <c r="AE29" s="311" t="n">
        <f aca="false">IF(AE$7&lt;Fin_Close,AE19-AE66,0)</f>
        <v>44.157990845669</v>
      </c>
      <c r="AF29" s="311" t="n">
        <f aca="false">IF(AF$7&lt;Fin_Close,AF19-AF66,0)</f>
        <v>42.5925786085224</v>
      </c>
      <c r="AG29" s="311" t="n">
        <f aca="false">IF(AG$7&lt;Fin_Close,AG19-AG66,0)</f>
        <v>48.1610783014492</v>
      </c>
      <c r="AH29" s="311" t="n">
        <f aca="false">IF(AH$7&lt;Fin_Close,AH19-AH66,0)</f>
        <v>0</v>
      </c>
      <c r="AI29" s="311" t="n">
        <f aca="false">IF(AI$7&lt;Fin_Close,AI19-AI66,0)</f>
        <v>0</v>
      </c>
      <c r="AJ29" s="311" t="n">
        <f aca="false">IF(AJ$7&lt;Fin_Close,AJ19-AJ66,0)</f>
        <v>0</v>
      </c>
      <c r="AK29" s="311" t="n">
        <f aca="false">IF(AK$7&lt;Fin_Close,AK19-AK66,0)</f>
        <v>0</v>
      </c>
      <c r="AL29" s="311" t="n">
        <f aca="false">IF(AL$7&lt;Fin_Close,AL19-AL66,0)</f>
        <v>0</v>
      </c>
      <c r="AM29" s="311" t="n">
        <f aca="false">IF(AM$7&lt;Fin_Close,AM19-AM66,0)</f>
        <v>0</v>
      </c>
      <c r="AN29" s="311" t="n">
        <f aca="false">IF(AN$7&lt;Fin_Close,AN19-AN66,0)</f>
        <v>0</v>
      </c>
      <c r="AO29" s="313" t="n">
        <f aca="false">SUM(E29:AN29)</f>
        <v>455.190523032206</v>
      </c>
      <c r="AP29" s="65" t="n">
        <f aca="false">AP28+1</f>
        <v>23</v>
      </c>
      <c r="AQ29" s="19"/>
    </row>
    <row r="30" customFormat="false" ht="12.75" hidden="false" customHeight="false" outlineLevel="0" collapsed="false">
      <c r="A30" s="37" t="s">
        <v>660</v>
      </c>
      <c r="B30" s="39"/>
      <c r="C30" s="39"/>
      <c r="D30" s="39"/>
      <c r="E30" s="61" t="n">
        <f aca="false">SUM(E25:E29)</f>
        <v>0</v>
      </c>
      <c r="F30" s="61" t="n">
        <f aca="false">SUM(F25:F29)</f>
        <v>0</v>
      </c>
      <c r="G30" s="61" t="n">
        <f aca="false">SUM(G25:G29)</f>
        <v>0</v>
      </c>
      <c r="H30" s="61" t="n">
        <f aca="false">SUM(H25:H29)</f>
        <v>0</v>
      </c>
      <c r="I30" s="61" t="n">
        <f aca="false">SUM(I25:I29)</f>
        <v>0</v>
      </c>
      <c r="J30" s="61" t="n">
        <f aca="false">SUM(J25:J29)</f>
        <v>0</v>
      </c>
      <c r="K30" s="61" t="n">
        <f aca="false">SUM(K25:K29)</f>
        <v>0</v>
      </c>
      <c r="L30" s="61" t="n">
        <f aca="false">SUM(L25:L29)</f>
        <v>0</v>
      </c>
      <c r="M30" s="61" t="n">
        <f aca="false">SUM(M25:M29)</f>
        <v>0</v>
      </c>
      <c r="N30" s="61" t="n">
        <f aca="false">SUM(N25:N29)</f>
        <v>0</v>
      </c>
      <c r="O30" s="61" t="n">
        <f aca="false">SUM(O25:O29)</f>
        <v>0</v>
      </c>
      <c r="P30" s="61" t="n">
        <f aca="false">SUM(P25:P29)</f>
        <v>0</v>
      </c>
      <c r="Q30" s="61" t="n">
        <f aca="false">SUM(Q25:Q29)</f>
        <v>0</v>
      </c>
      <c r="R30" s="61" t="n">
        <f aca="false">SUM(R25:R29)</f>
        <v>0</v>
      </c>
      <c r="S30" s="61" t="n">
        <f aca="false">SUM(S25:S29)</f>
        <v>0</v>
      </c>
      <c r="T30" s="61" t="n">
        <f aca="false">SUM(T25:T29)</f>
        <v>20000.3614467429</v>
      </c>
      <c r="U30" s="61" t="n">
        <f aca="false">SUM(U25:U29)</f>
        <v>25575.9123807242</v>
      </c>
      <c r="V30" s="61" t="n">
        <f aca="false">SUM(V25:V29)</f>
        <v>25722.0604514712</v>
      </c>
      <c r="W30" s="61" t="n">
        <f aca="false">SUM(W25:W29)</f>
        <v>31011.6950826225</v>
      </c>
      <c r="X30" s="61" t="n">
        <f aca="false">SUM(X25:X29)</f>
        <v>39813.4761973804</v>
      </c>
      <c r="Y30" s="61" t="n">
        <f aca="false">SUM(Y25:Y29)</f>
        <v>44691.4419995742</v>
      </c>
      <c r="Z30" s="61" t="n">
        <f aca="false">SUM(Z25:Z29)</f>
        <v>49597.2818920664</v>
      </c>
      <c r="AA30" s="61" t="n">
        <f aca="false">SUM(AA25:AA29)</f>
        <v>54531.1551553728</v>
      </c>
      <c r="AB30" s="61" t="n">
        <f aca="false">SUM(AB25:AB29)</f>
        <v>59493.2219801838</v>
      </c>
      <c r="AC30" s="61" t="n">
        <f aca="false">SUM(AC25:AC29)</f>
        <v>64483.6434725651</v>
      </c>
      <c r="AD30" s="61" t="n">
        <f aca="false">SUM(AD25:AD29)</f>
        <v>69502.5816591887</v>
      </c>
      <c r="AE30" s="61" t="n">
        <f aca="false">SUM(AE25:AE29)</f>
        <v>54493.05663545</v>
      </c>
      <c r="AF30" s="61" t="n">
        <f aca="false">SUM(AF25:AF29)</f>
        <v>65106.9040972809</v>
      </c>
      <c r="AG30" s="61" t="n">
        <f aca="false">SUM(AG25:AG29)</f>
        <v>70129.4037731885</v>
      </c>
      <c r="AH30" s="61" t="n">
        <f aca="false">SUM(AH25:AH29)</f>
        <v>0</v>
      </c>
      <c r="AI30" s="61" t="n">
        <f aca="false">SUM(AI25:AI29)</f>
        <v>0</v>
      </c>
      <c r="AJ30" s="61" t="n">
        <f aca="false">SUM(AJ25:AJ29)</f>
        <v>0</v>
      </c>
      <c r="AK30" s="61" t="n">
        <f aca="false">SUM(AK25:AK29)</f>
        <v>0</v>
      </c>
      <c r="AL30" s="61" t="n">
        <f aca="false">SUM(AL25:AL29)</f>
        <v>0</v>
      </c>
      <c r="AM30" s="61" t="n">
        <f aca="false">SUM(AM25:AM29)</f>
        <v>0</v>
      </c>
      <c r="AN30" s="61" t="n">
        <f aca="false">SUM(AN25:AN29)</f>
        <v>0</v>
      </c>
      <c r="AO30" s="309" t="n">
        <f aca="false">SUM(AO25:AO29)</f>
        <v>-2.55795384873636E-012</v>
      </c>
      <c r="AP30" s="65" t="n">
        <f aca="false">AP29+1</f>
        <v>24</v>
      </c>
    </row>
    <row r="31" customFormat="false" ht="12.75" hidden="false" customHeight="false" outlineLevel="0" collapsed="false">
      <c r="A31" s="37"/>
      <c r="B31" s="39"/>
      <c r="C31" s="39"/>
      <c r="D31" s="3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329"/>
      <c r="Y31" s="329"/>
      <c r="Z31" s="329"/>
      <c r="AA31" s="329"/>
      <c r="AB31" s="329"/>
      <c r="AC31" s="329"/>
      <c r="AD31" s="329"/>
      <c r="AE31" s="329"/>
      <c r="AF31" s="329"/>
      <c r="AG31" s="329"/>
      <c r="AH31" s="329"/>
      <c r="AI31" s="329"/>
      <c r="AJ31" s="329"/>
      <c r="AK31" s="329"/>
      <c r="AL31" s="329"/>
      <c r="AM31" s="329"/>
      <c r="AN31" s="329"/>
      <c r="AO31" s="302"/>
      <c r="AP31" s="65" t="n">
        <f aca="false">AP30+1</f>
        <v>25</v>
      </c>
    </row>
    <row r="32" customFormat="false" ht="12.75" hidden="false" customHeight="false" outlineLevel="0" collapsed="false">
      <c r="A32" s="97" t="s">
        <v>265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02"/>
      <c r="AP32" s="65" t="n">
        <f aca="false">AP31+1</f>
        <v>26</v>
      </c>
    </row>
    <row r="33" customFormat="false" ht="12.75" hidden="false" customHeight="false" outlineLevel="0" collapsed="false">
      <c r="A33" s="37" t="s">
        <v>656</v>
      </c>
      <c r="B33" s="39"/>
      <c r="C33" s="39"/>
      <c r="D33" s="39"/>
      <c r="E33" s="99" t="n">
        <v>0</v>
      </c>
      <c r="F33" s="61" t="n">
        <f aca="false">E38</f>
        <v>0</v>
      </c>
      <c r="G33" s="61" t="n">
        <f aca="false">F38</f>
        <v>0</v>
      </c>
      <c r="H33" s="61" t="n">
        <f aca="false">G38</f>
        <v>0</v>
      </c>
      <c r="I33" s="61" t="n">
        <f aca="false">H38</f>
        <v>0</v>
      </c>
      <c r="J33" s="61" t="n">
        <f aca="false">I38</f>
        <v>0</v>
      </c>
      <c r="K33" s="61" t="n">
        <f aca="false">J38</f>
        <v>0</v>
      </c>
      <c r="L33" s="61" t="n">
        <f aca="false">K38</f>
        <v>0</v>
      </c>
      <c r="M33" s="61" t="n">
        <f aca="false">L38</f>
        <v>0</v>
      </c>
      <c r="N33" s="61" t="n">
        <f aca="false">M38</f>
        <v>0</v>
      </c>
      <c r="O33" s="61" t="n">
        <f aca="false">N38</f>
        <v>0</v>
      </c>
      <c r="P33" s="61" t="n">
        <f aca="false">O38</f>
        <v>0</v>
      </c>
      <c r="Q33" s="61" t="n">
        <f aca="false">P38</f>
        <v>0</v>
      </c>
      <c r="R33" s="61" t="n">
        <f aca="false">Q38</f>
        <v>0</v>
      </c>
      <c r="S33" s="61" t="n">
        <f aca="false">R38</f>
        <v>0</v>
      </c>
      <c r="T33" s="61" t="n">
        <f aca="false">S38</f>
        <v>0</v>
      </c>
      <c r="U33" s="61" t="n">
        <f aca="false">T38</f>
        <v>0</v>
      </c>
      <c r="V33" s="61" t="n">
        <f aca="false">U38</f>
        <v>0</v>
      </c>
      <c r="W33" s="61" t="n">
        <f aca="false">V38</f>
        <v>0</v>
      </c>
      <c r="X33" s="61" t="n">
        <f aca="false">W38</f>
        <v>0</v>
      </c>
      <c r="Y33" s="61" t="n">
        <f aca="false">X38</f>
        <v>0</v>
      </c>
      <c r="Z33" s="61" t="n">
        <f aca="false">Y38</f>
        <v>0</v>
      </c>
      <c r="AA33" s="61" t="n">
        <f aca="false">Z38</f>
        <v>0</v>
      </c>
      <c r="AB33" s="61" t="n">
        <f aca="false">AA38</f>
        <v>0</v>
      </c>
      <c r="AC33" s="61" t="n">
        <f aca="false">AB38</f>
        <v>0</v>
      </c>
      <c r="AD33" s="61" t="n">
        <f aca="false">AC38</f>
        <v>0</v>
      </c>
      <c r="AE33" s="61" t="n">
        <f aca="false">AD38</f>
        <v>0</v>
      </c>
      <c r="AF33" s="61" t="n">
        <f aca="false">AE38</f>
        <v>0</v>
      </c>
      <c r="AG33" s="61" t="n">
        <f aca="false">AF38</f>
        <v>0</v>
      </c>
      <c r="AH33" s="61" t="n">
        <f aca="false">AG38</f>
        <v>0</v>
      </c>
      <c r="AI33" s="61" t="n">
        <f aca="false">AH38</f>
        <v>74880.8917035551</v>
      </c>
      <c r="AJ33" s="61" t="n">
        <f aca="false">AI38</f>
        <v>80118.6623674341</v>
      </c>
      <c r="AK33" s="61" t="n">
        <f aca="false">AJ38</f>
        <v>85402.7770393105</v>
      </c>
      <c r="AL33" s="61" t="n">
        <f aca="false">AK38</f>
        <v>91998.4974484965</v>
      </c>
      <c r="AM33" s="61" t="n">
        <f aca="false">AL38</f>
        <v>92850.706289633</v>
      </c>
      <c r="AN33" s="61" t="n">
        <f aca="false">AM38</f>
        <v>93710.4555092785</v>
      </c>
      <c r="AO33" s="309" t="n">
        <f aca="false">E33</f>
        <v>0</v>
      </c>
      <c r="AP33" s="65" t="n">
        <f aca="false">AP32+1</f>
        <v>27</v>
      </c>
    </row>
    <row r="34" customFormat="false" ht="13.5" hidden="false" customHeight="true" outlineLevel="0" collapsed="false">
      <c r="A34" s="37" t="s">
        <v>882</v>
      </c>
      <c r="B34" s="39"/>
      <c r="C34" s="39"/>
      <c r="D34" s="39"/>
      <c r="E34" s="61" t="n">
        <f aca="false">IF(E$7=Fin_Close,-E26*Debt_Perc/SUM(Debt_Perc,Subdebt_Perc),0)</f>
        <v>0</v>
      </c>
      <c r="F34" s="61" t="n">
        <f aca="false">IF(F$7=Fin_Close,-F26*Debt_Perc/SUM(Debt_Perc,Subdebt_Perc),0)</f>
        <v>0</v>
      </c>
      <c r="G34" s="61" t="n">
        <f aca="false">IF(G$7=Fin_Close,-G26*Debt_Perc/SUM(Debt_Perc,Subdebt_Perc),0)</f>
        <v>0</v>
      </c>
      <c r="H34" s="61" t="n">
        <f aca="false">IF(H$7=Fin_Close,-H26*Debt_Perc/SUM(Debt_Perc,Subdebt_Perc),0)</f>
        <v>0</v>
      </c>
      <c r="I34" s="61" t="n">
        <f aca="false">IF(I$7=Fin_Close,-I26*Debt_Perc/SUM(Debt_Perc,Subdebt_Perc),0)</f>
        <v>0</v>
      </c>
      <c r="J34" s="61" t="n">
        <f aca="false">IF(J$7=Fin_Close,-J26*Debt_Perc/SUM(Debt_Perc,Subdebt_Perc),0)</f>
        <v>0</v>
      </c>
      <c r="K34" s="61" t="n">
        <f aca="false">IF(K$7=Fin_Close,-K26*Debt_Perc/SUM(Debt_Perc,Subdebt_Perc),0)</f>
        <v>0</v>
      </c>
      <c r="L34" s="61" t="n">
        <f aca="false">IF(L$7=Fin_Close,-L26*Debt_Perc/SUM(Debt_Perc,Subdebt_Perc),0)</f>
        <v>0</v>
      </c>
      <c r="M34" s="61" t="n">
        <f aca="false">IF(M$7=Fin_Close,-M26*Debt_Perc/SUM(Debt_Perc,Subdebt_Perc),0)</f>
        <v>0</v>
      </c>
      <c r="N34" s="61" t="n">
        <f aca="false">IF(N$7=Fin_Close,-N26*Debt_Perc/SUM(Debt_Perc,Subdebt_Perc),0)</f>
        <v>0</v>
      </c>
      <c r="O34" s="61" t="n">
        <f aca="false">IF(O$7=Fin_Close,-O26*Debt_Perc/SUM(Debt_Perc,Subdebt_Perc),0)</f>
        <v>0</v>
      </c>
      <c r="P34" s="61" t="n">
        <f aca="false">IF(P$7=Fin_Close,-P26*Debt_Perc/SUM(Debt_Perc,Subdebt_Perc),0)</f>
        <v>0</v>
      </c>
      <c r="Q34" s="61" t="n">
        <f aca="false">IF(Q$7=Fin_Close,-Q26*Debt_Perc/SUM(Debt_Perc,Subdebt_Perc),0)</f>
        <v>0</v>
      </c>
      <c r="R34" s="61" t="n">
        <f aca="false">IF(R$7=Fin_Close,-R26*Debt_Perc/SUM(Debt_Perc,Subdebt_Perc),0)</f>
        <v>0</v>
      </c>
      <c r="S34" s="61" t="n">
        <f aca="false">IF(S$7=Fin_Close,-S26*Debt_Perc/SUM(Debt_Perc,Subdebt_Perc),0)</f>
        <v>0</v>
      </c>
      <c r="T34" s="61" t="n">
        <f aca="false">IF(T$7=Fin_Close,-T26*Debt_Perc/SUM(Debt_Perc,Subdebt_Perc),0)</f>
        <v>0</v>
      </c>
      <c r="U34" s="61" t="n">
        <f aca="false">IF(U$7=Fin_Close,-U26*Debt_Perc/SUM(Debt_Perc,Subdebt_Perc),0)</f>
        <v>0</v>
      </c>
      <c r="V34" s="61" t="n">
        <f aca="false">IF(V$7=Fin_Close,-V26*Debt_Perc/SUM(Debt_Perc,Subdebt_Perc),0)</f>
        <v>0</v>
      </c>
      <c r="W34" s="61" t="n">
        <f aca="false">IF(W$7=Fin_Close,-W26*Debt_Perc/SUM(Debt_Perc,Subdebt_Perc),0)</f>
        <v>0</v>
      </c>
      <c r="X34" s="61" t="n">
        <f aca="false">IF(X$7=Fin_Close,-X26*Debt_Perc/SUM(Debt_Perc,Subdebt_Perc),0)</f>
        <v>0</v>
      </c>
      <c r="Y34" s="61" t="n">
        <f aca="false">IF(Y$7=Fin_Close,-Y26*Debt_Perc/SUM(Debt_Perc,Subdebt_Perc),0)</f>
        <v>0</v>
      </c>
      <c r="Z34" s="61" t="n">
        <f aca="false">IF(Z$7=Fin_Close,-Z26*Debt_Perc/SUM(Debt_Perc,Subdebt_Perc),0)</f>
        <v>0</v>
      </c>
      <c r="AA34" s="61" t="n">
        <f aca="false">IF(AA$7=Fin_Close,-AA26*Debt_Perc/SUM(Debt_Perc,Subdebt_Perc),0)</f>
        <v>0</v>
      </c>
      <c r="AB34" s="61" t="n">
        <f aca="false">IF(AB$7=Fin_Close,-AB26*Debt_Perc/SUM(Debt_Perc,Subdebt_Perc),0)</f>
        <v>0</v>
      </c>
      <c r="AC34" s="61" t="n">
        <f aca="false">IF(AC$7=Fin_Close,-AC26*Debt_Perc/SUM(Debt_Perc,Subdebt_Perc),0)</f>
        <v>0</v>
      </c>
      <c r="AD34" s="61" t="n">
        <f aca="false">IF(AD$7=Fin_Close,-AD26*Debt_Perc/SUM(Debt_Perc,Subdebt_Perc),0)</f>
        <v>0</v>
      </c>
      <c r="AE34" s="61" t="n">
        <f aca="false">IF(AE$7=Fin_Close,-AE26*Debt_Perc/SUM(Debt_Perc,Subdebt_Perc),0)</f>
        <v>0</v>
      </c>
      <c r="AF34" s="61" t="n">
        <f aca="false">IF(AF$7=Fin_Close,-AF26*Debt_Perc/SUM(Debt_Perc,Subdebt_Perc),0)</f>
        <v>0</v>
      </c>
      <c r="AG34" s="61" t="n">
        <f aca="false">IF(AG$7=Fin_Close,-AG26*Debt_Perc/SUM(Debt_Perc,Subdebt_Perc),0)</f>
        <v>0</v>
      </c>
      <c r="AH34" s="61" t="n">
        <f aca="false">IF(AH$7=Fin_Close,-AH26*Debt_Perc/SUM(Debt_Perc,Subdebt_Perc),0)</f>
        <v>68325.8343556786</v>
      </c>
      <c r="AI34" s="61" t="n">
        <f aca="false">IF(AI$7=Fin_Close,-AI26*Debt_Perc/SUM(Debt_Perc,Subdebt_Perc),0)</f>
        <v>0</v>
      </c>
      <c r="AJ34" s="61" t="n">
        <f aca="false">IF(AJ$7=Fin_Close,-AJ26*Debt_Perc/SUM(Debt_Perc,Subdebt_Perc),0)</f>
        <v>0</v>
      </c>
      <c r="AK34" s="61" t="n">
        <f aca="false">IF(AK$7=Fin_Close,-AK26*Debt_Perc/SUM(Debt_Perc,Subdebt_Perc),0)</f>
        <v>0</v>
      </c>
      <c r="AL34" s="61" t="n">
        <f aca="false">IF(AL$7=Fin_Close,-AL26*Debt_Perc/SUM(Debt_Perc,Subdebt_Perc),0)</f>
        <v>0</v>
      </c>
      <c r="AM34" s="61" t="n">
        <f aca="false">IF(AM$7=Fin_Close,-AM26*Debt_Perc/SUM(Debt_Perc,Subdebt_Perc),0)</f>
        <v>0</v>
      </c>
      <c r="AN34" s="61" t="n">
        <f aca="false">IF(AN$7=Fin_Close,-AN26*Debt_Perc/SUM(Debt_Perc,Subdebt_Perc),0)</f>
        <v>0</v>
      </c>
      <c r="AO34" s="309" t="n">
        <f aca="false">SUM(E34:AN34)</f>
        <v>68325.8343556786</v>
      </c>
      <c r="AP34" s="65" t="n">
        <f aca="false">AP33+1</f>
        <v>28</v>
      </c>
    </row>
    <row r="35" customFormat="false" ht="13.5" hidden="false" customHeight="true" outlineLevel="0" collapsed="false">
      <c r="A35" s="37" t="s">
        <v>875</v>
      </c>
      <c r="B35" s="39"/>
      <c r="C35" s="39"/>
      <c r="D35" s="39"/>
      <c r="E35" s="61" t="n">
        <f aca="false">IF(E$7&lt;Fin_Close,0,E17*Debt_Perc/SUM(Debt_Perc,Subdebt_Perc))</f>
        <v>0</v>
      </c>
      <c r="F35" s="61" t="n">
        <f aca="false">IF(F$7&lt;Fin_Close,0,F17*Debt_Perc/SUM(Debt_Perc,Subdebt_Perc))</f>
        <v>0</v>
      </c>
      <c r="G35" s="61" t="n">
        <f aca="false">IF(G$7&lt;Fin_Close,0,G17*Debt_Perc/SUM(Debt_Perc,Subdebt_Perc))</f>
        <v>0</v>
      </c>
      <c r="H35" s="61" t="n">
        <f aca="false">IF(H$7&lt;Fin_Close,0,H17*Debt_Perc/SUM(Debt_Perc,Subdebt_Perc))</f>
        <v>0</v>
      </c>
      <c r="I35" s="61" t="n">
        <f aca="false">IF(I$7&lt;Fin_Close,0,I17*Debt_Perc/SUM(Debt_Perc,Subdebt_Perc))</f>
        <v>0</v>
      </c>
      <c r="J35" s="61" t="n">
        <f aca="false">IF(J$7&lt;Fin_Close,0,J17*Debt_Perc/SUM(Debt_Perc,Subdebt_Perc))</f>
        <v>0</v>
      </c>
      <c r="K35" s="61" t="n">
        <f aca="false">IF(K$7&lt;Fin_Close,0,K17*Debt_Perc/SUM(Debt_Perc,Subdebt_Perc))</f>
        <v>0</v>
      </c>
      <c r="L35" s="61" t="n">
        <f aca="false">IF(L$7&lt;Fin_Close,0,L17*Debt_Perc/SUM(Debt_Perc,Subdebt_Perc))</f>
        <v>0</v>
      </c>
      <c r="M35" s="61" t="n">
        <f aca="false">IF(M$7&lt;Fin_Close,0,M17*Debt_Perc/SUM(Debt_Perc,Subdebt_Perc))</f>
        <v>0</v>
      </c>
      <c r="N35" s="61" t="n">
        <f aca="false">IF(N$7&lt;Fin_Close,0,N17*Debt_Perc/SUM(Debt_Perc,Subdebt_Perc))</f>
        <v>0</v>
      </c>
      <c r="O35" s="61" t="n">
        <f aca="false">IF(O$7&lt;Fin_Close,0,O17*Debt_Perc/SUM(Debt_Perc,Subdebt_Perc))</f>
        <v>0</v>
      </c>
      <c r="P35" s="61" t="n">
        <f aca="false">IF(P$7&lt;Fin_Close,0,P17*Debt_Perc/SUM(Debt_Perc,Subdebt_Perc))</f>
        <v>0</v>
      </c>
      <c r="Q35" s="61" t="n">
        <f aca="false">IF(Q$7&lt;Fin_Close,0,Q17*Debt_Perc/SUM(Debt_Perc,Subdebt_Perc))</f>
        <v>0</v>
      </c>
      <c r="R35" s="61" t="n">
        <f aca="false">IF(R$7&lt;Fin_Close,0,R17*Debt_Perc/SUM(Debt_Perc,Subdebt_Perc))</f>
        <v>0</v>
      </c>
      <c r="S35" s="61" t="n">
        <f aca="false">IF(S$7&lt;Fin_Close,0,S17*Debt_Perc/SUM(Debt_Perc,Subdebt_Perc))</f>
        <v>0</v>
      </c>
      <c r="T35" s="61" t="n">
        <f aca="false">IF(T$7&lt;Fin_Close,0,T17*Debt_Perc/SUM(Debt_Perc,Subdebt_Perc))</f>
        <v>0</v>
      </c>
      <c r="U35" s="61" t="n">
        <f aca="false">IF(U$7&lt;Fin_Close,0,U17*Debt_Perc/SUM(Debt_Perc,Subdebt_Perc))</f>
        <v>0</v>
      </c>
      <c r="V35" s="61" t="n">
        <f aca="false">IF(V$7&lt;Fin_Close,0,V17*Debt_Perc/SUM(Debt_Perc,Subdebt_Perc))</f>
        <v>0</v>
      </c>
      <c r="W35" s="61" t="n">
        <f aca="false">IF(W$7&lt;Fin_Close,0,W17*Debt_Perc/SUM(Debt_Perc,Subdebt_Perc))</f>
        <v>0</v>
      </c>
      <c r="X35" s="61" t="n">
        <f aca="false">IF(X$7&lt;Fin_Close,0,X17*Debt_Perc/SUM(Debt_Perc,Subdebt_Perc))</f>
        <v>0</v>
      </c>
      <c r="Y35" s="61" t="n">
        <f aca="false">IF(Y$7&lt;Fin_Close,0,Y17*Debt_Perc/SUM(Debt_Perc,Subdebt_Perc))</f>
        <v>0</v>
      </c>
      <c r="Z35" s="61" t="n">
        <f aca="false">IF(Z$7&lt;Fin_Close,0,Z17*Debt_Perc/SUM(Debt_Perc,Subdebt_Perc))</f>
        <v>0</v>
      </c>
      <c r="AA35" s="61" t="n">
        <f aca="false">IF(AA$7&lt;Fin_Close,0,AA17*Debt_Perc/SUM(Debt_Perc,Subdebt_Perc))</f>
        <v>0</v>
      </c>
      <c r="AB35" s="61" t="n">
        <f aca="false">IF(AB$7&lt;Fin_Close,0,AB17*Debt_Perc/SUM(Debt_Perc,Subdebt_Perc))</f>
        <v>0</v>
      </c>
      <c r="AC35" s="61" t="n">
        <f aca="false">IF(AC$7&lt;Fin_Close,0,AC17*Debt_Perc/SUM(Debt_Perc,Subdebt_Perc))</f>
        <v>0</v>
      </c>
      <c r="AD35" s="61" t="n">
        <f aca="false">IF(AD$7&lt;Fin_Close,0,AD17*Debt_Perc/SUM(Debt_Perc,Subdebt_Perc))</f>
        <v>0</v>
      </c>
      <c r="AE35" s="61" t="n">
        <f aca="false">IF(AE$7&lt;Fin_Close,0,AE17*Debt_Perc/SUM(Debt_Perc,Subdebt_Perc))</f>
        <v>0</v>
      </c>
      <c r="AF35" s="61" t="n">
        <f aca="false">IF(AF$7&lt;Fin_Close,0,AF17*Debt_Perc/SUM(Debt_Perc,Subdebt_Perc))</f>
        <v>0</v>
      </c>
      <c r="AG35" s="61" t="n">
        <f aca="false">IF(AG$7&lt;Fin_Close,0,AG17*Debt_Perc/SUM(Debt_Perc,Subdebt_Perc))</f>
        <v>0</v>
      </c>
      <c r="AH35" s="61" t="n">
        <f aca="false">IF(AH$7&lt;Fin_Close,0,AH17*Debt_Perc/SUM(Debt_Perc,Subdebt_Perc))</f>
        <v>5895.10288688258</v>
      </c>
      <c r="AI35" s="61" t="n">
        <f aca="false">IF(AI$7&lt;Fin_Close,0,AI17*Debt_Perc/SUM(Debt_Perc,Subdebt_Perc))</f>
        <v>4523.47008613294</v>
      </c>
      <c r="AJ35" s="61" t="n">
        <f aca="false">IF(AJ$7&lt;Fin_Close,0,AJ17*Debt_Perc/SUM(Debt_Perc,Subdebt_Perc))</f>
        <v>4521.32499479487</v>
      </c>
      <c r="AK35" s="61" t="n">
        <f aca="false">IF(AK$7&lt;Fin_Close,0,AK17*Debt_Perc/SUM(Debt_Perc,Subdebt_Perc))</f>
        <v>5778.18365161906</v>
      </c>
      <c r="AL35" s="61" t="n">
        <f aca="false">IF(AL$7&lt;Fin_Close,0,AL17*Debt_Perc/SUM(Debt_Perc,Subdebt_Perc))</f>
        <v>0.349016007126084</v>
      </c>
      <c r="AM35" s="61" t="n">
        <f aca="false">IF(AM$7&lt;Fin_Close,0,AM17*Debt_Perc/SUM(Debt_Perc,Subdebt_Perc))</f>
        <v>4.56897662773597E-015</v>
      </c>
      <c r="AN35" s="61" t="n">
        <f aca="false">IF(AN$7&lt;Fin_Close,0,AN17*Debt_Perc/SUM(Debt_Perc,Subdebt_Perc))</f>
        <v>4.56472547324437E-015</v>
      </c>
      <c r="AO35" s="309" t="n">
        <f aca="false">SUM(E35:AN35)</f>
        <v>20718.4306354366</v>
      </c>
      <c r="AP35" s="65" t="n">
        <f aca="false">AP34+1</f>
        <v>29</v>
      </c>
    </row>
    <row r="36" customFormat="false" ht="12.75" hidden="false" customHeight="false" outlineLevel="0" collapsed="false">
      <c r="A36" s="37" t="s">
        <v>880</v>
      </c>
      <c r="B36" s="39"/>
      <c r="C36" s="39"/>
      <c r="D36" s="39"/>
      <c r="E36" s="61" t="n">
        <f aca="false">IF(E$7&lt;Fin_Close,0,E18*Debt_Perc/SUM(Debt_Perc,Subdebt_Perc))</f>
        <v>0</v>
      </c>
      <c r="F36" s="61" t="n">
        <f aca="false">IF(F$7&lt;Fin_Close,0,F18*Debt_Perc/SUM(Debt_Perc,Subdebt_Perc))</f>
        <v>0</v>
      </c>
      <c r="G36" s="61" t="n">
        <f aca="false">IF(G$7&lt;Fin_Close,0,G18*Debt_Perc/SUM(Debt_Perc,Subdebt_Perc))</f>
        <v>0</v>
      </c>
      <c r="H36" s="61" t="n">
        <f aca="false">IF(H$7&lt;Fin_Close,0,H18*Debt_Perc/SUM(Debt_Perc,Subdebt_Perc))</f>
        <v>0</v>
      </c>
      <c r="I36" s="61" t="n">
        <f aca="false">IF(I$7&lt;Fin_Close,0,I18*Debt_Perc/SUM(Debt_Perc,Subdebt_Perc))</f>
        <v>0</v>
      </c>
      <c r="J36" s="61" t="n">
        <f aca="false">IF(J$7&lt;Fin_Close,0,J18*Debt_Perc/SUM(Debt_Perc,Subdebt_Perc))</f>
        <v>0</v>
      </c>
      <c r="K36" s="61" t="n">
        <f aca="false">IF(K$7&lt;Fin_Close,0,K18*Debt_Perc/SUM(Debt_Perc,Subdebt_Perc))</f>
        <v>0</v>
      </c>
      <c r="L36" s="61" t="n">
        <f aca="false">IF(L$7&lt;Fin_Close,0,L18*Debt_Perc/SUM(Debt_Perc,Subdebt_Perc))</f>
        <v>0</v>
      </c>
      <c r="M36" s="61" t="n">
        <f aca="false">IF(M$7&lt;Fin_Close,0,M18*Debt_Perc/SUM(Debt_Perc,Subdebt_Perc))</f>
        <v>0</v>
      </c>
      <c r="N36" s="61" t="n">
        <f aca="false">IF(N$7&lt;Fin_Close,0,N18*Debt_Perc/SUM(Debt_Perc,Subdebt_Perc))</f>
        <v>0</v>
      </c>
      <c r="O36" s="61" t="n">
        <f aca="false">IF(O$7&lt;Fin_Close,0,O18*Debt_Perc/SUM(Debt_Perc,Subdebt_Perc))</f>
        <v>0</v>
      </c>
      <c r="P36" s="61" t="n">
        <f aca="false">IF(P$7&lt;Fin_Close,0,P18*Debt_Perc/SUM(Debt_Perc,Subdebt_Perc))</f>
        <v>0</v>
      </c>
      <c r="Q36" s="61" t="n">
        <f aca="false">IF(Q$7&lt;Fin_Close,0,Q18*Debt_Perc/SUM(Debt_Perc,Subdebt_Perc))</f>
        <v>0</v>
      </c>
      <c r="R36" s="61" t="n">
        <f aca="false">IF(R$7&lt;Fin_Close,0,R18*Debt_Perc/SUM(Debt_Perc,Subdebt_Perc))</f>
        <v>0</v>
      </c>
      <c r="S36" s="61" t="n">
        <f aca="false">IF(S$7&lt;Fin_Close,0,S18*Debt_Perc/SUM(Debt_Perc,Subdebt_Perc))</f>
        <v>0</v>
      </c>
      <c r="T36" s="61" t="n">
        <f aca="false">IF(T$7&lt;Fin_Close,0,T18*Debt_Perc/SUM(Debt_Perc,Subdebt_Perc))</f>
        <v>0</v>
      </c>
      <c r="U36" s="61" t="n">
        <f aca="false">IF(U$7&lt;Fin_Close,0,U18*Debt_Perc/SUM(Debt_Perc,Subdebt_Perc))</f>
        <v>0</v>
      </c>
      <c r="V36" s="61" t="n">
        <f aca="false">IF(V$7&lt;Fin_Close,0,V18*Debt_Perc/SUM(Debt_Perc,Subdebt_Perc))</f>
        <v>0</v>
      </c>
      <c r="W36" s="61" t="n">
        <f aca="false">IF(W$7&lt;Fin_Close,0,W18*Debt_Perc/SUM(Debt_Perc,Subdebt_Perc))</f>
        <v>0</v>
      </c>
      <c r="X36" s="61" t="n">
        <f aca="false">IF(X$7&lt;Fin_Close,0,X18*Debt_Perc/SUM(Debt_Perc,Subdebt_Perc))</f>
        <v>0</v>
      </c>
      <c r="Y36" s="61" t="n">
        <f aca="false">IF(Y$7&lt;Fin_Close,0,Y18*Debt_Perc/SUM(Debt_Perc,Subdebt_Perc))</f>
        <v>0</v>
      </c>
      <c r="Z36" s="61" t="n">
        <f aca="false">IF(Z$7&lt;Fin_Close,0,Z18*Debt_Perc/SUM(Debt_Perc,Subdebt_Perc))</f>
        <v>0</v>
      </c>
      <c r="AA36" s="61" t="n">
        <f aca="false">IF(AA$7&lt;Fin_Close,0,AA18*Debt_Perc/SUM(Debt_Perc,Subdebt_Perc))</f>
        <v>0</v>
      </c>
      <c r="AB36" s="61" t="n">
        <f aca="false">IF(AB$7&lt;Fin_Close,0,AB18*Debt_Perc/SUM(Debt_Perc,Subdebt_Perc))</f>
        <v>0</v>
      </c>
      <c r="AC36" s="61" t="n">
        <f aca="false">IF(AC$7&lt;Fin_Close,0,AC18*Debt_Perc/SUM(Debt_Perc,Subdebt_Perc))</f>
        <v>0</v>
      </c>
      <c r="AD36" s="61" t="n">
        <f aca="false">IF(AD$7&lt;Fin_Close,0,AD18*Debt_Perc/SUM(Debt_Perc,Subdebt_Perc))</f>
        <v>0</v>
      </c>
      <c r="AE36" s="61" t="n">
        <f aca="false">IF(AE$7&lt;Fin_Close,0,AE18*Debt_Perc/SUM(Debt_Perc,Subdebt_Perc))</f>
        <v>0</v>
      </c>
      <c r="AF36" s="61" t="n">
        <f aca="false">IF(AF$7&lt;Fin_Close,0,AF18*Debt_Perc/SUM(Debt_Perc,Subdebt_Perc))</f>
        <v>0</v>
      </c>
      <c r="AG36" s="61" t="n">
        <f aca="false">IF(AG$7&lt;Fin_Close,0,AG18*Debt_Perc/SUM(Debt_Perc,Subdebt_Perc))</f>
        <v>0</v>
      </c>
      <c r="AH36" s="61" t="n">
        <f aca="false">IF(AH$7&lt;Fin_Close,0,AH18*Debt_Perc/SUM(Debt_Perc,Subdebt_Perc))</f>
        <v>657.117690687756</v>
      </c>
      <c r="AI36" s="61" t="n">
        <f aca="false">IF(AI$7&lt;Fin_Close,0,AI18*Debt_Perc/SUM(Debt_Perc,Subdebt_Perc))</f>
        <v>711.230204275682</v>
      </c>
      <c r="AJ36" s="61" t="n">
        <f aca="false">IF(AJ$7&lt;Fin_Close,0,AJ18*Debt_Perc/SUM(Debt_Perc,Subdebt_Perc))</f>
        <v>759.510876446437</v>
      </c>
      <c r="AK36" s="61" t="n">
        <f aca="false">IF(AK$7&lt;Fin_Close,0,AK18*Debt_Perc/SUM(Debt_Perc,Subdebt_Perc))</f>
        <v>814.022630251843</v>
      </c>
      <c r="AL36" s="61" t="n">
        <f aca="false">IF(AL$7&lt;Fin_Close,0,AL18*Debt_Perc/SUM(Debt_Perc,Subdebt_Perc))</f>
        <v>848.198162393771</v>
      </c>
      <c r="AM36" s="61" t="n">
        <f aca="false">IF(AM$7&lt;Fin_Close,0,AM18*Debt_Perc/SUM(Debt_Perc,Subdebt_Perc))</f>
        <v>856.053644872926</v>
      </c>
      <c r="AN36" s="61" t="n">
        <f aca="false">IF(AN$7&lt;Fin_Close,0,AN18*Debt_Perc/SUM(Debt_Perc,Subdebt_Perc))</f>
        <v>0</v>
      </c>
      <c r="AO36" s="309" t="n">
        <f aca="false">SUM(E36:AN36)</f>
        <v>4646.13320892842</v>
      </c>
      <c r="AP36" s="65" t="n">
        <f aca="false">AP35+1</f>
        <v>30</v>
      </c>
      <c r="AQ36" s="19"/>
    </row>
    <row r="37" customFormat="false" ht="12.75" hidden="false" customHeight="false" outlineLevel="0" collapsed="false">
      <c r="A37" s="37" t="s">
        <v>881</v>
      </c>
      <c r="B37" s="39"/>
      <c r="C37" s="39"/>
      <c r="D37" s="39"/>
      <c r="E37" s="311" t="n">
        <f aca="false">IF(E$7&lt;Fin_Close,0,E19*Debt_Perc/SUM(Debt_Perc,Subdebt_Perc))</f>
        <v>0</v>
      </c>
      <c r="F37" s="311" t="n">
        <f aca="false">IF(F$7&lt;Fin_Close,0,F19*Debt_Perc/SUM(Debt_Perc,Subdebt_Perc))</f>
        <v>0</v>
      </c>
      <c r="G37" s="311" t="n">
        <f aca="false">IF(G$7&lt;Fin_Close,0,G19*Debt_Perc/SUM(Debt_Perc,Subdebt_Perc))</f>
        <v>0</v>
      </c>
      <c r="H37" s="311" t="n">
        <f aca="false">IF(H$7&lt;Fin_Close,0,H19*Debt_Perc/SUM(Debt_Perc,Subdebt_Perc))</f>
        <v>0</v>
      </c>
      <c r="I37" s="311" t="n">
        <f aca="false">IF(I$7&lt;Fin_Close,0,I19*Debt_Perc/SUM(Debt_Perc,Subdebt_Perc))</f>
        <v>0</v>
      </c>
      <c r="J37" s="311" t="n">
        <f aca="false">IF(J$7&lt;Fin_Close,0,J19*Debt_Perc/SUM(Debt_Perc,Subdebt_Perc))</f>
        <v>0</v>
      </c>
      <c r="K37" s="311" t="n">
        <f aca="false">IF(K$7&lt;Fin_Close,0,K19*Debt_Perc/SUM(Debt_Perc,Subdebt_Perc))</f>
        <v>0</v>
      </c>
      <c r="L37" s="311" t="n">
        <f aca="false">IF(L$7&lt;Fin_Close,0,L19*Debt_Perc/SUM(Debt_Perc,Subdebt_Perc))</f>
        <v>0</v>
      </c>
      <c r="M37" s="311" t="n">
        <f aca="false">IF(M$7&lt;Fin_Close,0,M19*Debt_Perc/SUM(Debt_Perc,Subdebt_Perc))</f>
        <v>0</v>
      </c>
      <c r="N37" s="311" t="n">
        <f aca="false">IF(N$7&lt;Fin_Close,0,N19*Debt_Perc/SUM(Debt_Perc,Subdebt_Perc))</f>
        <v>0</v>
      </c>
      <c r="O37" s="311" t="n">
        <f aca="false">IF(O$7&lt;Fin_Close,0,O19*Debt_Perc/SUM(Debt_Perc,Subdebt_Perc))</f>
        <v>0</v>
      </c>
      <c r="P37" s="311" t="n">
        <f aca="false">IF(P$7&lt;Fin_Close,0,P19*Debt_Perc/SUM(Debt_Perc,Subdebt_Perc))</f>
        <v>0</v>
      </c>
      <c r="Q37" s="311" t="n">
        <f aca="false">IF(Q$7&lt;Fin_Close,0,Q19*Debt_Perc/SUM(Debt_Perc,Subdebt_Perc))</f>
        <v>0</v>
      </c>
      <c r="R37" s="311" t="n">
        <f aca="false">IF(R$7&lt;Fin_Close,0,R19*Debt_Perc/SUM(Debt_Perc,Subdebt_Perc))</f>
        <v>0</v>
      </c>
      <c r="S37" s="311" t="n">
        <f aca="false">IF(S$7&lt;Fin_Close,0,S19*Debt_Perc/SUM(Debt_Perc,Subdebt_Perc))</f>
        <v>0</v>
      </c>
      <c r="T37" s="311" t="n">
        <f aca="false">IF(T$7&lt;Fin_Close,0,T19*Debt_Perc/SUM(Debt_Perc,Subdebt_Perc))</f>
        <v>0</v>
      </c>
      <c r="U37" s="311" t="n">
        <f aca="false">IF(U$7&lt;Fin_Close,0,U19*Debt_Perc/SUM(Debt_Perc,Subdebt_Perc))</f>
        <v>0</v>
      </c>
      <c r="V37" s="311" t="n">
        <f aca="false">IF(V$7&lt;Fin_Close,0,V19*Debt_Perc/SUM(Debt_Perc,Subdebt_Perc))</f>
        <v>0</v>
      </c>
      <c r="W37" s="311" t="n">
        <f aca="false">IF(W$7&lt;Fin_Close,0,W19*Debt_Perc/SUM(Debt_Perc,Subdebt_Perc))</f>
        <v>0</v>
      </c>
      <c r="X37" s="311" t="n">
        <f aca="false">IF(X$7&lt;Fin_Close,0,X19*Debt_Perc/SUM(Debt_Perc,Subdebt_Perc))</f>
        <v>0</v>
      </c>
      <c r="Y37" s="311" t="n">
        <f aca="false">IF(Y$7&lt;Fin_Close,0,Y19*Debt_Perc/SUM(Debt_Perc,Subdebt_Perc))</f>
        <v>0</v>
      </c>
      <c r="Z37" s="311" t="n">
        <f aca="false">IF(Z$7&lt;Fin_Close,0,Z19*Debt_Perc/SUM(Debt_Perc,Subdebt_Perc))</f>
        <v>0</v>
      </c>
      <c r="AA37" s="311" t="n">
        <f aca="false">IF(AA$7&lt;Fin_Close,0,AA19*Debt_Perc/SUM(Debt_Perc,Subdebt_Perc))</f>
        <v>0</v>
      </c>
      <c r="AB37" s="311" t="n">
        <f aca="false">IF(AB$7&lt;Fin_Close,0,AB19*Debt_Perc/SUM(Debt_Perc,Subdebt_Perc))</f>
        <v>0</v>
      </c>
      <c r="AC37" s="311" t="n">
        <f aca="false">IF(AC$7&lt;Fin_Close,0,AC19*Debt_Perc/SUM(Debt_Perc,Subdebt_Perc))</f>
        <v>0</v>
      </c>
      <c r="AD37" s="311" t="n">
        <f aca="false">IF(AD$7&lt;Fin_Close,0,AD19*Debt_Perc/SUM(Debt_Perc,Subdebt_Perc))</f>
        <v>0</v>
      </c>
      <c r="AE37" s="311" t="n">
        <f aca="false">IF(AE$7&lt;Fin_Close,0,AE19*Debt_Perc/SUM(Debt_Perc,Subdebt_Perc))</f>
        <v>0</v>
      </c>
      <c r="AF37" s="311" t="n">
        <f aca="false">IF(AF$7&lt;Fin_Close,0,AF19*Debt_Perc/SUM(Debt_Perc,Subdebt_Perc))</f>
        <v>0</v>
      </c>
      <c r="AG37" s="311" t="n">
        <f aca="false">IF(AG$7&lt;Fin_Close,0,AG19*Debt_Perc/SUM(Debt_Perc,Subdebt_Perc))</f>
        <v>0</v>
      </c>
      <c r="AH37" s="311" t="n">
        <f aca="false">IF(AH$7&lt;Fin_Close,0,AH19*Debt_Perc/SUM(Debt_Perc,Subdebt_Perc))</f>
        <v>2.83677030622953</v>
      </c>
      <c r="AI37" s="311" t="n">
        <f aca="false">IF(AI$7&lt;Fin_Close,0,AI19*Debt_Perc/SUM(Debt_Perc,Subdebt_Perc))</f>
        <v>3.07037347034616</v>
      </c>
      <c r="AJ37" s="311" t="n">
        <f aca="false">IF(AJ$7&lt;Fin_Close,0,AJ19*Debt_Perc/SUM(Debt_Perc,Subdebt_Perc))</f>
        <v>3.27880063509872</v>
      </c>
      <c r="AK37" s="311" t="n">
        <f aca="false">IF(AK$7&lt;Fin_Close,0,AK19*Debt_Perc/SUM(Debt_Perc,Subdebt_Perc))</f>
        <v>3.51412731512437</v>
      </c>
      <c r="AL37" s="311" t="n">
        <f aca="false">IF(AL$7&lt;Fin_Close,0,AL19*Debt_Perc/SUM(Debt_Perc,Subdebt_Perc))</f>
        <v>3.66166273557294</v>
      </c>
      <c r="AM37" s="311" t="n">
        <f aca="false">IF(AM$7&lt;Fin_Close,0,AM19*Debt_Perc/SUM(Debt_Perc,Subdebt_Perc))</f>
        <v>3.69557477256992</v>
      </c>
      <c r="AN37" s="311" t="n">
        <f aca="false">IF(AN$7&lt;Fin_Close,0,AN19*Debt_Perc/SUM(Debt_Perc,Subdebt_Perc))</f>
        <v>0</v>
      </c>
      <c r="AO37" s="313" t="n">
        <f aca="false">SUM(E37:AN37)</f>
        <v>20.0573092349416</v>
      </c>
      <c r="AP37" s="65" t="n">
        <f aca="false">AP36+1</f>
        <v>31</v>
      </c>
      <c r="AQ37" s="19"/>
    </row>
    <row r="38" customFormat="false" ht="12.75" hidden="false" customHeight="false" outlineLevel="0" collapsed="false">
      <c r="A38" s="37" t="s">
        <v>660</v>
      </c>
      <c r="B38" s="39"/>
      <c r="C38" s="39"/>
      <c r="D38" s="39"/>
      <c r="E38" s="61" t="n">
        <f aca="false">SUM(E33:E37)</f>
        <v>0</v>
      </c>
      <c r="F38" s="61" t="n">
        <f aca="false">SUM(F33:F37)</f>
        <v>0</v>
      </c>
      <c r="G38" s="61" t="n">
        <f aca="false">SUM(G33:G37)</f>
        <v>0</v>
      </c>
      <c r="H38" s="61" t="n">
        <f aca="false">SUM(H33:H37)</f>
        <v>0</v>
      </c>
      <c r="I38" s="61" t="n">
        <f aca="false">SUM(I33:I37)</f>
        <v>0</v>
      </c>
      <c r="J38" s="61" t="n">
        <f aca="false">SUM(J33:J37)</f>
        <v>0</v>
      </c>
      <c r="K38" s="61" t="n">
        <f aca="false">SUM(K33:K37)</f>
        <v>0</v>
      </c>
      <c r="L38" s="61" t="n">
        <f aca="false">SUM(L33:L37)</f>
        <v>0</v>
      </c>
      <c r="M38" s="61" t="n">
        <f aca="false">SUM(M33:M37)</f>
        <v>0</v>
      </c>
      <c r="N38" s="61" t="n">
        <f aca="false">SUM(N33:N37)</f>
        <v>0</v>
      </c>
      <c r="O38" s="61" t="n">
        <f aca="false">SUM(O33:O37)</f>
        <v>0</v>
      </c>
      <c r="P38" s="61" t="n">
        <f aca="false">SUM(P33:P37)</f>
        <v>0</v>
      </c>
      <c r="Q38" s="61" t="n">
        <f aca="false">SUM(Q33:Q37)</f>
        <v>0</v>
      </c>
      <c r="R38" s="61" t="n">
        <f aca="false">SUM(R33:R37)</f>
        <v>0</v>
      </c>
      <c r="S38" s="61" t="n">
        <f aca="false">SUM(S33:S37)</f>
        <v>0</v>
      </c>
      <c r="T38" s="61" t="n">
        <f aca="false">SUM(T33:T37)</f>
        <v>0</v>
      </c>
      <c r="U38" s="61" t="n">
        <f aca="false">SUM(U33:U37)</f>
        <v>0</v>
      </c>
      <c r="V38" s="61" t="n">
        <f aca="false">SUM(V33:V37)</f>
        <v>0</v>
      </c>
      <c r="W38" s="61" t="n">
        <f aca="false">SUM(W33:W37)</f>
        <v>0</v>
      </c>
      <c r="X38" s="61" t="n">
        <f aca="false">SUM(X33:X37)</f>
        <v>0</v>
      </c>
      <c r="Y38" s="61" t="n">
        <f aca="false">SUM(Y33:Y37)</f>
        <v>0</v>
      </c>
      <c r="Z38" s="61" t="n">
        <f aca="false">SUM(Z33:Z37)</f>
        <v>0</v>
      </c>
      <c r="AA38" s="61" t="n">
        <f aca="false">SUM(AA33:AA37)</f>
        <v>0</v>
      </c>
      <c r="AB38" s="61" t="n">
        <f aca="false">SUM(AB33:AB37)</f>
        <v>0</v>
      </c>
      <c r="AC38" s="61" t="n">
        <f aca="false">SUM(AC33:AC37)</f>
        <v>0</v>
      </c>
      <c r="AD38" s="61" t="n">
        <f aca="false">SUM(AD33:AD37)</f>
        <v>0</v>
      </c>
      <c r="AE38" s="61" t="n">
        <f aca="false">SUM(AE33:AE37)</f>
        <v>0</v>
      </c>
      <c r="AF38" s="61" t="n">
        <f aca="false">SUM(AF33:AF37)</f>
        <v>0</v>
      </c>
      <c r="AG38" s="61" t="n">
        <f aca="false">SUM(AG33:AG37)</f>
        <v>0</v>
      </c>
      <c r="AH38" s="61" t="n">
        <f aca="false">SUM(AH33:AH37)</f>
        <v>74880.8917035551</v>
      </c>
      <c r="AI38" s="61" t="n">
        <f aca="false">SUM(AI33:AI37)</f>
        <v>80118.6623674341</v>
      </c>
      <c r="AJ38" s="61" t="n">
        <f aca="false">SUM(AJ33:AJ37)</f>
        <v>85402.7770393105</v>
      </c>
      <c r="AK38" s="61" t="n">
        <f aca="false">SUM(AK33:AK37)</f>
        <v>91998.4974484965</v>
      </c>
      <c r="AL38" s="61" t="n">
        <f aca="false">SUM(AL33:AL37)</f>
        <v>92850.706289633</v>
      </c>
      <c r="AM38" s="61" t="n">
        <f aca="false">SUM(AM33:AM37)</f>
        <v>93710.4555092785</v>
      </c>
      <c r="AN38" s="61" t="n">
        <f aca="false">SUM(AN33:AN37)</f>
        <v>93710.4555092785</v>
      </c>
      <c r="AO38" s="309" t="n">
        <f aca="false">SUM(AO33:AO37)</f>
        <v>93710.4555092785</v>
      </c>
      <c r="AP38" s="65" t="n">
        <f aca="false">AP37+1</f>
        <v>32</v>
      </c>
    </row>
    <row r="39" customFormat="false" ht="12.75" hidden="false" customHeight="false" outlineLevel="0" collapsed="false">
      <c r="A39" s="37"/>
      <c r="B39" s="39"/>
      <c r="C39" s="39"/>
      <c r="D39" s="39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309"/>
      <c r="AP39" s="65" t="n">
        <f aca="false">AP38+1</f>
        <v>33</v>
      </c>
    </row>
    <row r="40" customFormat="false" ht="12.75" hidden="false" customHeight="false" outlineLevel="0" collapsed="false">
      <c r="A40" s="97" t="s">
        <v>267</v>
      </c>
      <c r="B40" s="39"/>
      <c r="C40" s="39"/>
      <c r="D40" s="39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309"/>
      <c r="AP40" s="65" t="n">
        <f aca="false">AP39+1</f>
        <v>34</v>
      </c>
    </row>
    <row r="41" customFormat="false" ht="12.75" hidden="false" customHeight="false" outlineLevel="0" collapsed="false">
      <c r="A41" s="37" t="s">
        <v>656</v>
      </c>
      <c r="B41" s="39"/>
      <c r="C41" s="39"/>
      <c r="D41" s="39"/>
      <c r="E41" s="99" t="n">
        <v>0</v>
      </c>
      <c r="F41" s="61" t="n">
        <f aca="false">E46</f>
        <v>0</v>
      </c>
      <c r="G41" s="61" t="n">
        <f aca="false">F46</f>
        <v>0</v>
      </c>
      <c r="H41" s="61" t="n">
        <f aca="false">G46</f>
        <v>0</v>
      </c>
      <c r="I41" s="61" t="n">
        <f aca="false">H46</f>
        <v>0</v>
      </c>
      <c r="J41" s="61" t="n">
        <f aca="false">I46</f>
        <v>0</v>
      </c>
      <c r="K41" s="61" t="n">
        <f aca="false">J46</f>
        <v>0</v>
      </c>
      <c r="L41" s="61" t="n">
        <f aca="false">K46</f>
        <v>0</v>
      </c>
      <c r="M41" s="61" t="n">
        <f aca="false">L46</f>
        <v>0</v>
      </c>
      <c r="N41" s="61" t="n">
        <f aca="false">M46</f>
        <v>0</v>
      </c>
      <c r="O41" s="61" t="n">
        <f aca="false">N46</f>
        <v>0</v>
      </c>
      <c r="P41" s="61" t="n">
        <f aca="false">O46</f>
        <v>0</v>
      </c>
      <c r="Q41" s="61" t="n">
        <f aca="false">P46</f>
        <v>0</v>
      </c>
      <c r="R41" s="61" t="n">
        <f aca="false">Q46</f>
        <v>0</v>
      </c>
      <c r="S41" s="61" t="n">
        <f aca="false">R46</f>
        <v>0</v>
      </c>
      <c r="T41" s="61" t="n">
        <f aca="false">S46</f>
        <v>0</v>
      </c>
      <c r="U41" s="61" t="n">
        <f aca="false">T46</f>
        <v>0</v>
      </c>
      <c r="V41" s="61" t="n">
        <f aca="false">U46</f>
        <v>0</v>
      </c>
      <c r="W41" s="61" t="n">
        <f aca="false">V46</f>
        <v>0</v>
      </c>
      <c r="X41" s="61" t="n">
        <f aca="false">W46</f>
        <v>0</v>
      </c>
      <c r="Y41" s="61" t="n">
        <f aca="false">X46</f>
        <v>0</v>
      </c>
      <c r="Z41" s="61" t="n">
        <f aca="false">Y46</f>
        <v>0</v>
      </c>
      <c r="AA41" s="61" t="n">
        <f aca="false">Z46</f>
        <v>0</v>
      </c>
      <c r="AB41" s="61" t="n">
        <f aca="false">AA46</f>
        <v>0</v>
      </c>
      <c r="AC41" s="61" t="n">
        <f aca="false">AB46</f>
        <v>0</v>
      </c>
      <c r="AD41" s="61" t="n">
        <f aca="false">AC46</f>
        <v>0</v>
      </c>
      <c r="AE41" s="61" t="n">
        <f aca="false">AD46</f>
        <v>0</v>
      </c>
      <c r="AF41" s="61" t="n">
        <f aca="false">AE46</f>
        <v>0</v>
      </c>
      <c r="AG41" s="61" t="n">
        <f aca="false">AF46</f>
        <v>0</v>
      </c>
      <c r="AH41" s="61" t="n">
        <f aca="false">AG46</f>
        <v>0</v>
      </c>
      <c r="AI41" s="61" t="n">
        <f aca="false">AH46</f>
        <v>1976.60061535981</v>
      </c>
      <c r="AJ41" s="61" t="n">
        <f aca="false">AI46</f>
        <v>2114.85992934238</v>
      </c>
      <c r="AK41" s="61" t="n">
        <f aca="false">AJ46</f>
        <v>2254.34256736185</v>
      </c>
      <c r="AL41" s="61" t="n">
        <f aca="false">AK46</f>
        <v>2428.44713159636</v>
      </c>
      <c r="AM41" s="61" t="n">
        <f aca="false">AL46</f>
        <v>2450.94254372999</v>
      </c>
      <c r="AN41" s="61" t="n">
        <f aca="false">AM46</f>
        <v>2473.63699618568</v>
      </c>
      <c r="AO41" s="309" t="n">
        <f aca="false">E41</f>
        <v>0</v>
      </c>
      <c r="AP41" s="65" t="n">
        <f aca="false">AP40+1</f>
        <v>35</v>
      </c>
    </row>
    <row r="42" customFormat="false" ht="12.75" hidden="false" customHeight="false" outlineLevel="0" collapsed="false">
      <c r="A42" s="37" t="s">
        <v>883</v>
      </c>
      <c r="B42" s="39"/>
      <c r="C42" s="39"/>
      <c r="D42" s="39"/>
      <c r="E42" s="61" t="n">
        <f aca="false">IF(E$7=Fin_Close,-E26*Subdebt_Perc/SUM(Debt_Perc,Subdebt_Perc),0)</f>
        <v>0</v>
      </c>
      <c r="F42" s="61" t="n">
        <f aca="false">IF(F$7=Fin_Close,-F26*Subdebt_Perc/SUM(Debt_Perc,Subdebt_Perc),0)</f>
        <v>0</v>
      </c>
      <c r="G42" s="61" t="n">
        <f aca="false">IF(G$7=Fin_Close,-G26*Subdebt_Perc/SUM(Debt_Perc,Subdebt_Perc),0)</f>
        <v>0</v>
      </c>
      <c r="H42" s="61" t="n">
        <f aca="false">IF(H$7=Fin_Close,-H26*Subdebt_Perc/SUM(Debt_Perc,Subdebt_Perc),0)</f>
        <v>0</v>
      </c>
      <c r="I42" s="61" t="n">
        <f aca="false">IF(I$7=Fin_Close,-I26*Subdebt_Perc/SUM(Debt_Perc,Subdebt_Perc),0)</f>
        <v>0</v>
      </c>
      <c r="J42" s="61" t="n">
        <f aca="false">IF(J$7=Fin_Close,-J26*Subdebt_Perc/SUM(Debt_Perc,Subdebt_Perc),0)</f>
        <v>0</v>
      </c>
      <c r="K42" s="61" t="n">
        <f aca="false">IF(K$7=Fin_Close,-K26*Subdebt_Perc/SUM(Debt_Perc,Subdebt_Perc),0)</f>
        <v>0</v>
      </c>
      <c r="L42" s="61" t="n">
        <f aca="false">IF(L$7=Fin_Close,-L26*Subdebt_Perc/SUM(Debt_Perc,Subdebt_Perc),0)</f>
        <v>0</v>
      </c>
      <c r="M42" s="61" t="n">
        <f aca="false">IF(M$7=Fin_Close,-M26*Subdebt_Perc/SUM(Debt_Perc,Subdebt_Perc),0)</f>
        <v>0</v>
      </c>
      <c r="N42" s="61" t="n">
        <f aca="false">IF(N$7=Fin_Close,-N26*Subdebt_Perc/SUM(Debt_Perc,Subdebt_Perc),0)</f>
        <v>0</v>
      </c>
      <c r="O42" s="61" t="n">
        <f aca="false">IF(O$7=Fin_Close,-O26*Subdebt_Perc/SUM(Debt_Perc,Subdebt_Perc),0)</f>
        <v>0</v>
      </c>
      <c r="P42" s="61" t="n">
        <f aca="false">IF(P$7=Fin_Close,-P26*Subdebt_Perc/SUM(Debt_Perc,Subdebt_Perc),0)</f>
        <v>0</v>
      </c>
      <c r="Q42" s="61" t="n">
        <f aca="false">IF(Q$7=Fin_Close,-Q26*Subdebt_Perc/SUM(Debt_Perc,Subdebt_Perc),0)</f>
        <v>0</v>
      </c>
      <c r="R42" s="61" t="n">
        <f aca="false">IF(R$7=Fin_Close,-R26*Subdebt_Perc/SUM(Debt_Perc,Subdebt_Perc),0)</f>
        <v>0</v>
      </c>
      <c r="S42" s="61" t="n">
        <f aca="false">IF(S$7=Fin_Close,-S26*Subdebt_Perc/SUM(Debt_Perc,Subdebt_Perc),0)</f>
        <v>0</v>
      </c>
      <c r="T42" s="61" t="n">
        <f aca="false">IF(T$7=Fin_Close,-T26*Subdebt_Perc/SUM(Debt_Perc,Subdebt_Perc),0)</f>
        <v>0</v>
      </c>
      <c r="U42" s="61" t="n">
        <f aca="false">IF(U$7=Fin_Close,-U26*Subdebt_Perc/SUM(Debt_Perc,Subdebt_Perc),0)</f>
        <v>0</v>
      </c>
      <c r="V42" s="61" t="n">
        <f aca="false">IF(V$7=Fin_Close,-V26*Subdebt_Perc/SUM(Debt_Perc,Subdebt_Perc),0)</f>
        <v>0</v>
      </c>
      <c r="W42" s="61" t="n">
        <f aca="false">IF(W$7=Fin_Close,-W26*Subdebt_Perc/SUM(Debt_Perc,Subdebt_Perc),0)</f>
        <v>0</v>
      </c>
      <c r="X42" s="61" t="n">
        <f aca="false">IF(X$7=Fin_Close,-X26*Subdebt_Perc/SUM(Debt_Perc,Subdebt_Perc),0)</f>
        <v>0</v>
      </c>
      <c r="Y42" s="61" t="n">
        <f aca="false">IF(Y$7=Fin_Close,-Y26*Subdebt_Perc/SUM(Debt_Perc,Subdebt_Perc),0)</f>
        <v>0</v>
      </c>
      <c r="Z42" s="61" t="n">
        <f aca="false">IF(Z$7=Fin_Close,-Z26*Subdebt_Perc/SUM(Debt_Perc,Subdebt_Perc),0)</f>
        <v>0</v>
      </c>
      <c r="AA42" s="61" t="n">
        <f aca="false">IF(AA$7=Fin_Close,-AA26*Subdebt_Perc/SUM(Debt_Perc,Subdebt_Perc),0)</f>
        <v>0</v>
      </c>
      <c r="AB42" s="61" t="n">
        <f aca="false">IF(AB$7=Fin_Close,-AB26*Subdebt_Perc/SUM(Debt_Perc,Subdebt_Perc),0)</f>
        <v>0</v>
      </c>
      <c r="AC42" s="61" t="n">
        <f aca="false">IF(AC$7=Fin_Close,-AC26*Subdebt_Perc/SUM(Debt_Perc,Subdebt_Perc),0)</f>
        <v>0</v>
      </c>
      <c r="AD42" s="61" t="n">
        <f aca="false">IF(AD$7=Fin_Close,-AD26*Subdebt_Perc/SUM(Debt_Perc,Subdebt_Perc),0)</f>
        <v>0</v>
      </c>
      <c r="AE42" s="61" t="n">
        <f aca="false">IF(AE$7=Fin_Close,-AE26*Subdebt_Perc/SUM(Debt_Perc,Subdebt_Perc),0)</f>
        <v>0</v>
      </c>
      <c r="AF42" s="61" t="n">
        <f aca="false">IF(AF$7=Fin_Close,-AF26*Subdebt_Perc/SUM(Debt_Perc,Subdebt_Perc),0)</f>
        <v>0</v>
      </c>
      <c r="AG42" s="61" t="n">
        <f aca="false">IF(AG$7=Fin_Close,-AG26*Subdebt_Perc/SUM(Debt_Perc,Subdebt_Perc),0)</f>
        <v>0</v>
      </c>
      <c r="AH42" s="61" t="n">
        <f aca="false">IF(AH$7=Fin_Close,-AH26*Subdebt_Perc/SUM(Debt_Perc,Subdebt_Perc),0)</f>
        <v>1803.56941750995</v>
      </c>
      <c r="AI42" s="61" t="n">
        <f aca="false">IF(AI$7=Fin_Close,-AI26*Subdebt_Perc/SUM(Debt_Perc,Subdebt_Perc),0)</f>
        <v>0</v>
      </c>
      <c r="AJ42" s="61" t="n">
        <f aca="false">IF(AJ$7=Fin_Close,-AJ26*Subdebt_Perc/SUM(Debt_Perc,Subdebt_Perc),0)</f>
        <v>0</v>
      </c>
      <c r="AK42" s="61" t="n">
        <f aca="false">IF(AK$7=Fin_Close,-AK26*Subdebt_Perc/SUM(Debt_Perc,Subdebt_Perc),0)</f>
        <v>0</v>
      </c>
      <c r="AL42" s="61" t="n">
        <f aca="false">IF(AL$7=Fin_Close,-AL26*Subdebt_Perc/SUM(Debt_Perc,Subdebt_Perc),0)</f>
        <v>0</v>
      </c>
      <c r="AM42" s="61" t="n">
        <f aca="false">IF(AM$7=Fin_Close,-AM26*Subdebt_Perc/SUM(Debt_Perc,Subdebt_Perc),0)</f>
        <v>0</v>
      </c>
      <c r="AN42" s="61" t="n">
        <f aca="false">IF(AN$7=Fin_Close,-AN26*Subdebt_Perc/SUM(Debt_Perc,Subdebt_Perc),0)</f>
        <v>0</v>
      </c>
      <c r="AO42" s="309" t="n">
        <f aca="false">SUM(E42:AN42)</f>
        <v>1803.56941750995</v>
      </c>
      <c r="AP42" s="65" t="n">
        <f aca="false">AP41+1</f>
        <v>36</v>
      </c>
    </row>
    <row r="43" customFormat="false" ht="12.75" hidden="false" customHeight="false" outlineLevel="0" collapsed="false">
      <c r="A43" s="37" t="s">
        <v>875</v>
      </c>
      <c r="B43" s="39"/>
      <c r="C43" s="39"/>
      <c r="D43" s="39"/>
      <c r="E43" s="61" t="n">
        <f aca="false">IF(E$7&lt;Fin_Close,0,E17*Subdebt_Perc/SUM(Debt_Perc,Subdebt_Perc))</f>
        <v>0</v>
      </c>
      <c r="F43" s="61" t="n">
        <f aca="false">IF(F$7&lt;Fin_Close,0,F17*Subdebt_Perc/SUM(Debt_Perc,Subdebt_Perc))</f>
        <v>0</v>
      </c>
      <c r="G43" s="61" t="n">
        <f aca="false">IF(G$7&lt;Fin_Close,0,G17*Subdebt_Perc/SUM(Debt_Perc,Subdebt_Perc))</f>
        <v>0</v>
      </c>
      <c r="H43" s="61" t="n">
        <f aca="false">IF(H$7&lt;Fin_Close,0,H17*Subdebt_Perc/SUM(Debt_Perc,Subdebt_Perc))</f>
        <v>0</v>
      </c>
      <c r="I43" s="61" t="n">
        <f aca="false">IF(I$7&lt;Fin_Close,0,I17*Subdebt_Perc/SUM(Debt_Perc,Subdebt_Perc))</f>
        <v>0</v>
      </c>
      <c r="J43" s="61" t="n">
        <f aca="false">IF(J$7&lt;Fin_Close,0,J17*Subdebt_Perc/SUM(Debt_Perc,Subdebt_Perc))</f>
        <v>0</v>
      </c>
      <c r="K43" s="61" t="n">
        <f aca="false">IF(K$7&lt;Fin_Close,0,K17*Subdebt_Perc/SUM(Debt_Perc,Subdebt_Perc))</f>
        <v>0</v>
      </c>
      <c r="L43" s="61" t="n">
        <f aca="false">IF(L$7&lt;Fin_Close,0,L17*Subdebt_Perc/SUM(Debt_Perc,Subdebt_Perc))</f>
        <v>0</v>
      </c>
      <c r="M43" s="61" t="n">
        <f aca="false">IF(M$7&lt;Fin_Close,0,M17*Subdebt_Perc/SUM(Debt_Perc,Subdebt_Perc))</f>
        <v>0</v>
      </c>
      <c r="N43" s="61" t="n">
        <f aca="false">IF(N$7&lt;Fin_Close,0,N17*Subdebt_Perc/SUM(Debt_Perc,Subdebt_Perc))</f>
        <v>0</v>
      </c>
      <c r="O43" s="61" t="n">
        <f aca="false">IF(O$7&lt;Fin_Close,0,O17*Subdebt_Perc/SUM(Debt_Perc,Subdebt_Perc))</f>
        <v>0</v>
      </c>
      <c r="P43" s="61" t="n">
        <f aca="false">IF(P$7&lt;Fin_Close,0,P17*Subdebt_Perc/SUM(Debt_Perc,Subdebt_Perc))</f>
        <v>0</v>
      </c>
      <c r="Q43" s="61" t="n">
        <f aca="false">IF(Q$7&lt;Fin_Close,0,Q17*Subdebt_Perc/SUM(Debt_Perc,Subdebt_Perc))</f>
        <v>0</v>
      </c>
      <c r="R43" s="61" t="n">
        <f aca="false">IF(R$7&lt;Fin_Close,0,R17*Subdebt_Perc/SUM(Debt_Perc,Subdebt_Perc))</f>
        <v>0</v>
      </c>
      <c r="S43" s="61" t="n">
        <f aca="false">IF(S$7&lt;Fin_Close,0,S17*Subdebt_Perc/SUM(Debt_Perc,Subdebt_Perc))</f>
        <v>0</v>
      </c>
      <c r="T43" s="61" t="n">
        <f aca="false">IF(T$7&lt;Fin_Close,0,T17*Subdebt_Perc/SUM(Debt_Perc,Subdebt_Perc))</f>
        <v>0</v>
      </c>
      <c r="U43" s="61" t="n">
        <f aca="false">IF(U$7&lt;Fin_Close,0,U17*Subdebt_Perc/SUM(Debt_Perc,Subdebt_Perc))</f>
        <v>0</v>
      </c>
      <c r="V43" s="61" t="n">
        <f aca="false">IF(V$7&lt;Fin_Close,0,V17*Subdebt_Perc/SUM(Debt_Perc,Subdebt_Perc))</f>
        <v>0</v>
      </c>
      <c r="W43" s="61" t="n">
        <f aca="false">IF(W$7&lt;Fin_Close,0,W17*Subdebt_Perc/SUM(Debt_Perc,Subdebt_Perc))</f>
        <v>0</v>
      </c>
      <c r="X43" s="61" t="n">
        <f aca="false">IF(X$7&lt;Fin_Close,0,X17*Subdebt_Perc/SUM(Debt_Perc,Subdebt_Perc))</f>
        <v>0</v>
      </c>
      <c r="Y43" s="61" t="n">
        <f aca="false">IF(Y$7&lt;Fin_Close,0,Y17*Subdebt_Perc/SUM(Debt_Perc,Subdebt_Perc))</f>
        <v>0</v>
      </c>
      <c r="Z43" s="61" t="n">
        <f aca="false">IF(Z$7&lt;Fin_Close,0,Z17*Subdebt_Perc/SUM(Debt_Perc,Subdebt_Perc))</f>
        <v>0</v>
      </c>
      <c r="AA43" s="61" t="n">
        <f aca="false">IF(AA$7&lt;Fin_Close,0,AA17*Subdebt_Perc/SUM(Debt_Perc,Subdebt_Perc))</f>
        <v>0</v>
      </c>
      <c r="AB43" s="61" t="n">
        <f aca="false">IF(AB$7&lt;Fin_Close,0,AB17*Subdebt_Perc/SUM(Debt_Perc,Subdebt_Perc))</f>
        <v>0</v>
      </c>
      <c r="AC43" s="61" t="n">
        <f aca="false">IF(AC$7&lt;Fin_Close,0,AC17*Subdebt_Perc/SUM(Debt_Perc,Subdebt_Perc))</f>
        <v>0</v>
      </c>
      <c r="AD43" s="61" t="n">
        <f aca="false">IF(AD$7&lt;Fin_Close,0,AD17*Subdebt_Perc/SUM(Debt_Perc,Subdebt_Perc))</f>
        <v>0</v>
      </c>
      <c r="AE43" s="61" t="n">
        <f aca="false">IF(AE$7&lt;Fin_Close,0,AE17*Subdebt_Perc/SUM(Debt_Perc,Subdebt_Perc))</f>
        <v>0</v>
      </c>
      <c r="AF43" s="61" t="n">
        <f aca="false">IF(AF$7&lt;Fin_Close,0,AF17*Subdebt_Perc/SUM(Debt_Perc,Subdebt_Perc))</f>
        <v>0</v>
      </c>
      <c r="AG43" s="61" t="n">
        <f aca="false">IF(AG$7&lt;Fin_Close,0,AG17*Subdebt_Perc/SUM(Debt_Perc,Subdebt_Perc))</f>
        <v>0</v>
      </c>
      <c r="AH43" s="61" t="n">
        <f aca="false">IF(AH$7&lt;Fin_Close,0,AH17*Subdebt_Perc/SUM(Debt_Perc,Subdebt_Perc))</f>
        <v>155.610646838334</v>
      </c>
      <c r="AI43" s="61" t="n">
        <f aca="false">IF(AI$7&lt;Fin_Close,0,AI17*Subdebt_Perc/SUM(Debt_Perc,Subdebt_Perc))</f>
        <v>119.404210505516</v>
      </c>
      <c r="AJ43" s="61" t="n">
        <f aca="false">IF(AJ$7&lt;Fin_Close,0,AJ17*Subdebt_Perc/SUM(Debt_Perc,Subdebt_Perc))</f>
        <v>119.347587396972</v>
      </c>
      <c r="AK43" s="61" t="n">
        <f aca="false">IF(AK$7&lt;Fin_Close,0,AK17*Subdebt_Perc/SUM(Debt_Perc,Subdebt_Perc))</f>
        <v>152.524377068949</v>
      </c>
      <c r="AL43" s="61" t="n">
        <f aca="false">IF(AL$7&lt;Fin_Close,0,AL17*Subdebt_Perc/SUM(Debt_Perc,Subdebt_Perc))</f>
        <v>0.00921283439287754</v>
      </c>
      <c r="AM43" s="61" t="n">
        <f aca="false">IF(AM$7&lt;Fin_Close,0,AM17*Subdebt_Perc/SUM(Debt_Perc,Subdebt_Perc))</f>
        <v>2.76539719391085E-016</v>
      </c>
      <c r="AN43" s="61" t="n">
        <f aca="false">IF(AN$7&lt;Fin_Close,0,AN17*Subdebt_Perc/SUM(Debt_Perc,Subdebt_Perc))</f>
        <v>1.20493212274808E-016</v>
      </c>
      <c r="AO43" s="309" t="n">
        <f aca="false">SUM(E43:AN43)</f>
        <v>546.896034644164</v>
      </c>
      <c r="AP43" s="65" t="n">
        <f aca="false">AP42+1</f>
        <v>37</v>
      </c>
    </row>
    <row r="44" customFormat="false" ht="12.75" hidden="false" customHeight="false" outlineLevel="0" collapsed="false">
      <c r="A44" s="37" t="s">
        <v>880</v>
      </c>
      <c r="B44" s="39"/>
      <c r="C44" s="39"/>
      <c r="D44" s="39"/>
      <c r="E44" s="61" t="n">
        <f aca="false">IF(E$7&lt;Fin_Close,0,E18*Subdebt_Perc/SUM(Debt_Perc,Subdebt_Perc))</f>
        <v>0</v>
      </c>
      <c r="F44" s="61" t="n">
        <f aca="false">IF(F$7&lt;Fin_Close,0,F18*Subdebt_Perc/SUM(Debt_Perc,Subdebt_Perc))</f>
        <v>0</v>
      </c>
      <c r="G44" s="61" t="n">
        <f aca="false">IF(G$7&lt;Fin_Close,0,G18*Subdebt_Perc/SUM(Debt_Perc,Subdebt_Perc))</f>
        <v>0</v>
      </c>
      <c r="H44" s="61" t="n">
        <f aca="false">IF(H$7&lt;Fin_Close,0,H18*Subdebt_Perc/SUM(Debt_Perc,Subdebt_Perc))</f>
        <v>0</v>
      </c>
      <c r="I44" s="61" t="n">
        <f aca="false">IF(I$7&lt;Fin_Close,0,I18*Subdebt_Perc/SUM(Debt_Perc,Subdebt_Perc))</f>
        <v>0</v>
      </c>
      <c r="J44" s="61" t="n">
        <f aca="false">IF(J$7&lt;Fin_Close,0,J18*Subdebt_Perc/SUM(Debt_Perc,Subdebt_Perc))</f>
        <v>0</v>
      </c>
      <c r="K44" s="61" t="n">
        <f aca="false">IF(K$7&lt;Fin_Close,0,K18*Subdebt_Perc/SUM(Debt_Perc,Subdebt_Perc))</f>
        <v>0</v>
      </c>
      <c r="L44" s="61" t="n">
        <f aca="false">IF(L$7&lt;Fin_Close,0,L18*Subdebt_Perc/SUM(Debt_Perc,Subdebt_Perc))</f>
        <v>0</v>
      </c>
      <c r="M44" s="61" t="n">
        <f aca="false">IF(M$7&lt;Fin_Close,0,M18*Subdebt_Perc/SUM(Debt_Perc,Subdebt_Perc))</f>
        <v>0</v>
      </c>
      <c r="N44" s="61" t="n">
        <f aca="false">IF(N$7&lt;Fin_Close,0,N18*Subdebt_Perc/SUM(Debt_Perc,Subdebt_Perc))</f>
        <v>0</v>
      </c>
      <c r="O44" s="61" t="n">
        <f aca="false">IF(O$7&lt;Fin_Close,0,O18*Subdebt_Perc/SUM(Debt_Perc,Subdebt_Perc))</f>
        <v>0</v>
      </c>
      <c r="P44" s="61" t="n">
        <f aca="false">IF(P$7&lt;Fin_Close,0,P18*Subdebt_Perc/SUM(Debt_Perc,Subdebt_Perc))</f>
        <v>0</v>
      </c>
      <c r="Q44" s="61" t="n">
        <f aca="false">IF(Q$7&lt;Fin_Close,0,Q18*Subdebt_Perc/SUM(Debt_Perc,Subdebt_Perc))</f>
        <v>0</v>
      </c>
      <c r="R44" s="61" t="n">
        <f aca="false">IF(R$7&lt;Fin_Close,0,R18*Subdebt_Perc/SUM(Debt_Perc,Subdebt_Perc))</f>
        <v>0</v>
      </c>
      <c r="S44" s="61" t="n">
        <f aca="false">IF(S$7&lt;Fin_Close,0,S18*Subdebt_Perc/SUM(Debt_Perc,Subdebt_Perc))</f>
        <v>0</v>
      </c>
      <c r="T44" s="61" t="n">
        <f aca="false">IF(T$7&lt;Fin_Close,0,T18*Subdebt_Perc/SUM(Debt_Perc,Subdebt_Perc))</f>
        <v>0</v>
      </c>
      <c r="U44" s="61" t="n">
        <f aca="false">IF(U$7&lt;Fin_Close,0,U18*Subdebt_Perc/SUM(Debt_Perc,Subdebt_Perc))</f>
        <v>0</v>
      </c>
      <c r="V44" s="61" t="n">
        <f aca="false">IF(V$7&lt;Fin_Close,0,V18*Subdebt_Perc/SUM(Debt_Perc,Subdebt_Perc))</f>
        <v>0</v>
      </c>
      <c r="W44" s="61" t="n">
        <f aca="false">IF(W$7&lt;Fin_Close,0,W18*Subdebt_Perc/SUM(Debt_Perc,Subdebt_Perc))</f>
        <v>0</v>
      </c>
      <c r="X44" s="61" t="n">
        <f aca="false">IF(X$7&lt;Fin_Close,0,X18*Subdebt_Perc/SUM(Debt_Perc,Subdebt_Perc))</f>
        <v>0</v>
      </c>
      <c r="Y44" s="61" t="n">
        <f aca="false">IF(Y$7&lt;Fin_Close,0,Y18*Subdebt_Perc/SUM(Debt_Perc,Subdebt_Perc))</f>
        <v>0</v>
      </c>
      <c r="Z44" s="61" t="n">
        <f aca="false">IF(Z$7&lt;Fin_Close,0,Z18*Subdebt_Perc/SUM(Debt_Perc,Subdebt_Perc))</f>
        <v>0</v>
      </c>
      <c r="AA44" s="61" t="n">
        <f aca="false">IF(AA$7&lt;Fin_Close,0,AA18*Subdebt_Perc/SUM(Debt_Perc,Subdebt_Perc))</f>
        <v>0</v>
      </c>
      <c r="AB44" s="61" t="n">
        <f aca="false">IF(AB$7&lt;Fin_Close,0,AB18*Subdebt_Perc/SUM(Debt_Perc,Subdebt_Perc))</f>
        <v>0</v>
      </c>
      <c r="AC44" s="61" t="n">
        <f aca="false">IF(AC$7&lt;Fin_Close,0,AC18*Subdebt_Perc/SUM(Debt_Perc,Subdebt_Perc))</f>
        <v>0</v>
      </c>
      <c r="AD44" s="61" t="n">
        <f aca="false">IF(AD$7&lt;Fin_Close,0,AD18*Subdebt_Perc/SUM(Debt_Perc,Subdebt_Perc))</f>
        <v>0</v>
      </c>
      <c r="AE44" s="61" t="n">
        <f aca="false">IF(AE$7&lt;Fin_Close,0,AE18*Subdebt_Perc/SUM(Debt_Perc,Subdebt_Perc))</f>
        <v>0</v>
      </c>
      <c r="AF44" s="61" t="n">
        <f aca="false">IF(AF$7&lt;Fin_Close,0,AF18*Subdebt_Perc/SUM(Debt_Perc,Subdebt_Perc))</f>
        <v>0</v>
      </c>
      <c r="AG44" s="61" t="n">
        <f aca="false">IF(AG$7&lt;Fin_Close,0,AG18*Subdebt_Perc/SUM(Debt_Perc,Subdebt_Perc))</f>
        <v>0</v>
      </c>
      <c r="AH44" s="61" t="n">
        <f aca="false">IF(AH$7&lt;Fin_Close,0,AH18*Subdebt_Perc/SUM(Debt_Perc,Subdebt_Perc))</f>
        <v>17.3456699329819</v>
      </c>
      <c r="AI44" s="61" t="n">
        <f aca="false">IF(AI$7&lt;Fin_Close,0,AI18*Subdebt_Perc/SUM(Debt_Perc,Subdebt_Perc))</f>
        <v>18.7740560702624</v>
      </c>
      <c r="AJ44" s="61" t="n">
        <f aca="false">IF(AJ$7&lt;Fin_Close,0,AJ18*Subdebt_Perc/SUM(Debt_Perc,Subdebt_Perc))</f>
        <v>20.0485014481367</v>
      </c>
      <c r="AK44" s="61" t="n">
        <f aca="false">IF(AK$7&lt;Fin_Close,0,AK18*Subdebt_Perc/SUM(Debt_Perc,Subdebt_Perc))</f>
        <v>21.4874261679794</v>
      </c>
      <c r="AL44" s="61" t="n">
        <f aca="false">IF(AL$7&lt;Fin_Close,0,AL18*Subdebt_Perc/SUM(Debt_Perc,Subdebt_Perc))</f>
        <v>22.3895438688397</v>
      </c>
      <c r="AM44" s="61" t="n">
        <f aca="false">IF(AM$7&lt;Fin_Close,0,AM18*Subdebt_Perc/SUM(Debt_Perc,Subdebt_Perc))</f>
        <v>22.5969018629688</v>
      </c>
      <c r="AN44" s="61" t="n">
        <f aca="false">IF(AN$7&lt;Fin_Close,0,AN18*Subdebt_Perc/SUM(Debt_Perc,Subdebt_Perc))</f>
        <v>0</v>
      </c>
      <c r="AO44" s="309" t="n">
        <f aca="false">SUM(E44:AN44)</f>
        <v>122.642099351169</v>
      </c>
      <c r="AP44" s="65" t="n">
        <f aca="false">AP43+1</f>
        <v>38</v>
      </c>
    </row>
    <row r="45" customFormat="false" ht="12.75" hidden="false" customHeight="false" outlineLevel="0" collapsed="false">
      <c r="A45" s="37" t="s">
        <v>881</v>
      </c>
      <c r="B45" s="39"/>
      <c r="C45" s="39"/>
      <c r="D45" s="39"/>
      <c r="E45" s="311" t="n">
        <f aca="false">IF(E$7&lt;Fin_Close,0,E19*Subdebt_Perc/SUM(Debt_Perc,Subdebt_Perc))</f>
        <v>0</v>
      </c>
      <c r="F45" s="311" t="n">
        <f aca="false">IF(F$7&lt;Fin_Close,0,F19*Subdebt_Perc/SUM(Debt_Perc,Subdebt_Perc))</f>
        <v>0</v>
      </c>
      <c r="G45" s="311" t="n">
        <f aca="false">IF(G$7&lt;Fin_Close,0,G19*Subdebt_Perc/SUM(Debt_Perc,Subdebt_Perc))</f>
        <v>0</v>
      </c>
      <c r="H45" s="311" t="n">
        <f aca="false">IF(H$7&lt;Fin_Close,0,H19*Subdebt_Perc/SUM(Debt_Perc,Subdebt_Perc))</f>
        <v>0</v>
      </c>
      <c r="I45" s="311" t="n">
        <f aca="false">IF(I$7&lt;Fin_Close,0,I19*Subdebt_Perc/SUM(Debt_Perc,Subdebt_Perc))</f>
        <v>0</v>
      </c>
      <c r="J45" s="311" t="n">
        <f aca="false">IF(J$7&lt;Fin_Close,0,J19*Subdebt_Perc/SUM(Debt_Perc,Subdebt_Perc))</f>
        <v>0</v>
      </c>
      <c r="K45" s="311" t="n">
        <f aca="false">IF(K$7&lt;Fin_Close,0,K19*Subdebt_Perc/SUM(Debt_Perc,Subdebt_Perc))</f>
        <v>0</v>
      </c>
      <c r="L45" s="311" t="n">
        <f aca="false">IF(L$7&lt;Fin_Close,0,L19*Subdebt_Perc/SUM(Debt_Perc,Subdebt_Perc))</f>
        <v>0</v>
      </c>
      <c r="M45" s="311" t="n">
        <f aca="false">IF(M$7&lt;Fin_Close,0,M19*Subdebt_Perc/SUM(Debt_Perc,Subdebt_Perc))</f>
        <v>0</v>
      </c>
      <c r="N45" s="311" t="n">
        <f aca="false">IF(N$7&lt;Fin_Close,0,N19*Subdebt_Perc/SUM(Debt_Perc,Subdebt_Perc))</f>
        <v>0</v>
      </c>
      <c r="O45" s="311" t="n">
        <f aca="false">IF(O$7&lt;Fin_Close,0,O19*Subdebt_Perc/SUM(Debt_Perc,Subdebt_Perc))</f>
        <v>0</v>
      </c>
      <c r="P45" s="311" t="n">
        <f aca="false">IF(P$7&lt;Fin_Close,0,P19*Subdebt_Perc/SUM(Debt_Perc,Subdebt_Perc))</f>
        <v>0</v>
      </c>
      <c r="Q45" s="311" t="n">
        <f aca="false">IF(Q$7&lt;Fin_Close,0,Q19*Subdebt_Perc/SUM(Debt_Perc,Subdebt_Perc))</f>
        <v>0</v>
      </c>
      <c r="R45" s="311" t="n">
        <f aca="false">IF(R$7&lt;Fin_Close,0,R19*Subdebt_Perc/SUM(Debt_Perc,Subdebt_Perc))</f>
        <v>0</v>
      </c>
      <c r="S45" s="311" t="n">
        <f aca="false">IF(S$7&lt;Fin_Close,0,S19*Subdebt_Perc/SUM(Debt_Perc,Subdebt_Perc))</f>
        <v>0</v>
      </c>
      <c r="T45" s="311" t="n">
        <f aca="false">IF(T$7&lt;Fin_Close,0,T19*Subdebt_Perc/SUM(Debt_Perc,Subdebt_Perc))</f>
        <v>0</v>
      </c>
      <c r="U45" s="311" t="n">
        <f aca="false">IF(U$7&lt;Fin_Close,0,U19*Subdebt_Perc/SUM(Debt_Perc,Subdebt_Perc))</f>
        <v>0</v>
      </c>
      <c r="V45" s="311" t="n">
        <f aca="false">IF(V$7&lt;Fin_Close,0,V19*Subdebt_Perc/SUM(Debt_Perc,Subdebt_Perc))</f>
        <v>0</v>
      </c>
      <c r="W45" s="311" t="n">
        <f aca="false">IF(W$7&lt;Fin_Close,0,W19*Subdebt_Perc/SUM(Debt_Perc,Subdebt_Perc))</f>
        <v>0</v>
      </c>
      <c r="X45" s="311" t="n">
        <f aca="false">IF(X$7&lt;Fin_Close,0,X19*Subdebt_Perc/SUM(Debt_Perc,Subdebt_Perc))</f>
        <v>0</v>
      </c>
      <c r="Y45" s="311" t="n">
        <f aca="false">IF(Y$7&lt;Fin_Close,0,Y19*Subdebt_Perc/SUM(Debt_Perc,Subdebt_Perc))</f>
        <v>0</v>
      </c>
      <c r="Z45" s="311" t="n">
        <f aca="false">IF(Z$7&lt;Fin_Close,0,Z19*Subdebt_Perc/SUM(Debt_Perc,Subdebt_Perc))</f>
        <v>0</v>
      </c>
      <c r="AA45" s="311" t="n">
        <f aca="false">IF(AA$7&lt;Fin_Close,0,AA19*Subdebt_Perc/SUM(Debt_Perc,Subdebt_Perc))</f>
        <v>0</v>
      </c>
      <c r="AB45" s="311" t="n">
        <f aca="false">IF(AB$7&lt;Fin_Close,0,AB19*Subdebt_Perc/SUM(Debt_Perc,Subdebt_Perc))</f>
        <v>0</v>
      </c>
      <c r="AC45" s="311" t="n">
        <f aca="false">IF(AC$7&lt;Fin_Close,0,AC19*Subdebt_Perc/SUM(Debt_Perc,Subdebt_Perc))</f>
        <v>0</v>
      </c>
      <c r="AD45" s="311" t="n">
        <f aca="false">IF(AD$7&lt;Fin_Close,0,AD19*Subdebt_Perc/SUM(Debt_Perc,Subdebt_Perc))</f>
        <v>0</v>
      </c>
      <c r="AE45" s="311" t="n">
        <f aca="false">IF(AE$7&lt;Fin_Close,0,AE19*Subdebt_Perc/SUM(Debt_Perc,Subdebt_Perc))</f>
        <v>0</v>
      </c>
      <c r="AF45" s="311" t="n">
        <f aca="false">IF(AF$7&lt;Fin_Close,0,AF19*Subdebt_Perc/SUM(Debt_Perc,Subdebt_Perc))</f>
        <v>0</v>
      </c>
      <c r="AG45" s="311" t="n">
        <f aca="false">IF(AG$7&lt;Fin_Close,0,AG19*Subdebt_Perc/SUM(Debt_Perc,Subdebt_Perc))</f>
        <v>0</v>
      </c>
      <c r="AH45" s="311" t="n">
        <f aca="false">IF(AH$7&lt;Fin_Close,0,AH19*Subdebt_Perc/SUM(Debt_Perc,Subdebt_Perc))</f>
        <v>0.074881078541717</v>
      </c>
      <c r="AI45" s="311" t="n">
        <f aca="false">IF(AI$7&lt;Fin_Close,0,AI19*Subdebt_Perc/SUM(Debt_Perc,Subdebt_Perc))</f>
        <v>0.0810474067923326</v>
      </c>
      <c r="AJ45" s="311" t="n">
        <f aca="false">IF(AJ$7&lt;Fin_Close,0,AJ19*Subdebt_Perc/SUM(Debt_Perc,Subdebt_Perc))</f>
        <v>0.0865491743692811</v>
      </c>
      <c r="AK45" s="311" t="n">
        <f aca="false">IF(AK$7&lt;Fin_Close,0,AK19*Subdebt_Perc/SUM(Debt_Perc,Subdebt_Perc))</f>
        <v>0.0927609975723319</v>
      </c>
      <c r="AL45" s="311" t="n">
        <f aca="false">IF(AL$7&lt;Fin_Close,0,AL19*Subdebt_Perc/SUM(Debt_Perc,Subdebt_Perc))</f>
        <v>0.0966554304004092</v>
      </c>
      <c r="AM45" s="311" t="n">
        <f aca="false">IF(AM$7&lt;Fin_Close,0,AM19*Subdebt_Perc/SUM(Debt_Perc,Subdebt_Perc))</f>
        <v>0.0975505927264896</v>
      </c>
      <c r="AN45" s="311" t="n">
        <f aca="false">IF(AN$7&lt;Fin_Close,0,AN19*Subdebt_Perc/SUM(Debt_Perc,Subdebt_Perc))</f>
        <v>0</v>
      </c>
      <c r="AO45" s="313" t="n">
        <f aca="false">SUM(E45:AN45)</f>
        <v>0.529444680402561</v>
      </c>
      <c r="AP45" s="65" t="n">
        <f aca="false">AP44+1</f>
        <v>39</v>
      </c>
    </row>
    <row r="46" customFormat="false" ht="12.75" hidden="false" customHeight="false" outlineLevel="0" collapsed="false">
      <c r="A46" s="37" t="s">
        <v>660</v>
      </c>
      <c r="B46" s="39"/>
      <c r="C46" s="39"/>
      <c r="D46" s="39"/>
      <c r="E46" s="61" t="n">
        <f aca="false">SUM(E41:E45)</f>
        <v>0</v>
      </c>
      <c r="F46" s="61" t="n">
        <f aca="false">SUM(F41:F45)</f>
        <v>0</v>
      </c>
      <c r="G46" s="61" t="n">
        <f aca="false">SUM(G41:G45)</f>
        <v>0</v>
      </c>
      <c r="H46" s="61" t="n">
        <f aca="false">SUM(H41:H45)</f>
        <v>0</v>
      </c>
      <c r="I46" s="61" t="n">
        <f aca="false">SUM(I41:I45)</f>
        <v>0</v>
      </c>
      <c r="J46" s="61" t="n">
        <f aca="false">SUM(J41:J45)</f>
        <v>0</v>
      </c>
      <c r="K46" s="61" t="n">
        <f aca="false">SUM(K41:K45)</f>
        <v>0</v>
      </c>
      <c r="L46" s="61" t="n">
        <f aca="false">SUM(L41:L45)</f>
        <v>0</v>
      </c>
      <c r="M46" s="61" t="n">
        <f aca="false">SUM(M41:M45)</f>
        <v>0</v>
      </c>
      <c r="N46" s="61" t="n">
        <f aca="false">SUM(N41:N45)</f>
        <v>0</v>
      </c>
      <c r="O46" s="61" t="n">
        <f aca="false">SUM(O41:O45)</f>
        <v>0</v>
      </c>
      <c r="P46" s="61" t="n">
        <f aca="false">SUM(P41:P45)</f>
        <v>0</v>
      </c>
      <c r="Q46" s="61" t="n">
        <f aca="false">SUM(Q41:Q45)</f>
        <v>0</v>
      </c>
      <c r="R46" s="61" t="n">
        <f aca="false">SUM(R41:R45)</f>
        <v>0</v>
      </c>
      <c r="S46" s="61" t="n">
        <f aca="false">SUM(S41:S45)</f>
        <v>0</v>
      </c>
      <c r="T46" s="61" t="n">
        <f aca="false">SUM(T41:T45)</f>
        <v>0</v>
      </c>
      <c r="U46" s="61" t="n">
        <f aca="false">SUM(U41:U45)</f>
        <v>0</v>
      </c>
      <c r="V46" s="61" t="n">
        <f aca="false">SUM(V41:V45)</f>
        <v>0</v>
      </c>
      <c r="W46" s="61" t="n">
        <f aca="false">SUM(W41:W45)</f>
        <v>0</v>
      </c>
      <c r="X46" s="61" t="n">
        <f aca="false">SUM(X41:X45)</f>
        <v>0</v>
      </c>
      <c r="Y46" s="61" t="n">
        <f aca="false">SUM(Y41:Y45)</f>
        <v>0</v>
      </c>
      <c r="Z46" s="61" t="n">
        <f aca="false">SUM(Z41:Z45)</f>
        <v>0</v>
      </c>
      <c r="AA46" s="61" t="n">
        <f aca="false">SUM(AA41:AA45)</f>
        <v>0</v>
      </c>
      <c r="AB46" s="61" t="n">
        <f aca="false">SUM(AB41:AB45)</f>
        <v>0</v>
      </c>
      <c r="AC46" s="61" t="n">
        <f aca="false">SUM(AC41:AC45)</f>
        <v>0</v>
      </c>
      <c r="AD46" s="61" t="n">
        <f aca="false">SUM(AD41:AD45)</f>
        <v>0</v>
      </c>
      <c r="AE46" s="61" t="n">
        <f aca="false">SUM(AE41:AE45)</f>
        <v>0</v>
      </c>
      <c r="AF46" s="61" t="n">
        <f aca="false">SUM(AF41:AF45)</f>
        <v>0</v>
      </c>
      <c r="AG46" s="61" t="n">
        <f aca="false">SUM(AG41:AG45)</f>
        <v>0</v>
      </c>
      <c r="AH46" s="61" t="n">
        <f aca="false">SUM(AH41:AH45)</f>
        <v>1976.60061535981</v>
      </c>
      <c r="AI46" s="61" t="n">
        <f aca="false">SUM(AI41:AI45)</f>
        <v>2114.85992934238</v>
      </c>
      <c r="AJ46" s="61" t="n">
        <f aca="false">SUM(AJ41:AJ45)</f>
        <v>2254.34256736185</v>
      </c>
      <c r="AK46" s="61" t="n">
        <f aca="false">SUM(AK41:AK45)</f>
        <v>2428.44713159636</v>
      </c>
      <c r="AL46" s="61" t="n">
        <f aca="false">SUM(AL41:AL45)</f>
        <v>2450.94254372999</v>
      </c>
      <c r="AM46" s="61" t="n">
        <f aca="false">SUM(AM41:AM45)</f>
        <v>2473.63699618568</v>
      </c>
      <c r="AN46" s="61" t="n">
        <f aca="false">SUM(AN41:AN45)</f>
        <v>2473.63699618568</v>
      </c>
      <c r="AO46" s="309" t="n">
        <f aca="false">SUM(AO41:AO45)</f>
        <v>2473.63699618568</v>
      </c>
      <c r="AP46" s="65" t="n">
        <f aca="false">AP45+1</f>
        <v>40</v>
      </c>
    </row>
    <row r="47" customFormat="false" ht="12.75" hidden="false" customHeight="false" outlineLevel="0" collapsed="false">
      <c r="A47" s="37"/>
      <c r="B47" s="39"/>
      <c r="C47" s="39"/>
      <c r="D47" s="3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329"/>
      <c r="Y47" s="329"/>
      <c r="Z47" s="329"/>
      <c r="AA47" s="329"/>
      <c r="AB47" s="329"/>
      <c r="AC47" s="329"/>
      <c r="AD47" s="329"/>
      <c r="AE47" s="329"/>
      <c r="AF47" s="329"/>
      <c r="AG47" s="329"/>
      <c r="AH47" s="329"/>
      <c r="AI47" s="329"/>
      <c r="AJ47" s="329"/>
      <c r="AK47" s="329"/>
      <c r="AL47" s="329"/>
      <c r="AM47" s="329"/>
      <c r="AN47" s="329"/>
      <c r="AO47" s="302"/>
      <c r="AP47" s="65" t="n">
        <f aca="false">AP46+1</f>
        <v>41</v>
      </c>
    </row>
    <row r="48" customFormat="false" ht="12.75" hidden="false" customHeight="false" outlineLevel="0" collapsed="false">
      <c r="A48" s="310" t="s">
        <v>884</v>
      </c>
      <c r="B48" s="106"/>
      <c r="C48" s="106"/>
      <c r="D48" s="106"/>
      <c r="E48" s="890" t="n">
        <f aca="false">IF(E$7&lt;Startops1,(SUM(E25:E26)+E27/2)*$D$11/12,0)</f>
        <v>0</v>
      </c>
      <c r="F48" s="890" t="n">
        <f aca="false">IF(F$7&lt;Startops1,(SUM(F25:F26)+F27/2)*$D$11/12,0)</f>
        <v>0</v>
      </c>
      <c r="G48" s="890" t="n">
        <f aca="false">IF(G$7&lt;Startops1,(SUM(G25:G26)+G27/2)*$D$11/12,0)</f>
        <v>0</v>
      </c>
      <c r="H48" s="890" t="n">
        <f aca="false">IF(H$7&lt;Startops1,(SUM(H25:H26)+H27/2)*$D$11/12,0)</f>
        <v>0</v>
      </c>
      <c r="I48" s="890" t="n">
        <f aca="false">IF(I$7&lt;Startops1,(SUM(I25:I26)+I27/2)*$D$11/12,0)</f>
        <v>0</v>
      </c>
      <c r="J48" s="890" t="n">
        <f aca="false">IF(J$7&lt;Startops1,(SUM(J25:J26)+J27/2)*$D$11/12,0)</f>
        <v>0</v>
      </c>
      <c r="K48" s="890" t="n">
        <f aca="false">IF(K$7&lt;Startops1,(SUM(K25:K26)+K27/2)*$D$11/12,0)</f>
        <v>0</v>
      </c>
      <c r="L48" s="890" t="n">
        <f aca="false">IF(L$7&lt;Startops1,(SUM(L25:L26)+L27/2)*$D$11/12,0)</f>
        <v>0</v>
      </c>
      <c r="M48" s="890" t="n">
        <f aca="false">IF(M$7&lt;Startops1,(SUM(M25:M26)+M27/2)*$D$11/12,0)</f>
        <v>0</v>
      </c>
      <c r="N48" s="890" t="n">
        <f aca="false">IF(N$7&lt;Startops1,(SUM(N25:N26)+N27/2)*$D$11/12,0)</f>
        <v>0</v>
      </c>
      <c r="O48" s="890" t="n">
        <f aca="false">IF(O$7&lt;Startops1,(SUM(O25:O26)+O27/2)*$D$11/12,0)</f>
        <v>0</v>
      </c>
      <c r="P48" s="890" t="n">
        <f aca="false">IF(P$7&lt;Startops1,(SUM(P25:P26)+P27/2)*$D$11/12,0)</f>
        <v>0</v>
      </c>
      <c r="Q48" s="890" t="n">
        <f aca="false">IF(Q$7&lt;Startops1,(SUM(Q25:Q26)+Q27/2)*$D$11/12,0)</f>
        <v>0</v>
      </c>
      <c r="R48" s="890" t="n">
        <f aca="false">IF(R$7&lt;Startops1,(SUM(R25:R26)+R27/2)*$D$11/12,0)</f>
        <v>0</v>
      </c>
      <c r="S48" s="890" t="n">
        <f aca="false">IF(S$7&lt;Startops1,(SUM(S25:S26)+S27/2)*$D$11/12,0)</f>
        <v>0</v>
      </c>
      <c r="T48" s="890" t="n">
        <f aca="false">IF(T$7&lt;Startops1,(SUM(T25:T26)+T27/2)*$D$11/12,0)</f>
        <v>49.8584509</v>
      </c>
      <c r="U48" s="890" t="n">
        <f aca="false">IF(U$7&lt;Startops1,(SUM(U25:U26)+U27/2)*$D$11/12,0)</f>
        <v>113.616067233714</v>
      </c>
      <c r="V48" s="890" t="n">
        <f aca="false">IF(V$7&lt;Startops1,(SUM(V25:V26)+V27/2)*$D$11/12,0)</f>
        <v>127.879561903621</v>
      </c>
      <c r="W48" s="890" t="n">
        <f aca="false">IF(W$7&lt;Startops1,(SUM(W25:W26)+W27/2)*$D$11/12,0)</f>
        <v>141.430302257356</v>
      </c>
      <c r="X48" s="890" t="n">
        <f aca="false">IF(X$7&lt;Startops1,(SUM(X25:X26)+X27/2)*$D$11/12,0)</f>
        <v>176.558475413113</v>
      </c>
      <c r="Y48" s="890" t="n">
        <f aca="false">IF(Y$7&lt;Startops1,(SUM(Y25:Y26)+Y27/2)*$D$11/12,0)</f>
        <v>210.660408610642</v>
      </c>
      <c r="Z48" s="890" t="n">
        <f aca="false">IF(Z$7&lt;Startops1,(SUM(Z25:Z26)+Z27/2)*$D$11/12,0)</f>
        <v>235.050237621611</v>
      </c>
      <c r="AA48" s="890" t="n">
        <f aca="false">IF(AA$7&lt;Startops1,(SUM(AA25:AA26)+AA27/2)*$D$11/12,0)</f>
        <v>259.579437084072</v>
      </c>
      <c r="AB48" s="890" t="n">
        <f aca="false">IF(AB$7&lt;Startops1,(SUM(AB25:AB26)+AB27/2)*$D$11/12,0)</f>
        <v>284.248803400604</v>
      </c>
      <c r="AC48" s="890" t="n">
        <f aca="false">IF(AC$7&lt;Startops1,(SUM(AC25:AC26)+AC27/2)*$D$11/12,0)</f>
        <v>309.059137524659</v>
      </c>
      <c r="AD48" s="890" t="n">
        <f aca="false">IF(AD$7&lt;Startops1,(SUM(AD25:AD26)+AD27/2)*$D$11/12,0)</f>
        <v>334.011244986566</v>
      </c>
      <c r="AE48" s="890" t="n">
        <f aca="false">IF(AE$7&lt;Startops1,(SUM(AE25:AE26)+AE27/2)*$D$11/12,0)</f>
        <v>309.105935919683</v>
      </c>
      <c r="AF48" s="890" t="n">
        <f aca="false">IF(AF$7&lt;Startops1,(SUM(AF25:AF26)+AF27/2)*$D$11/12,0)</f>
        <v>298.148050259657</v>
      </c>
      <c r="AG48" s="890" t="n">
        <f aca="false">IF(AG$7&lt;Startops1,(SUM(AG25:AG26)+AG27/2)*$D$11/12,0)</f>
        <v>337.127548110144</v>
      </c>
      <c r="AH48" s="890" t="n">
        <f aca="false">IF(AH$7&lt;Startops1,(SUM(AH25:AH26)+AH27/2)*$D$11/12,0)</f>
        <v>0</v>
      </c>
      <c r="AI48" s="890" t="n">
        <f aca="false">IF(AI$7&lt;Startops1,(SUM(AI25:AI26)+AI27/2)*$D$11/12,0)</f>
        <v>0</v>
      </c>
      <c r="AJ48" s="890" t="n">
        <f aca="false">IF(AJ$7&lt;Startops1,(SUM(AJ25:AJ26)+AJ27/2)*$D$11/12,0)</f>
        <v>0</v>
      </c>
      <c r="AK48" s="890" t="n">
        <f aca="false">IF(AK$7&lt;Startops1,(SUM(AK25:AK26)+AK27/2)*$D$11/12,0)</f>
        <v>0</v>
      </c>
      <c r="AL48" s="890" t="n">
        <f aca="false">IF(AL$7&lt;Startops1,(SUM(AL25:AL26)+AL27/2)*$D$11/12,0)</f>
        <v>0</v>
      </c>
      <c r="AM48" s="890" t="n">
        <f aca="false">IF(AM$7&lt;Startops1,(SUM(AM25:AM26)+AM27/2)*$D$11/12,0)</f>
        <v>0</v>
      </c>
      <c r="AN48" s="890" t="n">
        <f aca="false">IF(AN$7&lt;Startops1,(SUM(AN25:AN26)+AN27/2)*$D$11/12,0)</f>
        <v>0</v>
      </c>
      <c r="AO48" s="891" t="n">
        <f aca="false">SUM(E48:AN48)</f>
        <v>3186.33366122544</v>
      </c>
      <c r="AP48" s="65" t="n">
        <f aca="false">AP47+1</f>
        <v>42</v>
      </c>
    </row>
    <row r="49" customFormat="false" ht="12.75" hidden="false" customHeight="false" outlineLevel="0" collapsed="false">
      <c r="A49" s="310" t="s">
        <v>885</v>
      </c>
      <c r="B49" s="106"/>
      <c r="C49" s="106"/>
      <c r="D49" s="106"/>
      <c r="E49" s="890" t="n">
        <f aca="false">IF(E$7&lt;Startops1,(SUM(E33:E34)+E35/2)*$D$12/12,0)</f>
        <v>0</v>
      </c>
      <c r="F49" s="890" t="n">
        <f aca="false">IF(F$7&lt;Startops1,(SUM(F33:F34)+F35/2)*$D$12/12,0)</f>
        <v>0</v>
      </c>
      <c r="G49" s="890" t="n">
        <f aca="false">IF(G$7&lt;Startops1,(SUM(G33:G34)+G35/2)*$D$12/12,0)</f>
        <v>0</v>
      </c>
      <c r="H49" s="890" t="n">
        <f aca="false">IF(H$7&lt;Startops1,(SUM(H33:H34)+H35/2)*$D$12/12,0)</f>
        <v>0</v>
      </c>
      <c r="I49" s="890" t="n">
        <f aca="false">IF(I$7&lt;Startops1,(SUM(I33:I34)+I35/2)*$D$12/12,0)</f>
        <v>0</v>
      </c>
      <c r="J49" s="890" t="n">
        <f aca="false">IF(J$7&lt;Startops1,(SUM(J33:J34)+J35/2)*$D$12/12,0)</f>
        <v>0</v>
      </c>
      <c r="K49" s="890" t="n">
        <f aca="false">IF(K$7&lt;Startops1,(SUM(K33:K34)+K35/2)*$D$12/12,0)</f>
        <v>0</v>
      </c>
      <c r="L49" s="890" t="n">
        <f aca="false">IF(L$7&lt;Startops1,(SUM(L33:L34)+L35/2)*$D$12/12,0)</f>
        <v>0</v>
      </c>
      <c r="M49" s="890" t="n">
        <f aca="false">IF(M$7&lt;Startops1,(SUM(M33:M34)+M35/2)*$D$12/12,0)</f>
        <v>0</v>
      </c>
      <c r="N49" s="890" t="n">
        <f aca="false">IF(N$7&lt;Startops1,(SUM(N33:N34)+N35/2)*$D$12/12,0)</f>
        <v>0</v>
      </c>
      <c r="O49" s="890" t="n">
        <f aca="false">IF(O$7&lt;Startops1,(SUM(O33:O34)+O35/2)*$D$12/12,0)</f>
        <v>0</v>
      </c>
      <c r="P49" s="890" t="n">
        <f aca="false">IF(P$7&lt;Startops1,(SUM(P33:P34)+P35/2)*$D$12/12,0)</f>
        <v>0</v>
      </c>
      <c r="Q49" s="890" t="n">
        <f aca="false">IF(Q$7&lt;Startops1,(SUM(Q33:Q34)+Q35/2)*$D$12/12,0)</f>
        <v>0</v>
      </c>
      <c r="R49" s="890" t="n">
        <f aca="false">IF(R$7&lt;Startops1,(SUM(R33:R34)+R35/2)*$D$12/12,0)</f>
        <v>0</v>
      </c>
      <c r="S49" s="890" t="n">
        <f aca="false">IF(S$7&lt;Startops1,(SUM(S33:S34)+S35/2)*$D$12/12,0)</f>
        <v>0</v>
      </c>
      <c r="T49" s="890" t="n">
        <f aca="false">IF(T$7&lt;Startops1,(SUM(T33:T34)+T35/2)*$D$12/12,0)</f>
        <v>0</v>
      </c>
      <c r="U49" s="890" t="n">
        <f aca="false">IF(U$7&lt;Startops1,(SUM(U33:U34)+U35/2)*$D$12/12,0)</f>
        <v>0</v>
      </c>
      <c r="V49" s="890" t="n">
        <f aca="false">IF(V$7&lt;Startops1,(SUM(V33:V34)+V35/2)*$D$12/12,0)</f>
        <v>0</v>
      </c>
      <c r="W49" s="890" t="n">
        <f aca="false">IF(W$7&lt;Startops1,(SUM(W33:W34)+W35/2)*$D$12/12,0)</f>
        <v>0</v>
      </c>
      <c r="X49" s="890" t="n">
        <f aca="false">IF(X$7&lt;Startops1,(SUM(X33:X34)+X35/2)*$D$12/12,0)</f>
        <v>0</v>
      </c>
      <c r="Y49" s="890" t="n">
        <f aca="false">IF(Y$7&lt;Startops1,(SUM(Y33:Y34)+Y35/2)*$D$12/12,0)</f>
        <v>0</v>
      </c>
      <c r="Z49" s="890" t="n">
        <f aca="false">IF(Z$7&lt;Startops1,(SUM(Z33:Z34)+Z35/2)*$D$12/12,0)</f>
        <v>0</v>
      </c>
      <c r="AA49" s="890" t="n">
        <f aca="false">IF(AA$7&lt;Startops1,(SUM(AA33:AA34)+AA35/2)*$D$12/12,0)</f>
        <v>0</v>
      </c>
      <c r="AB49" s="890" t="n">
        <f aca="false">IF(AB$7&lt;Startops1,(SUM(AB33:AB34)+AB35/2)*$D$12/12,0)</f>
        <v>0</v>
      </c>
      <c r="AC49" s="890" t="n">
        <f aca="false">IF(AC$7&lt;Startops1,(SUM(AC33:AC34)+AC35/2)*$D$12/12,0)</f>
        <v>0</v>
      </c>
      <c r="AD49" s="890" t="n">
        <f aca="false">IF(AD$7&lt;Startops1,(SUM(AD33:AD34)+AD35/2)*$D$12/12,0)</f>
        <v>0</v>
      </c>
      <c r="AE49" s="890" t="n">
        <f aca="false">IF(AE$7&lt;Startops1,(SUM(AE33:AE34)+AE35/2)*$D$12/12,0)</f>
        <v>0</v>
      </c>
      <c r="AF49" s="890" t="n">
        <f aca="false">IF(AF$7&lt;Startops1,(SUM(AF33:AF34)+AF35/2)*$D$12/12,0)</f>
        <v>0</v>
      </c>
      <c r="AG49" s="890" t="n">
        <f aca="false">IF(AG$7&lt;Startops1,(SUM(AG33:AG34)+AG35/2)*$D$12/12,0)</f>
        <v>0</v>
      </c>
      <c r="AH49" s="890" t="n">
        <f aca="false">IF(AH$7&lt;Startops1,(SUM(AH33:AH34)+AH35/2)*$D$12/12,0)</f>
        <v>654.08180092734</v>
      </c>
      <c r="AI49" s="890" t="n">
        <f aca="false">IF(AI$7&lt;Startops1,(SUM(AI33:AI34)+AI35/2)*$D$12/12,0)</f>
        <v>707.944314205975</v>
      </c>
      <c r="AJ49" s="890" t="n">
        <f aca="false">IF(AJ$7&lt;Startops1,(SUM(AJ33:AJ34)+AJ35/2)*$D$12/12,0)</f>
        <v>756.001929228298</v>
      </c>
      <c r="AK49" s="890" t="n">
        <f aca="false">IF(AK$7&lt;Startops1,(SUM(AK33:AK34)+AK35/2)*$D$12/12,0)</f>
        <v>810.261838230945</v>
      </c>
      <c r="AL49" s="890" t="n">
        <f aca="false">IF(AL$7&lt;Startops1,(SUM(AL33:AL34)+AL35/2)*$D$12/12,0)</f>
        <v>844.279479100798</v>
      </c>
      <c r="AM49" s="890" t="n">
        <f aca="false">IF(AM$7&lt;Startops1,(SUM(AM33:AM34)+AM35/2)*$D$12/12,0)</f>
        <v>852.098669178819</v>
      </c>
      <c r="AN49" s="890" t="n">
        <f aca="false">IF(AN$7&lt;Startops1,(SUM(AN33:AN34)+AN35/2)*$D$12/12,0)</f>
        <v>0</v>
      </c>
      <c r="AO49" s="891" t="n">
        <f aca="false">SUM(E49:AN49)</f>
        <v>4624.66803087217</v>
      </c>
      <c r="AP49" s="65" t="n">
        <f aca="false">AP48+1</f>
        <v>43</v>
      </c>
    </row>
    <row r="50" customFormat="false" ht="12.75" hidden="false" customHeight="false" outlineLevel="0" collapsed="false">
      <c r="A50" s="310" t="s">
        <v>886</v>
      </c>
      <c r="B50" s="106"/>
      <c r="C50" s="106"/>
      <c r="D50" s="106"/>
      <c r="E50" s="892" t="n">
        <f aca="false">IF(E$7&lt;Startops1,(SUM(E41:E42)+E43/2)*$D$13/12,0)</f>
        <v>0</v>
      </c>
      <c r="F50" s="892" t="n">
        <f aca="false">IF(F$7&lt;Startops1,(SUM(F41:F42)+F43/2)*$D$13/12,0)</f>
        <v>0</v>
      </c>
      <c r="G50" s="892" t="n">
        <f aca="false">IF(G$7&lt;Startops1,(SUM(G41:G42)+G43/2)*$D$13/12,0)</f>
        <v>0</v>
      </c>
      <c r="H50" s="892" t="n">
        <f aca="false">IF(H$7&lt;Startops1,(SUM(H41:H42)+H43/2)*$D$13/12,0)</f>
        <v>0</v>
      </c>
      <c r="I50" s="892" t="n">
        <f aca="false">IF(I$7&lt;Startops1,(SUM(I41:I42)+I43/2)*$D$13/12,0)</f>
        <v>0</v>
      </c>
      <c r="J50" s="892" t="n">
        <f aca="false">IF(J$7&lt;Startops1,(SUM(J41:J42)+J43/2)*$D$13/12,0)</f>
        <v>0</v>
      </c>
      <c r="K50" s="892" t="n">
        <f aca="false">IF(K$7&lt;Startops1,(SUM(K41:K42)+K43/2)*$D$13/12,0)</f>
        <v>0</v>
      </c>
      <c r="L50" s="892" t="n">
        <f aca="false">IF(L$7&lt;Startops1,(SUM(L41:L42)+L43/2)*$D$13/12,0)</f>
        <v>0</v>
      </c>
      <c r="M50" s="892" t="n">
        <f aca="false">IF(M$7&lt;Startops1,(SUM(M41:M42)+M43/2)*$D$13/12,0)</f>
        <v>0</v>
      </c>
      <c r="N50" s="892" t="n">
        <f aca="false">IF(N$7&lt;Startops1,(SUM(N41:N42)+N43/2)*$D$13/12,0)</f>
        <v>0</v>
      </c>
      <c r="O50" s="892" t="n">
        <f aca="false">IF(O$7&lt;Startops1,(SUM(O41:O42)+O43/2)*$D$13/12,0)</f>
        <v>0</v>
      </c>
      <c r="P50" s="892" t="n">
        <f aca="false">IF(P$7&lt;Startops1,(SUM(P41:P42)+P43/2)*$D$13/12,0)</f>
        <v>0</v>
      </c>
      <c r="Q50" s="892" t="n">
        <f aca="false">IF(Q$7&lt;Startops1,(SUM(Q41:Q42)+Q43/2)*$D$13/12,0)</f>
        <v>0</v>
      </c>
      <c r="R50" s="892" t="n">
        <f aca="false">IF(R$7&lt;Startops1,(SUM(R41:R42)+R43/2)*$D$13/12,0)</f>
        <v>0</v>
      </c>
      <c r="S50" s="892" t="n">
        <f aca="false">IF(S$7&lt;Startops1,(SUM(S41:S42)+S43/2)*$D$13/12,0)</f>
        <v>0</v>
      </c>
      <c r="T50" s="892" t="n">
        <f aca="false">IF(T$7&lt;Startops1,(SUM(T41:T42)+T43/2)*$D$13/12,0)</f>
        <v>0</v>
      </c>
      <c r="U50" s="892" t="n">
        <f aca="false">IF(U$7&lt;Startops1,(SUM(U41:U42)+U43/2)*$D$13/12,0)</f>
        <v>0</v>
      </c>
      <c r="V50" s="892" t="n">
        <f aca="false">IF(V$7&lt;Startops1,(SUM(V41:V42)+V43/2)*$D$13/12,0)</f>
        <v>0</v>
      </c>
      <c r="W50" s="892" t="n">
        <f aca="false">IF(W$7&lt;Startops1,(SUM(W41:W42)+W43/2)*$D$13/12,0)</f>
        <v>0</v>
      </c>
      <c r="X50" s="892" t="n">
        <f aca="false">IF(X$7&lt;Startops1,(SUM(X41:X42)+X43/2)*$D$13/12,0)</f>
        <v>0</v>
      </c>
      <c r="Y50" s="892" t="n">
        <f aca="false">IF(Y$7&lt;Startops1,(SUM(Y41:Y42)+Y43/2)*$D$13/12,0)</f>
        <v>0</v>
      </c>
      <c r="Z50" s="892" t="n">
        <f aca="false">IF(Z$7&lt;Startops1,(SUM(Z41:Z42)+Z43/2)*$D$13/12,0)</f>
        <v>0</v>
      </c>
      <c r="AA50" s="892" t="n">
        <f aca="false">IF(AA$7&lt;Startops1,(SUM(AA41:AA42)+AA43/2)*$D$13/12,0)</f>
        <v>0</v>
      </c>
      <c r="AB50" s="892" t="n">
        <f aca="false">IF(AB$7&lt;Startops1,(SUM(AB41:AB42)+AB43/2)*$D$13/12,0)</f>
        <v>0</v>
      </c>
      <c r="AC50" s="892" t="n">
        <f aca="false">IF(AC$7&lt;Startops1,(SUM(AC41:AC42)+AC43/2)*$D$13/12,0)</f>
        <v>0</v>
      </c>
      <c r="AD50" s="892" t="n">
        <f aca="false">IF(AD$7&lt;Startops1,(SUM(AD41:AD42)+AD43/2)*$D$13/12,0)</f>
        <v>0</v>
      </c>
      <c r="AE50" s="892" t="n">
        <f aca="false">IF(AE$7&lt;Startops1,(SUM(AE41:AE42)+AE43/2)*$D$13/12,0)</f>
        <v>0</v>
      </c>
      <c r="AF50" s="892" t="n">
        <f aca="false">IF(AF$7&lt;Startops1,(SUM(AF41:AF42)+AF43/2)*$D$13/12,0)</f>
        <v>0</v>
      </c>
      <c r="AG50" s="892" t="n">
        <f aca="false">IF(AG$7&lt;Startops1,(SUM(AG41:AG42)+AG43/2)*$D$13/12,0)</f>
        <v>0</v>
      </c>
      <c r="AH50" s="892" t="n">
        <f aca="false">IF(AH$7&lt;Startops1,(SUM(AH41:AH42)+AH43/2)*$D$13/12,0)</f>
        <v>20.3815596933987</v>
      </c>
      <c r="AI50" s="892" t="n">
        <f aca="false">IF(AI$7&lt;Startops1,(SUM(AI41:AI42)+AI43/2)*$D$13/12,0)</f>
        <v>22.0599461399694</v>
      </c>
      <c r="AJ50" s="892" t="n">
        <f aca="false">IF(AJ$7&lt;Startops1,(SUM(AJ41:AJ42)+AJ43/2)*$D$13/12,0)</f>
        <v>23.557448666276</v>
      </c>
      <c r="AK50" s="892" t="n">
        <f aca="false">IF(AK$7&lt;Startops1,(SUM(AK41:AK42)+AK43/2)*$D$13/12,0)</f>
        <v>25.2482181888769</v>
      </c>
      <c r="AL50" s="892" t="n">
        <f aca="false">IF(AL$7&lt;Startops1,(SUM(AL41:AL42)+AL43/2)*$D$13/12,0)</f>
        <v>26.3082271618135</v>
      </c>
      <c r="AM50" s="892" t="n">
        <f aca="false">IF(AM$7&lt;Startops1,(SUM(AM41:AM42)+AM43/2)*$D$13/12,0)</f>
        <v>26.5518775570749</v>
      </c>
      <c r="AN50" s="892" t="n">
        <f aca="false">IF(AN$7&lt;Startops1,(SUM(AN41:AN42)+AN43/2)*$D$13/12,0)</f>
        <v>0</v>
      </c>
      <c r="AO50" s="893" t="n">
        <f aca="false">SUM(E50:AN50)</f>
        <v>144.107277407409</v>
      </c>
      <c r="AP50" s="65" t="n">
        <f aca="false">AP49+1</f>
        <v>44</v>
      </c>
    </row>
    <row r="51" customFormat="false" ht="12.75" hidden="false" customHeight="false" outlineLevel="0" collapsed="false">
      <c r="A51" s="308" t="s">
        <v>887</v>
      </c>
      <c r="B51" s="38"/>
      <c r="C51" s="38"/>
      <c r="D51" s="38"/>
      <c r="E51" s="314" t="n">
        <f aca="false">SUM(E48:E50)</f>
        <v>0</v>
      </c>
      <c r="F51" s="314" t="n">
        <f aca="false">SUM(F48:F50)</f>
        <v>0</v>
      </c>
      <c r="G51" s="314" t="n">
        <f aca="false">SUM(G48:G50)</f>
        <v>0</v>
      </c>
      <c r="H51" s="314" t="n">
        <f aca="false">SUM(H48:H50)</f>
        <v>0</v>
      </c>
      <c r="I51" s="314" t="n">
        <f aca="false">SUM(I48:I50)</f>
        <v>0</v>
      </c>
      <c r="J51" s="314" t="n">
        <f aca="false">SUM(J48:J50)</f>
        <v>0</v>
      </c>
      <c r="K51" s="314" t="n">
        <f aca="false">SUM(K48:K50)</f>
        <v>0</v>
      </c>
      <c r="L51" s="314" t="n">
        <f aca="false">SUM(L48:L50)</f>
        <v>0</v>
      </c>
      <c r="M51" s="314" t="n">
        <f aca="false">SUM(M48:M50)</f>
        <v>0</v>
      </c>
      <c r="N51" s="314" t="n">
        <f aca="false">SUM(N48:N50)</f>
        <v>0</v>
      </c>
      <c r="O51" s="314" t="n">
        <f aca="false">SUM(O48:O50)</f>
        <v>0</v>
      </c>
      <c r="P51" s="314" t="n">
        <f aca="false">SUM(P48:P50)</f>
        <v>0</v>
      </c>
      <c r="Q51" s="314" t="n">
        <f aca="false">SUM(Q48:Q50)</f>
        <v>0</v>
      </c>
      <c r="R51" s="314" t="n">
        <f aca="false">SUM(R48:R50)</f>
        <v>0</v>
      </c>
      <c r="S51" s="314" t="n">
        <f aca="false">SUM(S48:S50)</f>
        <v>0</v>
      </c>
      <c r="T51" s="314" t="n">
        <f aca="false">SUM(T48:T50)</f>
        <v>49.8584509</v>
      </c>
      <c r="U51" s="314" t="n">
        <f aca="false">SUM(U48:U50)</f>
        <v>113.616067233714</v>
      </c>
      <c r="V51" s="314" t="n">
        <f aca="false">SUM(V48:V50)</f>
        <v>127.879561903621</v>
      </c>
      <c r="W51" s="314" t="n">
        <f aca="false">SUM(W48:W50)</f>
        <v>141.430302257356</v>
      </c>
      <c r="X51" s="314" t="n">
        <f aca="false">SUM(X48:X50)</f>
        <v>176.558475413113</v>
      </c>
      <c r="Y51" s="314" t="n">
        <f aca="false">SUM(Y48:Y50)</f>
        <v>210.660408610642</v>
      </c>
      <c r="Z51" s="314" t="n">
        <f aca="false">SUM(Z48:Z50)</f>
        <v>235.050237621611</v>
      </c>
      <c r="AA51" s="314" t="n">
        <f aca="false">SUM(AA48:AA50)</f>
        <v>259.579437084072</v>
      </c>
      <c r="AB51" s="314" t="n">
        <f aca="false">SUM(AB48:AB50)</f>
        <v>284.248803400604</v>
      </c>
      <c r="AC51" s="314" t="n">
        <f aca="false">SUM(AC48:AC50)</f>
        <v>309.059137524659</v>
      </c>
      <c r="AD51" s="314" t="n">
        <f aca="false">SUM(AD48:AD50)</f>
        <v>334.011244986566</v>
      </c>
      <c r="AE51" s="314" t="n">
        <f aca="false">SUM(AE48:AE50)</f>
        <v>309.105935919683</v>
      </c>
      <c r="AF51" s="314" t="n">
        <f aca="false">SUM(AF48:AF50)</f>
        <v>298.148050259657</v>
      </c>
      <c r="AG51" s="314" t="n">
        <f aca="false">SUM(AG48:AG50)</f>
        <v>337.127548110144</v>
      </c>
      <c r="AH51" s="314" t="n">
        <f aca="false">SUM(AH48:AH50)</f>
        <v>674.463360620738</v>
      </c>
      <c r="AI51" s="314" t="n">
        <f aca="false">SUM(AI48:AI50)</f>
        <v>730.004260345944</v>
      </c>
      <c r="AJ51" s="314" t="n">
        <f aca="false">SUM(AJ48:AJ50)</f>
        <v>779.559377894574</v>
      </c>
      <c r="AK51" s="314" t="n">
        <f aca="false">SUM(AK48:AK50)</f>
        <v>835.510056419822</v>
      </c>
      <c r="AL51" s="314" t="n">
        <f aca="false">SUM(AL48:AL50)</f>
        <v>870.587706262611</v>
      </c>
      <c r="AM51" s="314" t="n">
        <f aca="false">SUM(AM48:AM50)</f>
        <v>878.650546735894</v>
      </c>
      <c r="AN51" s="314" t="n">
        <f aca="false">SUM(AN48:AN50)</f>
        <v>0</v>
      </c>
      <c r="AO51" s="316" t="n">
        <f aca="false">SUM(E51:AN51)</f>
        <v>7955.10896950503</v>
      </c>
      <c r="AP51" s="65" t="n">
        <f aca="false">AP50+1</f>
        <v>45</v>
      </c>
    </row>
    <row r="52" customFormat="false" ht="12.75" hidden="false" customHeight="false" outlineLevel="0" collapsed="false">
      <c r="A52" s="310" t="s">
        <v>888</v>
      </c>
      <c r="B52" s="106"/>
      <c r="C52" s="106"/>
      <c r="D52" s="106"/>
      <c r="E52" s="890" t="n">
        <f aca="false">SUM($E51:E51)</f>
        <v>0</v>
      </c>
      <c r="F52" s="890" t="n">
        <f aca="false">SUM($E51:F51)</f>
        <v>0</v>
      </c>
      <c r="G52" s="890" t="n">
        <f aca="false">SUM($E51:G51)</f>
        <v>0</v>
      </c>
      <c r="H52" s="890" t="n">
        <f aca="false">SUM($E51:H51)</f>
        <v>0</v>
      </c>
      <c r="I52" s="890" t="n">
        <f aca="false">SUM($E51:I51)</f>
        <v>0</v>
      </c>
      <c r="J52" s="890" t="n">
        <f aca="false">SUM($E51:J51)</f>
        <v>0</v>
      </c>
      <c r="K52" s="890" t="n">
        <f aca="false">SUM($E51:K51)</f>
        <v>0</v>
      </c>
      <c r="L52" s="890" t="n">
        <f aca="false">SUM($E51:L51)</f>
        <v>0</v>
      </c>
      <c r="M52" s="890" t="n">
        <f aca="false">SUM($E51:M51)</f>
        <v>0</v>
      </c>
      <c r="N52" s="890" t="n">
        <f aca="false">SUM($E51:N51)</f>
        <v>0</v>
      </c>
      <c r="O52" s="890" t="n">
        <f aca="false">SUM($E51:O51)</f>
        <v>0</v>
      </c>
      <c r="P52" s="890" t="n">
        <f aca="false">SUM($E51:P51)</f>
        <v>0</v>
      </c>
      <c r="Q52" s="890" t="n">
        <f aca="false">SUM($E51:Q51)</f>
        <v>0</v>
      </c>
      <c r="R52" s="890" t="n">
        <f aca="false">SUM($E51:R51)</f>
        <v>0</v>
      </c>
      <c r="S52" s="890" t="n">
        <f aca="false">SUM($E51:S51)</f>
        <v>0</v>
      </c>
      <c r="T52" s="890" t="n">
        <f aca="false">SUM($E51:T51)</f>
        <v>49.8584509</v>
      </c>
      <c r="U52" s="890" t="n">
        <f aca="false">SUM($E51:U51)</f>
        <v>163.474518133714</v>
      </c>
      <c r="V52" s="890" t="n">
        <f aca="false">SUM($E51:V51)</f>
        <v>291.354080037336</v>
      </c>
      <c r="W52" s="890" t="n">
        <f aca="false">SUM($E51:W51)</f>
        <v>432.784382294692</v>
      </c>
      <c r="X52" s="890" t="n">
        <f aca="false">SUM($E51:X51)</f>
        <v>609.342857707804</v>
      </c>
      <c r="Y52" s="890" t="n">
        <f aca="false">SUM($E51:Y51)</f>
        <v>820.003266318446</v>
      </c>
      <c r="Z52" s="890" t="n">
        <f aca="false">SUM($E51:Z51)</f>
        <v>1055.05350394006</v>
      </c>
      <c r="AA52" s="890" t="n">
        <f aca="false">SUM($E51:AA51)</f>
        <v>1314.63294102413</v>
      </c>
      <c r="AB52" s="890" t="n">
        <f aca="false">SUM($E51:AB51)</f>
        <v>1598.88174442473</v>
      </c>
      <c r="AC52" s="890" t="n">
        <f aca="false">SUM($E51:AC51)</f>
        <v>1907.94088194939</v>
      </c>
      <c r="AD52" s="890" t="n">
        <f aca="false">SUM($E51:AD51)</f>
        <v>2241.95212693596</v>
      </c>
      <c r="AE52" s="890" t="n">
        <f aca="false">SUM($E51:AE51)</f>
        <v>2551.05806285564</v>
      </c>
      <c r="AF52" s="890" t="n">
        <f aca="false">SUM($E51:AF51)</f>
        <v>2849.2061131153</v>
      </c>
      <c r="AG52" s="890" t="n">
        <f aca="false">SUM($E51:AG51)</f>
        <v>3186.33366122544</v>
      </c>
      <c r="AH52" s="890" t="n">
        <f aca="false">SUM($E51:AH51)</f>
        <v>3860.79702184618</v>
      </c>
      <c r="AI52" s="890" t="n">
        <f aca="false">SUM($E51:AI51)</f>
        <v>4590.80128219213</v>
      </c>
      <c r="AJ52" s="890" t="n">
        <f aca="false">SUM($E51:AJ51)</f>
        <v>5370.3606600867</v>
      </c>
      <c r="AK52" s="890" t="n">
        <f aca="false">SUM($E51:AK51)</f>
        <v>6205.87071650652</v>
      </c>
      <c r="AL52" s="890" t="n">
        <f aca="false">SUM($E51:AL51)</f>
        <v>7076.45842276913</v>
      </c>
      <c r="AM52" s="890" t="n">
        <f aca="false">SUM($E51:AM51)</f>
        <v>7955.10896950503</v>
      </c>
      <c r="AN52" s="890" t="n">
        <f aca="false">SUM($E51:AN51)</f>
        <v>7955.10896950503</v>
      </c>
      <c r="AO52" s="309"/>
      <c r="AP52" s="65" t="n">
        <f aca="false">AP51+1</f>
        <v>46</v>
      </c>
    </row>
    <row r="53" customFormat="false" ht="12.75" hidden="false" customHeight="false" outlineLevel="0" collapsed="false">
      <c r="A53" s="308" t="s">
        <v>68</v>
      </c>
      <c r="B53" s="531" t="n">
        <f aca="false">(Wh_Int/(1-Wh_Int))</f>
        <v>0.142857142857143</v>
      </c>
      <c r="C53" s="39"/>
      <c r="D53" s="39"/>
      <c r="E53" s="314" t="n">
        <f aca="false">SUM(E48,E50)*$B53</f>
        <v>0</v>
      </c>
      <c r="F53" s="314" t="n">
        <f aca="false">SUM(F48,F50)*$B53</f>
        <v>0</v>
      </c>
      <c r="G53" s="314" t="n">
        <f aca="false">SUM(G48,G50)*$B53</f>
        <v>0</v>
      </c>
      <c r="H53" s="314" t="n">
        <f aca="false">SUM(H48,H50)*$B53</f>
        <v>0</v>
      </c>
      <c r="I53" s="314" t="n">
        <f aca="false">SUM(I48,I50)*$B53</f>
        <v>0</v>
      </c>
      <c r="J53" s="314" t="n">
        <f aca="false">SUM(J48,J50)*$B53</f>
        <v>0</v>
      </c>
      <c r="K53" s="314" t="n">
        <f aca="false">SUM(K48,K50)*$B53</f>
        <v>0</v>
      </c>
      <c r="L53" s="314" t="n">
        <f aca="false">SUM(L48,L50)*$B53</f>
        <v>0</v>
      </c>
      <c r="M53" s="314" t="n">
        <f aca="false">SUM(M48,M50)*$B53</f>
        <v>0</v>
      </c>
      <c r="N53" s="314" t="n">
        <f aca="false">SUM(N48,N50)*$B53</f>
        <v>0</v>
      </c>
      <c r="O53" s="314" t="n">
        <f aca="false">SUM(O48,O50)*$B53</f>
        <v>0</v>
      </c>
      <c r="P53" s="314" t="n">
        <f aca="false">SUM(P48,P50)*$B53</f>
        <v>0</v>
      </c>
      <c r="Q53" s="314" t="n">
        <f aca="false">SUM(Q48,Q50)*$B53</f>
        <v>0</v>
      </c>
      <c r="R53" s="314" t="n">
        <f aca="false">SUM(R48,R50)*$B53</f>
        <v>0</v>
      </c>
      <c r="S53" s="314" t="n">
        <f aca="false">SUM(S48,S50)*$B53</f>
        <v>0</v>
      </c>
      <c r="T53" s="314" t="n">
        <f aca="false">SUM(T48,T50)*$B53</f>
        <v>7.12263584285714</v>
      </c>
      <c r="U53" s="314" t="n">
        <f aca="false">SUM(U48,U50)*$B53</f>
        <v>16.2308667476735</v>
      </c>
      <c r="V53" s="314" t="n">
        <f aca="false">SUM(V48,V50)*$B53</f>
        <v>18.2685088433745</v>
      </c>
      <c r="W53" s="314" t="n">
        <f aca="false">SUM(W48,W50)*$B53</f>
        <v>20.204328893908</v>
      </c>
      <c r="X53" s="314" t="n">
        <f aca="false">SUM(X48,X50)*$B53</f>
        <v>25.2226393447304</v>
      </c>
      <c r="Y53" s="314" t="n">
        <f aca="false">SUM(Y48,Y50)*$B53</f>
        <v>30.0943440872345</v>
      </c>
      <c r="Z53" s="314" t="n">
        <f aca="false">SUM(Z48,Z50)*$B53</f>
        <v>33.5786053745159</v>
      </c>
      <c r="AA53" s="314" t="n">
        <f aca="false">SUM(AA48,AA50)*$B53</f>
        <v>37.082776726296</v>
      </c>
      <c r="AB53" s="314" t="n">
        <f aca="false">SUM(AB48,AB50)*$B53</f>
        <v>40.606971914372</v>
      </c>
      <c r="AC53" s="314" t="n">
        <f aca="false">SUM(AC48,AC50)*$B53</f>
        <v>44.1513053606656</v>
      </c>
      <c r="AD53" s="314" t="n">
        <f aca="false">SUM(AD48,AD50)*$B53</f>
        <v>47.7158921409379</v>
      </c>
      <c r="AE53" s="314" t="n">
        <f aca="false">SUM(AE48,AE50)*$B53</f>
        <v>44.157990845669</v>
      </c>
      <c r="AF53" s="314" t="n">
        <f aca="false">SUM(AF48,AF50)*$B53</f>
        <v>42.5925786085224</v>
      </c>
      <c r="AG53" s="314" t="n">
        <f aca="false">SUM(AG48,AG50)*$B53</f>
        <v>48.1610783014492</v>
      </c>
      <c r="AH53" s="314" t="n">
        <f aca="false">SUM(AH48,AH50)*$B53</f>
        <v>2.91165138477125</v>
      </c>
      <c r="AI53" s="314" t="n">
        <f aca="false">SUM(AI48,AI50)*$B53</f>
        <v>3.15142087713849</v>
      </c>
      <c r="AJ53" s="314" t="n">
        <f aca="false">SUM(AJ48,AJ50)*$B53</f>
        <v>3.365349809468</v>
      </c>
      <c r="AK53" s="314" t="n">
        <f aca="false">SUM(AK48,AK50)*$B53</f>
        <v>3.6068883126967</v>
      </c>
      <c r="AL53" s="314" t="n">
        <f aca="false">SUM(AL48,AL50)*$B53</f>
        <v>3.75831816597335</v>
      </c>
      <c r="AM53" s="314" t="n">
        <f aca="false">SUM(AM48,AM50)*$B53</f>
        <v>3.79312536529641</v>
      </c>
      <c r="AN53" s="314" t="n">
        <f aca="false">SUM(AN48,AN50)*$B53</f>
        <v>0</v>
      </c>
      <c r="AO53" s="316" t="n">
        <f aca="false">SUM(E53:AN53)</f>
        <v>475.77727694755</v>
      </c>
      <c r="AP53" s="65" t="n">
        <f aca="false">AP52+1</f>
        <v>47</v>
      </c>
    </row>
    <row r="54" customFormat="false" ht="12.75" hidden="false" customHeight="false" outlineLevel="0" collapsed="false">
      <c r="A54" s="310" t="s">
        <v>889</v>
      </c>
      <c r="B54" s="106"/>
      <c r="C54" s="106"/>
      <c r="D54" s="106"/>
      <c r="E54" s="890" t="n">
        <f aca="false">SUM($E53:E53)</f>
        <v>0</v>
      </c>
      <c r="F54" s="890" t="n">
        <f aca="false">SUM($E53:F53)</f>
        <v>0</v>
      </c>
      <c r="G54" s="890" t="n">
        <f aca="false">SUM($E53:G53)</f>
        <v>0</v>
      </c>
      <c r="H54" s="890" t="n">
        <f aca="false">SUM($E53:H53)</f>
        <v>0</v>
      </c>
      <c r="I54" s="890" t="n">
        <f aca="false">SUM($E53:I53)</f>
        <v>0</v>
      </c>
      <c r="J54" s="890" t="n">
        <f aca="false">SUM($E53:J53)</f>
        <v>0</v>
      </c>
      <c r="K54" s="890" t="n">
        <f aca="false">SUM($E53:K53)</f>
        <v>0</v>
      </c>
      <c r="L54" s="890" t="n">
        <f aca="false">SUM($E53:L53)</f>
        <v>0</v>
      </c>
      <c r="M54" s="890" t="n">
        <f aca="false">SUM($E53:M53)</f>
        <v>0</v>
      </c>
      <c r="N54" s="890" t="n">
        <f aca="false">SUM($E53:N53)</f>
        <v>0</v>
      </c>
      <c r="O54" s="890" t="n">
        <f aca="false">SUM($E53:O53)</f>
        <v>0</v>
      </c>
      <c r="P54" s="890" t="n">
        <f aca="false">SUM($E53:P53)</f>
        <v>0</v>
      </c>
      <c r="Q54" s="890" t="n">
        <f aca="false">SUM($E53:Q53)</f>
        <v>0</v>
      </c>
      <c r="R54" s="890" t="n">
        <f aca="false">SUM($E53:R53)</f>
        <v>0</v>
      </c>
      <c r="S54" s="890" t="n">
        <f aca="false">SUM($E53:S53)</f>
        <v>0</v>
      </c>
      <c r="T54" s="890" t="n">
        <f aca="false">SUM($E53:T53)</f>
        <v>7.12263584285714</v>
      </c>
      <c r="U54" s="890" t="n">
        <f aca="false">SUM($E53:U53)</f>
        <v>23.3535025905306</v>
      </c>
      <c r="V54" s="890" t="n">
        <f aca="false">SUM($E53:V53)</f>
        <v>41.6220114339051</v>
      </c>
      <c r="W54" s="890" t="n">
        <f aca="false">SUM($E53:W53)</f>
        <v>61.8263403278131</v>
      </c>
      <c r="X54" s="890" t="n">
        <f aca="false">SUM($E53:X53)</f>
        <v>87.0489796725435</v>
      </c>
      <c r="Y54" s="890" t="n">
        <f aca="false">SUM($E53:Y53)</f>
        <v>117.143323759778</v>
      </c>
      <c r="Z54" s="890" t="n">
        <f aca="false">SUM($E53:Z53)</f>
        <v>150.721929134294</v>
      </c>
      <c r="AA54" s="890" t="n">
        <f aca="false">SUM($E53:AA53)</f>
        <v>187.80470586059</v>
      </c>
      <c r="AB54" s="890" t="n">
        <f aca="false">SUM($E53:AB53)</f>
        <v>228.411677774962</v>
      </c>
      <c r="AC54" s="890" t="n">
        <f aca="false">SUM($E53:AC53)</f>
        <v>272.562983135627</v>
      </c>
      <c r="AD54" s="890" t="n">
        <f aca="false">SUM($E53:AD53)</f>
        <v>320.278875276565</v>
      </c>
      <c r="AE54" s="890" t="n">
        <f aca="false">SUM($E53:AE53)</f>
        <v>364.436866122234</v>
      </c>
      <c r="AF54" s="890" t="n">
        <f aca="false">SUM($E53:AF53)</f>
        <v>407.029444730757</v>
      </c>
      <c r="AG54" s="890" t="n">
        <f aca="false">SUM($E53:AG53)</f>
        <v>455.190523032206</v>
      </c>
      <c r="AH54" s="890" t="n">
        <f aca="false">SUM($E53:AH53)</f>
        <v>458.102174416977</v>
      </c>
      <c r="AI54" s="890" t="n">
        <f aca="false">SUM($E53:AI53)</f>
        <v>461.253595294116</v>
      </c>
      <c r="AJ54" s="890" t="n">
        <f aca="false">SUM($E53:AJ53)</f>
        <v>464.618945103584</v>
      </c>
      <c r="AK54" s="890" t="n">
        <f aca="false">SUM($E53:AK53)</f>
        <v>468.22583341628</v>
      </c>
      <c r="AL54" s="890" t="n">
        <f aca="false">SUM($E53:AL53)</f>
        <v>471.984151582254</v>
      </c>
      <c r="AM54" s="890" t="n">
        <f aca="false">SUM($E53:AM53)</f>
        <v>475.77727694755</v>
      </c>
      <c r="AN54" s="890" t="n">
        <f aca="false">SUM($E53:AN53)</f>
        <v>475.77727694755</v>
      </c>
      <c r="AO54" s="309"/>
      <c r="AP54" s="65" t="n">
        <f aca="false">AP53+1</f>
        <v>48</v>
      </c>
    </row>
    <row r="55" customFormat="false" ht="12.75" hidden="false" customHeight="false" outlineLevel="0" collapsed="false">
      <c r="A55" s="310"/>
      <c r="B55" s="106"/>
      <c r="C55" s="106"/>
      <c r="D55" s="106"/>
      <c r="E55" s="894"/>
      <c r="F55" s="894"/>
      <c r="G55" s="894"/>
      <c r="H55" s="894"/>
      <c r="I55" s="894"/>
      <c r="J55" s="894"/>
      <c r="K55" s="894"/>
      <c r="L55" s="894"/>
      <c r="M55" s="894"/>
      <c r="N55" s="894"/>
      <c r="O55" s="894"/>
      <c r="P55" s="894"/>
      <c r="Q55" s="894"/>
      <c r="R55" s="894"/>
      <c r="S55" s="894"/>
      <c r="T55" s="894"/>
      <c r="U55" s="894"/>
      <c r="V55" s="894"/>
      <c r="W55" s="894"/>
      <c r="X55" s="894"/>
      <c r="Y55" s="894"/>
      <c r="Z55" s="894"/>
      <c r="AA55" s="894"/>
      <c r="AB55" s="894"/>
      <c r="AC55" s="894"/>
      <c r="AD55" s="894"/>
      <c r="AE55" s="894"/>
      <c r="AF55" s="894"/>
      <c r="AG55" s="894"/>
      <c r="AH55" s="894"/>
      <c r="AI55" s="894"/>
      <c r="AJ55" s="894"/>
      <c r="AK55" s="894"/>
      <c r="AL55" s="894"/>
      <c r="AM55" s="894"/>
      <c r="AN55" s="894"/>
      <c r="AO55" s="302"/>
      <c r="AP55" s="65" t="n">
        <f aca="false">AP54+1</f>
        <v>49</v>
      </c>
    </row>
    <row r="56" customFormat="false" ht="12.75" hidden="false" customHeight="false" outlineLevel="0" collapsed="false">
      <c r="A56" s="310" t="s">
        <v>890</v>
      </c>
      <c r="B56" s="106"/>
      <c r="C56" s="106"/>
      <c r="D56" s="106"/>
      <c r="E56" s="890" t="n">
        <f aca="false">IF(E$7&lt;Startops1,0,E51)</f>
        <v>0</v>
      </c>
      <c r="F56" s="890" t="n">
        <f aca="false">IF(F$7&lt;Startops1,0,F51)</f>
        <v>0</v>
      </c>
      <c r="G56" s="890" t="n">
        <f aca="false">IF(G$7&lt;Startops1,0,G51)</f>
        <v>0</v>
      </c>
      <c r="H56" s="890" t="n">
        <f aca="false">IF(H$7&lt;Startops1,0,H51)</f>
        <v>0</v>
      </c>
      <c r="I56" s="890" t="n">
        <f aca="false">IF(I$7&lt;Startops1,0,I51)</f>
        <v>0</v>
      </c>
      <c r="J56" s="890" t="n">
        <f aca="false">IF(J$7&lt;Startops1,0,J51)</f>
        <v>0</v>
      </c>
      <c r="K56" s="890" t="n">
        <f aca="false">IF(K$7&lt;Startops1,0,K51)</f>
        <v>0</v>
      </c>
      <c r="L56" s="890" t="n">
        <f aca="false">IF(L$7&lt;Startops1,0,L51)</f>
        <v>0</v>
      </c>
      <c r="M56" s="890" t="n">
        <f aca="false">IF(M$7&lt;Startops1,0,M51)</f>
        <v>0</v>
      </c>
      <c r="N56" s="890" t="n">
        <f aca="false">IF(N$7&lt;Startops1,0,N51)</f>
        <v>0</v>
      </c>
      <c r="O56" s="890" t="n">
        <f aca="false">IF(O$7&lt;Startops1,0,O51)</f>
        <v>0</v>
      </c>
      <c r="P56" s="890" t="n">
        <f aca="false">IF(P$7&lt;Startops1,0,P51)</f>
        <v>0</v>
      </c>
      <c r="Q56" s="890" t="n">
        <f aca="false">IF(Q$7&lt;Startops1,0,Q51)</f>
        <v>0</v>
      </c>
      <c r="R56" s="890" t="n">
        <f aca="false">IF(R$7&lt;Startops1,0,R51)</f>
        <v>0</v>
      </c>
      <c r="S56" s="890" t="n">
        <f aca="false">IF(S$7&lt;Startops1,0,S51)</f>
        <v>0</v>
      </c>
      <c r="T56" s="890" t="n">
        <f aca="false">IF(T$7&lt;Startops1,0,T51)</f>
        <v>0</v>
      </c>
      <c r="U56" s="890" t="n">
        <f aca="false">IF(U$7&lt;Startops1,0,U51)</f>
        <v>0</v>
      </c>
      <c r="V56" s="890" t="n">
        <f aca="false">IF(V$7&lt;Startops1,0,V51)</f>
        <v>0</v>
      </c>
      <c r="W56" s="890" t="n">
        <f aca="false">IF(W$7&lt;Startops1,0,W51)</f>
        <v>0</v>
      </c>
      <c r="X56" s="890" t="n">
        <f aca="false">IF(X$7&lt;Startops1,0,X51)</f>
        <v>0</v>
      </c>
      <c r="Y56" s="890" t="n">
        <f aca="false">IF(Y$7&lt;Startops1,0,Y51)</f>
        <v>0</v>
      </c>
      <c r="Z56" s="890" t="n">
        <f aca="false">IF(Z$7&lt;Startops1,0,Z51)</f>
        <v>0</v>
      </c>
      <c r="AA56" s="890" t="n">
        <f aca="false">IF(AA$7&lt;Startops1,0,AA51)</f>
        <v>0</v>
      </c>
      <c r="AB56" s="890" t="n">
        <f aca="false">IF(AB$7&lt;Startops1,0,AB51)</f>
        <v>0</v>
      </c>
      <c r="AC56" s="890" t="n">
        <f aca="false">IF(AC$7&lt;Startops1,0,AC51)</f>
        <v>0</v>
      </c>
      <c r="AD56" s="890" t="n">
        <f aca="false">IF(AD$7&lt;Startops1,0,AD51)</f>
        <v>0</v>
      </c>
      <c r="AE56" s="890" t="n">
        <f aca="false">IF(AE$7&lt;Startops1,0,AE51)</f>
        <v>0</v>
      </c>
      <c r="AF56" s="890" t="n">
        <f aca="false">IF(AF$7&lt;Startops1,0,AF51)</f>
        <v>0</v>
      </c>
      <c r="AG56" s="890" t="n">
        <f aca="false">IF(AG$7&lt;Startops1,0,AG51)</f>
        <v>0</v>
      </c>
      <c r="AH56" s="890" t="n">
        <f aca="false">IF(AH$7&lt;Startops1,0,AH51)</f>
        <v>0</v>
      </c>
      <c r="AI56" s="890" t="n">
        <f aca="false">IF(AI$7&lt;Startops1,0,AI51)</f>
        <v>0</v>
      </c>
      <c r="AJ56" s="890" t="n">
        <f aca="false">IF(AJ$7&lt;Startops1,0,AJ51)</f>
        <v>0</v>
      </c>
      <c r="AK56" s="890" t="n">
        <f aca="false">IF(AK$7&lt;Startops1,0,AK51)</f>
        <v>0</v>
      </c>
      <c r="AL56" s="890" t="n">
        <f aca="false">IF(AL$7&lt;Startops1,0,AL51)</f>
        <v>0</v>
      </c>
      <c r="AM56" s="890" t="n">
        <f aca="false">IF(AM$7&lt;Startops1,0,AM51)</f>
        <v>0</v>
      </c>
      <c r="AN56" s="890" t="n">
        <f aca="false">IF(AN$7&lt;Startops1,0,AN51)</f>
        <v>0</v>
      </c>
      <c r="AO56" s="891" t="n">
        <f aca="false">SUM(E56:AN56)</f>
        <v>0</v>
      </c>
      <c r="AP56" s="65" t="n">
        <f aca="false">AP55+1</f>
        <v>50</v>
      </c>
    </row>
    <row r="57" customFormat="false" ht="12.75" hidden="false" customHeight="false" outlineLevel="0" collapsed="false">
      <c r="A57" s="310" t="s">
        <v>891</v>
      </c>
      <c r="B57" s="106"/>
      <c r="C57" s="106"/>
      <c r="D57" s="106"/>
      <c r="E57" s="890" t="n">
        <f aca="false">SUM($E56:E56)</f>
        <v>0</v>
      </c>
      <c r="F57" s="890" t="n">
        <f aca="false">SUM($E56:F56)</f>
        <v>0</v>
      </c>
      <c r="G57" s="890" t="n">
        <f aca="false">SUM($E56:G56)</f>
        <v>0</v>
      </c>
      <c r="H57" s="890" t="n">
        <f aca="false">SUM($E56:H56)</f>
        <v>0</v>
      </c>
      <c r="I57" s="890" t="n">
        <f aca="false">SUM($E56:I56)</f>
        <v>0</v>
      </c>
      <c r="J57" s="890" t="n">
        <f aca="false">SUM($E56:J56)</f>
        <v>0</v>
      </c>
      <c r="K57" s="890" t="n">
        <f aca="false">SUM($E56:K56)</f>
        <v>0</v>
      </c>
      <c r="L57" s="890" t="n">
        <f aca="false">SUM($E56:L56)</f>
        <v>0</v>
      </c>
      <c r="M57" s="890" t="n">
        <f aca="false">SUM($E56:M56)</f>
        <v>0</v>
      </c>
      <c r="N57" s="890" t="n">
        <f aca="false">SUM($E56:N56)</f>
        <v>0</v>
      </c>
      <c r="O57" s="890" t="n">
        <f aca="false">SUM($E56:O56)</f>
        <v>0</v>
      </c>
      <c r="P57" s="890" t="n">
        <f aca="false">SUM($E56:P56)</f>
        <v>0</v>
      </c>
      <c r="Q57" s="890" t="n">
        <f aca="false">SUM($E56:Q56)</f>
        <v>0</v>
      </c>
      <c r="R57" s="890" t="n">
        <f aca="false">SUM($E56:R56)</f>
        <v>0</v>
      </c>
      <c r="S57" s="890" t="n">
        <f aca="false">SUM($E56:S56)</f>
        <v>0</v>
      </c>
      <c r="T57" s="890" t="n">
        <f aca="false">SUM($E56:T56)</f>
        <v>0</v>
      </c>
      <c r="U57" s="890" t="n">
        <f aca="false">SUM($E56:U56)</f>
        <v>0</v>
      </c>
      <c r="V57" s="890" t="n">
        <f aca="false">SUM($E56:V56)</f>
        <v>0</v>
      </c>
      <c r="W57" s="890" t="n">
        <f aca="false">SUM($E56:W56)</f>
        <v>0</v>
      </c>
      <c r="X57" s="890" t="n">
        <f aca="false">SUM($E56:X56)</f>
        <v>0</v>
      </c>
      <c r="Y57" s="890" t="n">
        <f aca="false">SUM($E56:Y56)</f>
        <v>0</v>
      </c>
      <c r="Z57" s="890" t="n">
        <f aca="false">SUM($E56:Z56)</f>
        <v>0</v>
      </c>
      <c r="AA57" s="890" t="n">
        <f aca="false">SUM($E56:AA56)</f>
        <v>0</v>
      </c>
      <c r="AB57" s="890" t="n">
        <f aca="false">SUM($E56:AB56)</f>
        <v>0</v>
      </c>
      <c r="AC57" s="890" t="n">
        <f aca="false">SUM($E56:AC56)</f>
        <v>0</v>
      </c>
      <c r="AD57" s="890" t="n">
        <f aca="false">SUM($E56:AD56)</f>
        <v>0</v>
      </c>
      <c r="AE57" s="890" t="n">
        <f aca="false">SUM($E56:AE56)</f>
        <v>0</v>
      </c>
      <c r="AF57" s="890" t="n">
        <f aca="false">SUM($E56:AF56)</f>
        <v>0</v>
      </c>
      <c r="AG57" s="890" t="n">
        <f aca="false">SUM($E56:AG56)</f>
        <v>0</v>
      </c>
      <c r="AH57" s="890" t="n">
        <f aca="false">SUM($E56:AH56)</f>
        <v>0</v>
      </c>
      <c r="AI57" s="890" t="n">
        <f aca="false">SUM($E56:AI56)</f>
        <v>0</v>
      </c>
      <c r="AJ57" s="890" t="n">
        <f aca="false">SUM($E56:AJ56)</f>
        <v>0</v>
      </c>
      <c r="AK57" s="890" t="n">
        <f aca="false">SUM($E56:AK56)</f>
        <v>0</v>
      </c>
      <c r="AL57" s="890" t="n">
        <f aca="false">SUM($E56:AL56)</f>
        <v>0</v>
      </c>
      <c r="AM57" s="890" t="n">
        <f aca="false">SUM($E56:AM56)</f>
        <v>0</v>
      </c>
      <c r="AN57" s="890" t="n">
        <f aca="false">SUM($E56:AN56)</f>
        <v>0</v>
      </c>
      <c r="AO57" s="309"/>
      <c r="AP57" s="65" t="n">
        <f aca="false">AP56+1</f>
        <v>51</v>
      </c>
    </row>
    <row r="58" customFormat="false" ht="12.75" hidden="false" customHeight="false" outlineLevel="0" collapsed="false">
      <c r="A58" s="310"/>
      <c r="B58" s="106"/>
      <c r="C58" s="106"/>
      <c r="D58" s="106"/>
      <c r="E58" s="894"/>
      <c r="F58" s="894"/>
      <c r="G58" s="894"/>
      <c r="H58" s="894"/>
      <c r="I58" s="894"/>
      <c r="J58" s="894"/>
      <c r="K58" s="894"/>
      <c r="L58" s="894"/>
      <c r="M58" s="894"/>
      <c r="N58" s="894"/>
      <c r="O58" s="894"/>
      <c r="P58" s="894"/>
      <c r="Q58" s="894"/>
      <c r="R58" s="894"/>
      <c r="S58" s="894"/>
      <c r="T58" s="894"/>
      <c r="U58" s="894"/>
      <c r="V58" s="894"/>
      <c r="W58" s="894"/>
      <c r="X58" s="894"/>
      <c r="Y58" s="894"/>
      <c r="Z58" s="894"/>
      <c r="AA58" s="894"/>
      <c r="AB58" s="894"/>
      <c r="AC58" s="894"/>
      <c r="AD58" s="894"/>
      <c r="AE58" s="894"/>
      <c r="AF58" s="894"/>
      <c r="AG58" s="894"/>
      <c r="AH58" s="894"/>
      <c r="AI58" s="894"/>
      <c r="AJ58" s="894"/>
      <c r="AK58" s="894"/>
      <c r="AL58" s="894"/>
      <c r="AM58" s="894"/>
      <c r="AN58" s="894"/>
      <c r="AO58" s="302"/>
      <c r="AP58" s="65" t="n">
        <f aca="false">AP57+1</f>
        <v>52</v>
      </c>
    </row>
    <row r="59" customFormat="false" ht="12.75" hidden="false" customHeight="false" outlineLevel="0" collapsed="false">
      <c r="A59" s="97" t="s">
        <v>892</v>
      </c>
      <c r="B59" s="39"/>
      <c r="C59" s="39"/>
      <c r="D59" s="3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29"/>
      <c r="AJ59" s="329"/>
      <c r="AK59" s="329"/>
      <c r="AL59" s="329"/>
      <c r="AM59" s="329"/>
      <c r="AN59" s="329"/>
      <c r="AO59" s="302"/>
      <c r="AP59" s="65" t="n">
        <f aca="false">AP58+1</f>
        <v>53</v>
      </c>
    </row>
    <row r="60" customFormat="false" ht="12.75" hidden="false" customHeight="false" outlineLevel="0" collapsed="false">
      <c r="A60" s="662" t="s">
        <v>893</v>
      </c>
      <c r="B60" s="662"/>
      <c r="C60" s="846"/>
      <c r="D60" s="846"/>
      <c r="E60" s="869" t="n">
        <f aca="false">Drawdown!E76</f>
        <v>0</v>
      </c>
      <c r="F60" s="869" t="n">
        <f aca="false">Drawdown!F76</f>
        <v>0</v>
      </c>
      <c r="G60" s="869" t="n">
        <f aca="false">Drawdown!G76</f>
        <v>0</v>
      </c>
      <c r="H60" s="869" t="n">
        <f aca="false">Drawdown!H76</f>
        <v>0</v>
      </c>
      <c r="I60" s="869" t="n">
        <f aca="false">Drawdown!I76</f>
        <v>0</v>
      </c>
      <c r="J60" s="869" t="n">
        <f aca="false">Drawdown!J76</f>
        <v>4072.33637</v>
      </c>
      <c r="K60" s="869" t="n">
        <f aca="false">Drawdown!K76</f>
        <v>0</v>
      </c>
      <c r="L60" s="869" t="n">
        <f aca="false">Drawdown!L76</f>
        <v>0</v>
      </c>
      <c r="M60" s="869" t="n">
        <f aca="false">Drawdown!M76</f>
        <v>6300</v>
      </c>
      <c r="N60" s="869" t="n">
        <f aca="false">Drawdown!N76</f>
        <v>4327</v>
      </c>
      <c r="O60" s="869" t="n">
        <f aca="false">Drawdown!O76</f>
        <v>2178</v>
      </c>
      <c r="P60" s="869" t="n">
        <f aca="false">Drawdown!P76</f>
        <v>7899.509</v>
      </c>
      <c r="Q60" s="869" t="n">
        <f aca="false">Drawdown!Q76</f>
        <v>5560</v>
      </c>
      <c r="R60" s="869" t="n">
        <f aca="false">Drawdown!R76</f>
        <v>4625</v>
      </c>
      <c r="S60" s="869" t="n">
        <f aca="false">Drawdown!S76</f>
        <v>4996.159</v>
      </c>
      <c r="T60" s="869" t="n">
        <f aca="false">Drawdown!T76</f>
        <v>41.9956400000006</v>
      </c>
      <c r="U60" s="869" t="n">
        <f aca="false">Drawdown!U76</f>
        <v>0</v>
      </c>
      <c r="V60" s="869" t="n">
        <f aca="false">Drawdown!V76</f>
        <v>0</v>
      </c>
      <c r="W60" s="869" t="n">
        <f aca="false">Drawdown!W76</f>
        <v>0</v>
      </c>
      <c r="X60" s="869" t="n">
        <f aca="false">Drawdown!X76</f>
        <v>0</v>
      </c>
      <c r="Y60" s="865" t="n">
        <v>0</v>
      </c>
      <c r="Z60" s="865" t="n">
        <v>0</v>
      </c>
      <c r="AA60" s="865" t="n">
        <v>0</v>
      </c>
      <c r="AB60" s="865" t="n">
        <v>0</v>
      </c>
      <c r="AC60" s="865" t="n">
        <v>0</v>
      </c>
      <c r="AD60" s="865" t="n">
        <v>0</v>
      </c>
      <c r="AE60" s="99" t="n">
        <v>20000</v>
      </c>
      <c r="AF60" s="865" t="n">
        <v>0</v>
      </c>
      <c r="AG60" s="865" t="n">
        <v>0</v>
      </c>
      <c r="AH60" s="865" t="n">
        <v>0</v>
      </c>
      <c r="AI60" s="865" t="n">
        <v>0</v>
      </c>
      <c r="AJ60" s="865" t="n">
        <v>0</v>
      </c>
      <c r="AK60" s="865" t="n">
        <v>0</v>
      </c>
      <c r="AL60" s="865" t="n">
        <v>0</v>
      </c>
      <c r="AM60" s="865" t="n">
        <v>0</v>
      </c>
      <c r="AN60" s="865" t="n">
        <v>0</v>
      </c>
      <c r="AO60" s="309" t="n">
        <f aca="false">SUM(E60:AN60)</f>
        <v>60000.00001</v>
      </c>
      <c r="AP60" s="65" t="n">
        <f aca="false">AP59+1</f>
        <v>54</v>
      </c>
    </row>
    <row r="61" customFormat="false" ht="12.75" hidden="false" customHeight="false" outlineLevel="0" collapsed="false">
      <c r="A61" s="662" t="s">
        <v>894</v>
      </c>
      <c r="B61" s="662"/>
      <c r="C61" s="846"/>
      <c r="D61" s="846"/>
      <c r="E61" s="869" t="n">
        <f aca="false">SUM($E60:E60)</f>
        <v>0</v>
      </c>
      <c r="F61" s="869" t="n">
        <f aca="false">SUM($E60:F60)</f>
        <v>0</v>
      </c>
      <c r="G61" s="869" t="n">
        <f aca="false">SUM($E60:G60)</f>
        <v>0</v>
      </c>
      <c r="H61" s="869" t="n">
        <f aca="false">SUM($E60:H60)</f>
        <v>0</v>
      </c>
      <c r="I61" s="869" t="n">
        <f aca="false">SUM($E60:I60)</f>
        <v>0</v>
      </c>
      <c r="J61" s="869" t="n">
        <f aca="false">SUM($E60:J60)</f>
        <v>4072.33637</v>
      </c>
      <c r="K61" s="869" t="n">
        <f aca="false">SUM($E60:K60)</f>
        <v>4072.33637</v>
      </c>
      <c r="L61" s="869" t="n">
        <f aca="false">SUM($E60:L60)</f>
        <v>4072.33637</v>
      </c>
      <c r="M61" s="869" t="n">
        <f aca="false">SUM($E60:M60)</f>
        <v>10372.33637</v>
      </c>
      <c r="N61" s="869" t="n">
        <f aca="false">SUM($E60:N60)</f>
        <v>14699.33637</v>
      </c>
      <c r="O61" s="869" t="n">
        <f aca="false">SUM($E60:O60)</f>
        <v>16877.33637</v>
      </c>
      <c r="P61" s="869" t="n">
        <f aca="false">SUM($E60:P60)</f>
        <v>24776.84537</v>
      </c>
      <c r="Q61" s="869" t="n">
        <f aca="false">SUM($E60:Q60)</f>
        <v>30336.84537</v>
      </c>
      <c r="R61" s="869" t="n">
        <f aca="false">SUM($E60:R60)</f>
        <v>34961.84537</v>
      </c>
      <c r="S61" s="869" t="n">
        <f aca="false">SUM($E60:S60)</f>
        <v>39958.00437</v>
      </c>
      <c r="T61" s="869" t="n">
        <f aca="false">SUM($E60:T60)</f>
        <v>40000.00001</v>
      </c>
      <c r="U61" s="869" t="n">
        <f aca="false">SUM($E60:U60)</f>
        <v>40000.00001</v>
      </c>
      <c r="V61" s="869" t="n">
        <f aca="false">SUM($E60:V60)</f>
        <v>40000.00001</v>
      </c>
      <c r="W61" s="869" t="n">
        <f aca="false">SUM($E60:W60)</f>
        <v>40000.00001</v>
      </c>
      <c r="X61" s="869" t="n">
        <f aca="false">SUM($E60:X60)</f>
        <v>40000.00001</v>
      </c>
      <c r="Y61" s="869" t="n">
        <f aca="false">SUM($E60:Y60)</f>
        <v>40000.00001</v>
      </c>
      <c r="Z61" s="869" t="n">
        <f aca="false">SUM($E60:Z60)</f>
        <v>40000.00001</v>
      </c>
      <c r="AA61" s="869" t="n">
        <f aca="false">SUM($E60:AA60)</f>
        <v>40000.00001</v>
      </c>
      <c r="AB61" s="869" t="n">
        <f aca="false">SUM($E60:AB60)</f>
        <v>40000.00001</v>
      </c>
      <c r="AC61" s="869" t="n">
        <f aca="false">SUM($E60:AC60)</f>
        <v>40000.00001</v>
      </c>
      <c r="AD61" s="869" t="n">
        <f aca="false">SUM($E60:AD60)</f>
        <v>40000.00001</v>
      </c>
      <c r="AE61" s="869" t="n">
        <f aca="false">SUM($E60:AE60)</f>
        <v>60000.00001</v>
      </c>
      <c r="AF61" s="869" t="n">
        <f aca="false">SUM($E60:AF60)</f>
        <v>60000.00001</v>
      </c>
      <c r="AG61" s="869" t="n">
        <f aca="false">SUM($E60:AG60)</f>
        <v>60000.00001</v>
      </c>
      <c r="AH61" s="869" t="n">
        <f aca="false">SUM($E60:AH60)</f>
        <v>60000.00001</v>
      </c>
      <c r="AI61" s="869" t="n">
        <f aca="false">SUM($E60:AI60)</f>
        <v>60000.00001</v>
      </c>
      <c r="AJ61" s="869" t="n">
        <f aca="false">SUM($E60:AJ60)</f>
        <v>60000.00001</v>
      </c>
      <c r="AK61" s="869" t="n">
        <f aca="false">SUM($E60:AK60)</f>
        <v>60000.00001</v>
      </c>
      <c r="AL61" s="869" t="n">
        <f aca="false">SUM($E60:AL60)</f>
        <v>60000.00001</v>
      </c>
      <c r="AM61" s="869" t="n">
        <f aca="false">SUM($E60:AM60)</f>
        <v>60000.00001</v>
      </c>
      <c r="AN61" s="869" t="n">
        <f aca="false">SUM($E60:AN60)</f>
        <v>60000.00001</v>
      </c>
      <c r="AO61" s="302"/>
      <c r="AP61" s="65" t="n">
        <f aca="false">AP60+1</f>
        <v>55</v>
      </c>
    </row>
    <row r="62" customFormat="false" ht="12.75" hidden="false" customHeight="false" outlineLevel="0" collapsed="false">
      <c r="A62" s="97"/>
      <c r="B62" s="39"/>
      <c r="C62" s="39"/>
      <c r="D62" s="3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H62" s="329"/>
      <c r="AI62" s="329"/>
      <c r="AJ62" s="329"/>
      <c r="AK62" s="329"/>
      <c r="AL62" s="329"/>
      <c r="AM62" s="329"/>
      <c r="AN62" s="329"/>
      <c r="AO62" s="302"/>
      <c r="AP62" s="65" t="n">
        <f aca="false">AP61+1</f>
        <v>56</v>
      </c>
    </row>
    <row r="63" customFormat="false" ht="12.75" hidden="false" customHeight="false" outlineLevel="0" collapsed="false">
      <c r="A63" s="37" t="s">
        <v>656</v>
      </c>
      <c r="B63" s="39"/>
      <c r="C63" s="39"/>
      <c r="D63" s="39"/>
      <c r="E63" s="99" t="n">
        <v>0</v>
      </c>
      <c r="F63" s="61" t="n">
        <f aca="false">E67</f>
        <v>0</v>
      </c>
      <c r="G63" s="61" t="n">
        <f aca="false">F67</f>
        <v>0</v>
      </c>
      <c r="H63" s="61" t="n">
        <f aca="false">G67</f>
        <v>0</v>
      </c>
      <c r="I63" s="61" t="n">
        <f aca="false">H67</f>
        <v>0</v>
      </c>
      <c r="J63" s="61" t="n">
        <f aca="false">I67</f>
        <v>0</v>
      </c>
      <c r="K63" s="61" t="n">
        <f aca="false">J67</f>
        <v>4072.33637</v>
      </c>
      <c r="L63" s="61" t="n">
        <f aca="false">K67</f>
        <v>4072.33637</v>
      </c>
      <c r="M63" s="61" t="n">
        <f aca="false">L67</f>
        <v>4072.33637</v>
      </c>
      <c r="N63" s="61" t="n">
        <f aca="false">M67</f>
        <v>10372.33637</v>
      </c>
      <c r="O63" s="61" t="n">
        <f aca="false">N67</f>
        <v>14699.33637</v>
      </c>
      <c r="P63" s="61" t="n">
        <f aca="false">O67</f>
        <v>16877.33637</v>
      </c>
      <c r="Q63" s="61" t="n">
        <f aca="false">P67</f>
        <v>24776.84537</v>
      </c>
      <c r="R63" s="61" t="n">
        <f aca="false">Q67</f>
        <v>30336.84537</v>
      </c>
      <c r="S63" s="61" t="n">
        <f aca="false">R67</f>
        <v>34961.84537</v>
      </c>
      <c r="T63" s="61" t="n">
        <f aca="false">S67</f>
        <v>39958.00437</v>
      </c>
      <c r="U63" s="61" t="n">
        <f aca="false">T67</f>
        <v>40000.00001</v>
      </c>
      <c r="V63" s="61" t="n">
        <f aca="false">U67</f>
        <v>40000.00001</v>
      </c>
      <c r="W63" s="61" t="n">
        <f aca="false">V67</f>
        <v>40000.00001</v>
      </c>
      <c r="X63" s="61" t="n">
        <f aca="false">W67</f>
        <v>40000.00001</v>
      </c>
      <c r="Y63" s="61" t="n">
        <f aca="false">X67</f>
        <v>40000.00001</v>
      </c>
      <c r="Z63" s="61" t="n">
        <f aca="false">Y67</f>
        <v>40000.00001</v>
      </c>
      <c r="AA63" s="61" t="n">
        <f aca="false">Z67</f>
        <v>40000.00001</v>
      </c>
      <c r="AB63" s="61" t="n">
        <f aca="false">AA67</f>
        <v>40000.00001</v>
      </c>
      <c r="AC63" s="61" t="n">
        <f aca="false">AB67</f>
        <v>40000.00001</v>
      </c>
      <c r="AD63" s="61" t="n">
        <f aca="false">AC67</f>
        <v>40000.00001</v>
      </c>
      <c r="AE63" s="61" t="n">
        <f aca="false">AD67</f>
        <v>40000.00001</v>
      </c>
      <c r="AF63" s="61" t="n">
        <f aca="false">AE67</f>
        <v>60000.00001</v>
      </c>
      <c r="AG63" s="61" t="n">
        <f aca="false">AF67</f>
        <v>60000.00001</v>
      </c>
      <c r="AH63" s="61" t="n">
        <f aca="false">AG67</f>
        <v>60000.00001</v>
      </c>
      <c r="AI63" s="61" t="n">
        <f aca="false">AH67</f>
        <v>60000.00001</v>
      </c>
      <c r="AJ63" s="61" t="n">
        <f aca="false">AI67</f>
        <v>60000.00001</v>
      </c>
      <c r="AK63" s="61" t="n">
        <f aca="false">AJ67</f>
        <v>60000.00001</v>
      </c>
      <c r="AL63" s="61" t="n">
        <f aca="false">AK67</f>
        <v>60000.00001</v>
      </c>
      <c r="AM63" s="61" t="n">
        <f aca="false">AL67</f>
        <v>60000.00001</v>
      </c>
      <c r="AN63" s="61" t="n">
        <f aca="false">AM67</f>
        <v>60000.00001</v>
      </c>
      <c r="AO63" s="309" t="n">
        <f aca="false">E63</f>
        <v>0</v>
      </c>
      <c r="AP63" s="65" t="n">
        <f aca="false">AP62+1</f>
        <v>57</v>
      </c>
    </row>
    <row r="64" customFormat="false" ht="12.75" hidden="false" customHeight="false" outlineLevel="0" collapsed="false">
      <c r="A64" s="37" t="s">
        <v>875</v>
      </c>
      <c r="B64" s="39"/>
      <c r="C64" s="39"/>
      <c r="D64" s="39"/>
      <c r="E64" s="61" t="n">
        <f aca="false">IF(SUM(E63,E17)&gt;Est_Cost*Equity_Perc,Est_Cost*Equity_Perc-E63,E17)*0+E60</f>
        <v>0</v>
      </c>
      <c r="F64" s="61" t="n">
        <f aca="false">IF(SUM(F63,F17)&gt;Est_Cost*Equity_Perc,Est_Cost*Equity_Perc-F63,F17)*0+F60</f>
        <v>0</v>
      </c>
      <c r="G64" s="61" t="n">
        <f aca="false">IF(SUM(G63,G17)&gt;Est_Cost*Equity_Perc,Est_Cost*Equity_Perc-G63,G17)*0+G60</f>
        <v>0</v>
      </c>
      <c r="H64" s="61" t="n">
        <f aca="false">IF(SUM(H63,H17)&gt;Est_Cost*Equity_Perc,Est_Cost*Equity_Perc-H63,H17)*0+H60</f>
        <v>0</v>
      </c>
      <c r="I64" s="61" t="n">
        <f aca="false">IF(SUM(I63,I17)&gt;Est_Cost*Equity_Perc,Est_Cost*Equity_Perc-I63,I17)*0+I60</f>
        <v>0</v>
      </c>
      <c r="J64" s="61" t="n">
        <f aca="false">IF(SUM(J63,J17)&gt;Est_Cost*Equity_Perc,Est_Cost*Equity_Perc-J63,J17)*0+J60</f>
        <v>4072.33637</v>
      </c>
      <c r="K64" s="61" t="n">
        <f aca="false">IF(SUM(K63,K17)&gt;Est_Cost*Equity_Perc,Est_Cost*Equity_Perc-K63,K17)*0+K60</f>
        <v>0</v>
      </c>
      <c r="L64" s="61" t="n">
        <f aca="false">IF(SUM(L63,L17)&gt;Est_Cost*Equity_Perc,Est_Cost*Equity_Perc-L63,L17)*0+L60</f>
        <v>0</v>
      </c>
      <c r="M64" s="61" t="n">
        <f aca="false">IF(SUM(M63,M17)&gt;Est_Cost*Equity_Perc,Est_Cost*Equity_Perc-M63,M17)*0+M60</f>
        <v>6300</v>
      </c>
      <c r="N64" s="61" t="n">
        <f aca="false">IF(SUM(N63,N17)&gt;Est_Cost*Equity_Perc,Est_Cost*Equity_Perc-N63,N17)*0+N60</f>
        <v>4327</v>
      </c>
      <c r="O64" s="61" t="n">
        <f aca="false">IF(SUM(O63,O17)&gt;Est_Cost*Equity_Perc,Est_Cost*Equity_Perc-O63,O17)*0+O60</f>
        <v>2178</v>
      </c>
      <c r="P64" s="61" t="n">
        <f aca="false">IF(SUM(P63,P17)&gt;Est_Cost*Equity_Perc,Est_Cost*Equity_Perc-P63,P17)*0+P60</f>
        <v>7899.509</v>
      </c>
      <c r="Q64" s="61" t="n">
        <f aca="false">IF(SUM(Q63,Q17)&gt;Est_Cost*Equity_Perc,Est_Cost*Equity_Perc-Q63,Q17)*0+Q60</f>
        <v>5560</v>
      </c>
      <c r="R64" s="61" t="n">
        <f aca="false">IF(SUM(R63,R17)&gt;Est_Cost*Equity_Perc,Est_Cost*Equity_Perc-R63,R17)*0+R60</f>
        <v>4625</v>
      </c>
      <c r="S64" s="61" t="n">
        <f aca="false">IF(SUM(S63,S17)&gt;Est_Cost*Equity_Perc,Est_Cost*Equity_Perc-S63,S17)*0+S60</f>
        <v>4996.159</v>
      </c>
      <c r="T64" s="61" t="n">
        <f aca="false">IF(SUM(T63,T17)&gt;Est_Cost*Equity_Perc,Est_Cost*Equity_Perc-T63,T17)*0+T60</f>
        <v>41.9956400000006</v>
      </c>
      <c r="U64" s="61" t="n">
        <f aca="false">IF(SUM(U63,U17)&gt;Est_Cost*Equity_Perc,Est_Cost*Equity_Perc-U63,U17)*0+U60</f>
        <v>0</v>
      </c>
      <c r="V64" s="61" t="n">
        <f aca="false">IF(SUM(V63,V17)&gt;Est_Cost*Equity_Perc,Est_Cost*Equity_Perc-V63,V17)*0+V60</f>
        <v>0</v>
      </c>
      <c r="W64" s="61" t="n">
        <f aca="false">IF(SUM(W63,W17)&gt;Est_Cost*Equity_Perc,Est_Cost*Equity_Perc-W63,W17)*0+W60</f>
        <v>0</v>
      </c>
      <c r="X64" s="61" t="n">
        <f aca="false">IF(SUM(X63,X17)&gt;Est_Cost*Equity_Perc,Est_Cost*Equity_Perc-X63,X17)*0+X60</f>
        <v>0</v>
      </c>
      <c r="Y64" s="61" t="n">
        <f aca="false">IF(SUM(Y63,Y17)&gt;Est_Cost*Equity_Perc,Est_Cost*Equity_Perc-Y63,Y17)*0+Y60</f>
        <v>0</v>
      </c>
      <c r="Z64" s="61" t="n">
        <f aca="false">IF(SUM(Z63,Z17)&gt;Est_Cost*Equity_Perc,Est_Cost*Equity_Perc-Z63,Z17)*0+Z60</f>
        <v>0</v>
      </c>
      <c r="AA64" s="61" t="n">
        <f aca="false">IF(SUM(AA63,AA17)&gt;Est_Cost*Equity_Perc,Est_Cost*Equity_Perc-AA63,AA17)*0+AA60</f>
        <v>0</v>
      </c>
      <c r="AB64" s="61" t="n">
        <f aca="false">IF(SUM(AB63,AB17)&gt;Est_Cost*Equity_Perc,Est_Cost*Equity_Perc-AB63,AB17)*0+AB60</f>
        <v>0</v>
      </c>
      <c r="AC64" s="61" t="n">
        <f aca="false">IF(SUM(AC63,AC17)&gt;Est_Cost*Equity_Perc,Est_Cost*Equity_Perc-AC63,AC17)*0+AC60</f>
        <v>0</v>
      </c>
      <c r="AD64" s="61" t="n">
        <f aca="false">IF(SUM(AD63,AD17)&gt;Est_Cost*Equity_Perc,Est_Cost*Equity_Perc-AD63,AD17)*0+AD60</f>
        <v>0</v>
      </c>
      <c r="AE64" s="61" t="n">
        <f aca="false">IF(SUM(AE63,AE17)&gt;Est_Cost*Equity_Perc,Est_Cost*Equity_Perc-AE63,AE17)*0+AE60</f>
        <v>20000</v>
      </c>
      <c r="AF64" s="61" t="n">
        <f aca="false">IF(SUM(AF63,AF17)&gt;Est_Cost*Equity_Perc,Est_Cost*Equity_Perc-AF63,AF17)*0+AF60</f>
        <v>0</v>
      </c>
      <c r="AG64" s="61" t="n">
        <f aca="false">IF(SUM(AG63,AG17)&gt;Est_Cost*Equity_Perc,Est_Cost*Equity_Perc-AG63,AG17)*0+AG60</f>
        <v>0</v>
      </c>
      <c r="AH64" s="61" t="n">
        <f aca="false">IF(SUM(AH63,AH17)&gt;Est_Cost*Equity_Perc,Est_Cost*Equity_Perc-AH63,AH17)*0+AH60</f>
        <v>0</v>
      </c>
      <c r="AI64" s="61" t="n">
        <f aca="false">IF(SUM(AI63,AI17)&gt;Est_Cost*Equity_Perc,Est_Cost*Equity_Perc-AI63,AI17)*0+AI60</f>
        <v>0</v>
      </c>
      <c r="AJ64" s="61" t="n">
        <f aca="false">IF(SUM(AJ63,AJ17)&gt;Est_Cost*Equity_Perc,Est_Cost*Equity_Perc-AJ63,AJ17)*0+AJ60</f>
        <v>0</v>
      </c>
      <c r="AK64" s="61" t="n">
        <f aca="false">IF(SUM(AK63,AK17)&gt;Est_Cost*Equity_Perc,Est_Cost*Equity_Perc-AK63,AK17)*0+AK60</f>
        <v>0</v>
      </c>
      <c r="AL64" s="61" t="n">
        <f aca="false">IF(SUM(AL63,AL17)&gt;Est_Cost*Equity_Perc,Est_Cost*Equity_Perc-AL63,AL17)*0+AL60</f>
        <v>0</v>
      </c>
      <c r="AM64" s="61" t="n">
        <f aca="false">IF(SUM(AM63,AM17)&gt;Est_Cost*Equity_Perc,Est_Cost*Equity_Perc-AM63,AM17)*0+AM60</f>
        <v>0</v>
      </c>
      <c r="AN64" s="61" t="n">
        <f aca="false">IF(SUM(AN63,AN17)&gt;Est_Cost*Equity_Perc,Est_Cost*Equity_Perc-AN63,AN17)*0+AN60</f>
        <v>0</v>
      </c>
      <c r="AO64" s="309" t="n">
        <f aca="false">SUM(E64:AN64)</f>
        <v>60000.00001</v>
      </c>
      <c r="AP64" s="65" t="n">
        <f aca="false">AP63+1</f>
        <v>58</v>
      </c>
    </row>
    <row r="65" customFormat="false" ht="12.75" hidden="false" customHeight="false" outlineLevel="0" collapsed="false">
      <c r="A65" s="37" t="s">
        <v>880</v>
      </c>
      <c r="B65" s="39"/>
      <c r="C65" s="39"/>
      <c r="D65" s="39"/>
      <c r="E65" s="99" t="n">
        <v>0</v>
      </c>
      <c r="F65" s="99" t="n">
        <v>0</v>
      </c>
      <c r="G65" s="99" t="n">
        <v>0</v>
      </c>
      <c r="H65" s="99" t="n">
        <v>0</v>
      </c>
      <c r="I65" s="99" t="n">
        <v>0</v>
      </c>
      <c r="J65" s="99" t="n">
        <v>0</v>
      </c>
      <c r="K65" s="99" t="n">
        <v>0</v>
      </c>
      <c r="L65" s="99" t="n">
        <v>0</v>
      </c>
      <c r="M65" s="99" t="n">
        <v>0</v>
      </c>
      <c r="N65" s="99" t="n">
        <v>0</v>
      </c>
      <c r="O65" s="99" t="n">
        <v>0</v>
      </c>
      <c r="P65" s="99" t="n">
        <v>0</v>
      </c>
      <c r="Q65" s="99" t="n">
        <v>0</v>
      </c>
      <c r="R65" s="99" t="n">
        <v>0</v>
      </c>
      <c r="S65" s="99" t="n">
        <v>0</v>
      </c>
      <c r="T65" s="99" t="n">
        <v>0</v>
      </c>
      <c r="U65" s="99" t="n">
        <v>0</v>
      </c>
      <c r="V65" s="99" t="n">
        <v>0</v>
      </c>
      <c r="W65" s="99" t="n">
        <v>0</v>
      </c>
      <c r="X65" s="99" t="n">
        <v>0</v>
      </c>
      <c r="Y65" s="99" t="n">
        <v>0</v>
      </c>
      <c r="Z65" s="99" t="n">
        <v>0</v>
      </c>
      <c r="AA65" s="99" t="n">
        <v>0</v>
      </c>
      <c r="AB65" s="99" t="n">
        <v>0</v>
      </c>
      <c r="AC65" s="99" t="n">
        <v>0</v>
      </c>
      <c r="AD65" s="99" t="n">
        <v>0</v>
      </c>
      <c r="AE65" s="99" t="n">
        <v>0</v>
      </c>
      <c r="AF65" s="99" t="n">
        <v>0</v>
      </c>
      <c r="AG65" s="99" t="n">
        <v>0</v>
      </c>
      <c r="AH65" s="99" t="n">
        <v>0</v>
      </c>
      <c r="AI65" s="99" t="n">
        <v>0</v>
      </c>
      <c r="AJ65" s="99" t="n">
        <v>0</v>
      </c>
      <c r="AK65" s="99" t="n">
        <v>0</v>
      </c>
      <c r="AL65" s="99" t="n">
        <v>0</v>
      </c>
      <c r="AM65" s="99" t="n">
        <v>0</v>
      </c>
      <c r="AN65" s="99" t="n">
        <v>0</v>
      </c>
      <c r="AO65" s="309" t="n">
        <f aca="false">SUM(E65:AN65)</f>
        <v>0</v>
      </c>
      <c r="AP65" s="65" t="n">
        <f aca="false">AP64+1</f>
        <v>59</v>
      </c>
    </row>
    <row r="66" customFormat="false" ht="12.75" hidden="false" customHeight="false" outlineLevel="0" collapsed="false">
      <c r="A66" s="37" t="s">
        <v>881</v>
      </c>
      <c r="B66" s="39"/>
      <c r="C66" s="39"/>
      <c r="D66" s="39"/>
      <c r="E66" s="435" t="n">
        <v>0</v>
      </c>
      <c r="F66" s="435" t="n">
        <v>0</v>
      </c>
      <c r="G66" s="435" t="n">
        <v>0</v>
      </c>
      <c r="H66" s="435" t="n">
        <v>0</v>
      </c>
      <c r="I66" s="435" t="n">
        <v>0</v>
      </c>
      <c r="J66" s="435" t="n">
        <v>0</v>
      </c>
      <c r="K66" s="435" t="n">
        <v>0</v>
      </c>
      <c r="L66" s="435" t="n">
        <v>0</v>
      </c>
      <c r="M66" s="435" t="n">
        <v>0</v>
      </c>
      <c r="N66" s="435" t="n">
        <v>0</v>
      </c>
      <c r="O66" s="435" t="n">
        <v>0</v>
      </c>
      <c r="P66" s="435" t="n">
        <v>0</v>
      </c>
      <c r="Q66" s="435" t="n">
        <v>0</v>
      </c>
      <c r="R66" s="435" t="n">
        <v>0</v>
      </c>
      <c r="S66" s="435" t="n">
        <v>0</v>
      </c>
      <c r="T66" s="435" t="n">
        <v>0</v>
      </c>
      <c r="U66" s="435" t="n">
        <v>0</v>
      </c>
      <c r="V66" s="435" t="n">
        <v>0</v>
      </c>
      <c r="W66" s="435" t="n">
        <v>0</v>
      </c>
      <c r="X66" s="435" t="n">
        <v>0</v>
      </c>
      <c r="Y66" s="435" t="n">
        <v>0</v>
      </c>
      <c r="Z66" s="435" t="n">
        <v>0</v>
      </c>
      <c r="AA66" s="435" t="n">
        <v>0</v>
      </c>
      <c r="AB66" s="435" t="n">
        <v>0</v>
      </c>
      <c r="AC66" s="435" t="n">
        <v>0</v>
      </c>
      <c r="AD66" s="435" t="n">
        <v>0</v>
      </c>
      <c r="AE66" s="435" t="n">
        <v>0</v>
      </c>
      <c r="AF66" s="435" t="n">
        <v>0</v>
      </c>
      <c r="AG66" s="435" t="n">
        <v>0</v>
      </c>
      <c r="AH66" s="435" t="n">
        <v>0</v>
      </c>
      <c r="AI66" s="435" t="n">
        <v>0</v>
      </c>
      <c r="AJ66" s="435" t="n">
        <v>0</v>
      </c>
      <c r="AK66" s="435" t="n">
        <v>0</v>
      </c>
      <c r="AL66" s="435" t="n">
        <v>0</v>
      </c>
      <c r="AM66" s="435" t="n">
        <v>0</v>
      </c>
      <c r="AN66" s="435" t="n">
        <v>0</v>
      </c>
      <c r="AO66" s="313" t="n">
        <f aca="false">SUM(E66:AN66)</f>
        <v>0</v>
      </c>
      <c r="AP66" s="65" t="n">
        <f aca="false">AP65+1</f>
        <v>60</v>
      </c>
    </row>
    <row r="67" customFormat="false" ht="12.75" hidden="false" customHeight="false" outlineLevel="0" collapsed="false">
      <c r="A67" s="37" t="s">
        <v>660</v>
      </c>
      <c r="B67" s="39"/>
      <c r="C67" s="39"/>
      <c r="D67" s="39"/>
      <c r="E67" s="61" t="n">
        <f aca="false">SUM(E63:E66)</f>
        <v>0</v>
      </c>
      <c r="F67" s="61" t="n">
        <f aca="false">SUM(F63:F66)</f>
        <v>0</v>
      </c>
      <c r="G67" s="61" t="n">
        <f aca="false">SUM(G63:G66)</f>
        <v>0</v>
      </c>
      <c r="H67" s="61" t="n">
        <f aca="false">SUM(H63:H66)</f>
        <v>0</v>
      </c>
      <c r="I67" s="61" t="n">
        <f aca="false">SUM(I63:I66)</f>
        <v>0</v>
      </c>
      <c r="J67" s="61" t="n">
        <f aca="false">SUM(J63:J66)</f>
        <v>4072.33637</v>
      </c>
      <c r="K67" s="61" t="n">
        <f aca="false">SUM(K63:K66)</f>
        <v>4072.33637</v>
      </c>
      <c r="L67" s="61" t="n">
        <f aca="false">SUM(L63:L66)</f>
        <v>4072.33637</v>
      </c>
      <c r="M67" s="61" t="n">
        <f aca="false">SUM(M63:M66)</f>
        <v>10372.33637</v>
      </c>
      <c r="N67" s="61" t="n">
        <f aca="false">SUM(N63:N66)</f>
        <v>14699.33637</v>
      </c>
      <c r="O67" s="61" t="n">
        <f aca="false">SUM(O63:O66)</f>
        <v>16877.33637</v>
      </c>
      <c r="P67" s="61" t="n">
        <f aca="false">SUM(P63:P66)</f>
        <v>24776.84537</v>
      </c>
      <c r="Q67" s="61" t="n">
        <f aca="false">SUM(Q63:Q66)</f>
        <v>30336.84537</v>
      </c>
      <c r="R67" s="61" t="n">
        <f aca="false">SUM(R63:R66)</f>
        <v>34961.84537</v>
      </c>
      <c r="S67" s="61" t="n">
        <f aca="false">SUM(S63:S66)</f>
        <v>39958.00437</v>
      </c>
      <c r="T67" s="61" t="n">
        <f aca="false">SUM(T63:T66)</f>
        <v>40000.00001</v>
      </c>
      <c r="U67" s="61" t="n">
        <f aca="false">SUM(U63:U66)</f>
        <v>40000.00001</v>
      </c>
      <c r="V67" s="61" t="n">
        <f aca="false">SUM(V63:V66)</f>
        <v>40000.00001</v>
      </c>
      <c r="W67" s="61" t="n">
        <f aca="false">SUM(W63:W66)</f>
        <v>40000.00001</v>
      </c>
      <c r="X67" s="61" t="n">
        <f aca="false">SUM(X63:X66)</f>
        <v>40000.00001</v>
      </c>
      <c r="Y67" s="61" t="n">
        <f aca="false">SUM(Y63:Y66)</f>
        <v>40000.00001</v>
      </c>
      <c r="Z67" s="61" t="n">
        <f aca="false">SUM(Z63:Z66)</f>
        <v>40000.00001</v>
      </c>
      <c r="AA67" s="61" t="n">
        <f aca="false">SUM(AA63:AA66)</f>
        <v>40000.00001</v>
      </c>
      <c r="AB67" s="61" t="n">
        <f aca="false">SUM(AB63:AB66)</f>
        <v>40000.00001</v>
      </c>
      <c r="AC67" s="61" t="n">
        <f aca="false">SUM(AC63:AC66)</f>
        <v>40000.00001</v>
      </c>
      <c r="AD67" s="61" t="n">
        <f aca="false">SUM(AD63:AD66)</f>
        <v>40000.00001</v>
      </c>
      <c r="AE67" s="61" t="n">
        <f aca="false">SUM(AE63:AE66)</f>
        <v>60000.00001</v>
      </c>
      <c r="AF67" s="61" t="n">
        <f aca="false">SUM(AF63:AF66)</f>
        <v>60000.00001</v>
      </c>
      <c r="AG67" s="61" t="n">
        <f aca="false">SUM(AG63:AG66)</f>
        <v>60000.00001</v>
      </c>
      <c r="AH67" s="61" t="n">
        <f aca="false">SUM(AH63:AH66)</f>
        <v>60000.00001</v>
      </c>
      <c r="AI67" s="61" t="n">
        <f aca="false">SUM(AI63:AI66)</f>
        <v>60000.00001</v>
      </c>
      <c r="AJ67" s="61" t="n">
        <f aca="false">SUM(AJ63:AJ66)</f>
        <v>60000.00001</v>
      </c>
      <c r="AK67" s="61" t="n">
        <f aca="false">SUM(AK63:AK66)</f>
        <v>60000.00001</v>
      </c>
      <c r="AL67" s="61" t="n">
        <f aca="false">SUM(AL63:AL66)</f>
        <v>60000.00001</v>
      </c>
      <c r="AM67" s="61" t="n">
        <f aca="false">SUM(AM63:AM66)</f>
        <v>60000.00001</v>
      </c>
      <c r="AN67" s="61" t="n">
        <f aca="false">SUM(AN63:AN66)</f>
        <v>60000.00001</v>
      </c>
      <c r="AO67" s="309" t="n">
        <f aca="false">SUM(AO63:AO66)</f>
        <v>60000.00001</v>
      </c>
      <c r="AP67" s="65" t="n">
        <f aca="false">AP66+1</f>
        <v>61</v>
      </c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</row>
    <row r="68" customFormat="false" ht="12.75" hidden="false" customHeight="false" outlineLevel="0" collapsed="false">
      <c r="A68" s="37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02"/>
      <c r="AP68" s="65" t="n">
        <f aca="false">AP67+1</f>
        <v>62</v>
      </c>
    </row>
    <row r="69" customFormat="false" ht="12.75" hidden="false" customHeight="false" outlineLevel="0" collapsed="false">
      <c r="A69" s="895" t="s">
        <v>895</v>
      </c>
      <c r="B69" s="610"/>
      <c r="C69" s="610"/>
      <c r="D69" s="471" t="n">
        <f aca="false">AO51</f>
        <v>7955.10896950503</v>
      </c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02"/>
      <c r="AP69" s="65" t="n">
        <f aca="false">AP68+1</f>
        <v>63</v>
      </c>
    </row>
    <row r="70" customFormat="false" ht="12.75" hidden="false" customHeight="false" outlineLevel="0" collapsed="false">
      <c r="A70" s="896" t="s">
        <v>896</v>
      </c>
      <c r="B70" s="667"/>
      <c r="C70" s="667"/>
      <c r="D70" s="897" t="n">
        <f aca="false">AO53</f>
        <v>475.77727694755</v>
      </c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02"/>
      <c r="AP70" s="65" t="n">
        <f aca="false">AP69+1</f>
        <v>64</v>
      </c>
    </row>
    <row r="71" customFormat="false" ht="12.75" hidden="false" customHeight="false" outlineLevel="0" collapsed="false">
      <c r="A71" s="37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02"/>
      <c r="AP71" s="65" t="n">
        <f aca="false">AP70+1</f>
        <v>65</v>
      </c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</row>
    <row r="72" customFormat="false" ht="12.75" hidden="false" customHeight="false" outlineLevel="0" collapsed="false">
      <c r="A72" s="310" t="s">
        <v>897</v>
      </c>
      <c r="B72" s="106"/>
      <c r="C72" s="106"/>
      <c r="D72" s="106"/>
      <c r="E72" s="890" t="n">
        <f aca="false">IF(E$7&lt;Fin_Close,SUM($E27:E27),D72)</f>
        <v>0</v>
      </c>
      <c r="F72" s="890" t="n">
        <f aca="false">IF(F$7&lt;Fin_Close,SUM($E27:F27),E72)</f>
        <v>0</v>
      </c>
      <c r="G72" s="890" t="n">
        <f aca="false">IF(G$7&lt;Fin_Close,SUM($E27:G27),F72)</f>
        <v>0</v>
      </c>
      <c r="H72" s="890" t="n">
        <f aca="false">IF(H$7&lt;Fin_Close,SUM($E27:H27),G72)</f>
        <v>0</v>
      </c>
      <c r="I72" s="890" t="n">
        <f aca="false">IF(I$7&lt;Fin_Close,SUM($E27:I27),H72)</f>
        <v>0</v>
      </c>
      <c r="J72" s="890" t="n">
        <f aca="false">IF(J$7&lt;Fin_Close,SUM($E27:J27),I72)</f>
        <v>0</v>
      </c>
      <c r="K72" s="890" t="n">
        <f aca="false">IF(K$7&lt;Fin_Close,SUM($E27:K27),J72)</f>
        <v>0</v>
      </c>
      <c r="L72" s="890" t="n">
        <f aca="false">IF(L$7&lt;Fin_Close,SUM($E27:L27),K72)</f>
        <v>0</v>
      </c>
      <c r="M72" s="890" t="n">
        <f aca="false">IF(M$7&lt;Fin_Close,SUM($E27:M27),L72)</f>
        <v>0</v>
      </c>
      <c r="N72" s="890" t="n">
        <f aca="false">IF(N$7&lt;Fin_Close,SUM($E27:N27),M72)</f>
        <v>0</v>
      </c>
      <c r="O72" s="890" t="n">
        <f aca="false">IF(O$7&lt;Fin_Close,SUM($E27:O27),N72)</f>
        <v>0</v>
      </c>
      <c r="P72" s="890" t="n">
        <f aca="false">IF(P$7&lt;Fin_Close,SUM($E27:P27),O72)</f>
        <v>0</v>
      </c>
      <c r="Q72" s="890" t="n">
        <f aca="false">IF(Q$7&lt;Fin_Close,SUM($E27:Q27),P72)</f>
        <v>0</v>
      </c>
      <c r="R72" s="890" t="n">
        <f aca="false">IF(R$7&lt;Fin_Close,SUM($E27:R27),Q72)</f>
        <v>0</v>
      </c>
      <c r="S72" s="890" t="n">
        <f aca="false">IF(S$7&lt;Fin_Close,SUM($E27:S27),R72)</f>
        <v>0</v>
      </c>
      <c r="T72" s="890" t="n">
        <f aca="false">IF(T$7&lt;Fin_Close,SUM($E27:T27),S72)</f>
        <v>19943.38036</v>
      </c>
      <c r="U72" s="890" t="n">
        <f aca="false">IF(U$7&lt;Fin_Close,SUM($E27:U27),T72)</f>
        <v>25389.08436</v>
      </c>
      <c r="V72" s="890" t="n">
        <f aca="false">IF(V$7&lt;Fin_Close,SUM($E27:V27),U72)</f>
        <v>25389.08436</v>
      </c>
      <c r="W72" s="890" t="n">
        <f aca="false">IF(W$7&lt;Fin_Close,SUM($E27:W27),V72)</f>
        <v>30517.08436</v>
      </c>
      <c r="X72" s="890" t="n">
        <f aca="false">IF(X$7&lt;Fin_Close,SUM($E27:X27),W72)</f>
        <v>39117.08436</v>
      </c>
      <c r="Y72" s="890" t="n">
        <f aca="false">IF(Y$7&lt;Fin_Close,SUM($E27:Y27),X72)</f>
        <v>43754.295409496</v>
      </c>
      <c r="Z72" s="890" t="n">
        <f aca="false">IF(Z$7&lt;Fin_Close,SUM($E27:Z27),Y72)</f>
        <v>48391.506458992</v>
      </c>
      <c r="AA72" s="890" t="n">
        <f aca="false">IF(AA$7&lt;Fin_Close,SUM($E27:AA27),Z72)</f>
        <v>53028.7175084881</v>
      </c>
      <c r="AB72" s="890" t="n">
        <f aca="false">IF(AB$7&lt;Fin_Close,SUM($E27:AB27),AA72)</f>
        <v>57665.9285579841</v>
      </c>
      <c r="AC72" s="890" t="n">
        <f aca="false">IF(AC$7&lt;Fin_Close,SUM($E27:AC27),AB72)</f>
        <v>62303.1396074801</v>
      </c>
      <c r="AD72" s="890" t="n">
        <f aca="false">IF(AD$7&lt;Fin_Close,SUM($E27:AD27),AC72)</f>
        <v>66940.3506569761</v>
      </c>
      <c r="AE72" s="890" t="n">
        <f aca="false">IF(AE$7&lt;Fin_Close,SUM($E27:AE27),AD72)</f>
        <v>51577.5617064721</v>
      </c>
      <c r="AF72" s="890" t="n">
        <f aca="false">IF(AF$7&lt;Fin_Close,SUM($E27:AF27),AE72)</f>
        <v>61850.6685394348</v>
      </c>
      <c r="AG72" s="890" t="n">
        <f aca="false">IF(AG$7&lt;Fin_Close,SUM($E27:AG27),AF72)</f>
        <v>66487.8795889309</v>
      </c>
      <c r="AH72" s="890" t="n">
        <f aca="false">IF(AH$7&lt;Fin_Close,SUM($E27:AH27),AG72)</f>
        <v>66487.8795889309</v>
      </c>
      <c r="AI72" s="890" t="n">
        <f aca="false">IF(AI$7&lt;Fin_Close,SUM($E27:AI27),AH72)</f>
        <v>66487.8795889309</v>
      </c>
      <c r="AJ72" s="890" t="n">
        <f aca="false">IF(AJ$7&lt;Fin_Close,SUM($E27:AJ27),AI72)</f>
        <v>66487.8795889309</v>
      </c>
      <c r="AK72" s="890" t="n">
        <f aca="false">IF(AK$7&lt;Fin_Close,SUM($E27:AK27),AJ72)</f>
        <v>66487.8795889309</v>
      </c>
      <c r="AL72" s="890" t="n">
        <f aca="false">IF(AL$7&lt;Fin_Close,SUM($E27:AL27),AK72)</f>
        <v>66487.8795889309</v>
      </c>
      <c r="AM72" s="890" t="n">
        <f aca="false">IF(AM$7&lt;Fin_Close,SUM($E27:AM27),AL72)</f>
        <v>66487.8795889309</v>
      </c>
      <c r="AN72" s="890" t="n">
        <f aca="false">IF(AN$7&lt;Fin_Close,SUM($E27:AN27),AM72)</f>
        <v>66487.8795889309</v>
      </c>
      <c r="AO72" s="302"/>
      <c r="AP72" s="65" t="n">
        <f aca="false">AP71+1</f>
        <v>66</v>
      </c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</row>
    <row r="73" customFormat="false" ht="12.75" hidden="false" customHeight="false" outlineLevel="0" collapsed="false">
      <c r="A73" s="310" t="s">
        <v>898</v>
      </c>
      <c r="B73" s="106"/>
      <c r="C73" s="106"/>
      <c r="D73" s="106"/>
      <c r="E73" s="890" t="n">
        <f aca="false">IF(E$7&lt;Fin_Close,SUM($E28:E28),D73)</f>
        <v>0</v>
      </c>
      <c r="F73" s="890" t="n">
        <f aca="false">IF(F$7&lt;Fin_Close,SUM($E28:F28),E73)</f>
        <v>0</v>
      </c>
      <c r="G73" s="890" t="n">
        <f aca="false">IF(G$7&lt;Fin_Close,SUM($E28:G28),F73)</f>
        <v>0</v>
      </c>
      <c r="H73" s="890" t="n">
        <f aca="false">IF(H$7&lt;Fin_Close,SUM($E28:H28),G73)</f>
        <v>0</v>
      </c>
      <c r="I73" s="890" t="n">
        <f aca="false">IF(I$7&lt;Fin_Close,SUM($E28:I28),H73)</f>
        <v>0</v>
      </c>
      <c r="J73" s="890" t="n">
        <f aca="false">IF(J$7&lt;Fin_Close,SUM($E28:J28),I73)</f>
        <v>0</v>
      </c>
      <c r="K73" s="890" t="n">
        <f aca="false">IF(K$7&lt;Fin_Close,SUM($E28:K28),J73)</f>
        <v>0</v>
      </c>
      <c r="L73" s="890" t="n">
        <f aca="false">IF(L$7&lt;Fin_Close,SUM($E28:L28),K73)</f>
        <v>0</v>
      </c>
      <c r="M73" s="890" t="n">
        <f aca="false">IF(M$7&lt;Fin_Close,SUM($E28:M28),L73)</f>
        <v>0</v>
      </c>
      <c r="N73" s="890" t="n">
        <f aca="false">IF(N$7&lt;Fin_Close,SUM($E28:N28),M73)</f>
        <v>0</v>
      </c>
      <c r="O73" s="890" t="n">
        <f aca="false">IF(O$7&lt;Fin_Close,SUM($E28:O28),N73)</f>
        <v>0</v>
      </c>
      <c r="P73" s="890" t="n">
        <f aca="false">IF(P$7&lt;Fin_Close,SUM($E28:P28),O73)</f>
        <v>0</v>
      </c>
      <c r="Q73" s="890" t="n">
        <f aca="false">IF(Q$7&lt;Fin_Close,SUM($E28:Q28),P73)</f>
        <v>0</v>
      </c>
      <c r="R73" s="890" t="n">
        <f aca="false">IF(R$7&lt;Fin_Close,SUM($E28:R28),Q73)</f>
        <v>0</v>
      </c>
      <c r="S73" s="890" t="n">
        <f aca="false">IF(S$7&lt;Fin_Close,SUM($E28:S28),R73)</f>
        <v>0</v>
      </c>
      <c r="T73" s="890" t="n">
        <f aca="false">IF(T$7&lt;Fin_Close,SUM($E28:T28),S73)</f>
        <v>49.8584509</v>
      </c>
      <c r="U73" s="890" t="n">
        <f aca="false">IF(U$7&lt;Fin_Close,SUM($E28:U28),T73)</f>
        <v>163.474518133714</v>
      </c>
      <c r="V73" s="890" t="n">
        <f aca="false">IF(V$7&lt;Fin_Close,SUM($E28:V28),U73)</f>
        <v>291.354080037336</v>
      </c>
      <c r="W73" s="890" t="n">
        <f aca="false">IF(W$7&lt;Fin_Close,SUM($E28:W28),V73)</f>
        <v>432.784382294692</v>
      </c>
      <c r="X73" s="890" t="n">
        <f aca="false">IF(X$7&lt;Fin_Close,SUM($E28:X28),W73)</f>
        <v>609.342857707804</v>
      </c>
      <c r="Y73" s="890" t="n">
        <f aca="false">IF(Y$7&lt;Fin_Close,SUM($E28:Y28),X73)</f>
        <v>820.003266318446</v>
      </c>
      <c r="Z73" s="890" t="n">
        <f aca="false">IF(Z$7&lt;Fin_Close,SUM($E28:Z28),Y73)</f>
        <v>1055.05350394006</v>
      </c>
      <c r="AA73" s="890" t="n">
        <f aca="false">IF(AA$7&lt;Fin_Close,SUM($E28:AA28),Z73)</f>
        <v>1314.63294102413</v>
      </c>
      <c r="AB73" s="890" t="n">
        <f aca="false">IF(AB$7&lt;Fin_Close,SUM($E28:AB28),AA73)</f>
        <v>1598.88174442473</v>
      </c>
      <c r="AC73" s="890" t="n">
        <f aca="false">IF(AC$7&lt;Fin_Close,SUM($E28:AC28),AB73)</f>
        <v>1907.94088194939</v>
      </c>
      <c r="AD73" s="890" t="n">
        <f aca="false">IF(AD$7&lt;Fin_Close,SUM($E28:AD28),AC73)</f>
        <v>2241.95212693596</v>
      </c>
      <c r="AE73" s="890" t="n">
        <f aca="false">IF(AE$7&lt;Fin_Close,SUM($E28:AE28),AD73)</f>
        <v>2551.05806285564</v>
      </c>
      <c r="AF73" s="890" t="n">
        <f aca="false">IF(AF$7&lt;Fin_Close,SUM($E28:AF28),AE73)</f>
        <v>2849.2061131153</v>
      </c>
      <c r="AG73" s="890" t="n">
        <f aca="false">IF(AG$7&lt;Fin_Close,SUM($E28:AG28),AF73)</f>
        <v>3186.33366122544</v>
      </c>
      <c r="AH73" s="890" t="n">
        <f aca="false">IF(AH$7&lt;Fin_Close,SUM($E28:AH28),AG73)</f>
        <v>3186.33366122544</v>
      </c>
      <c r="AI73" s="890" t="n">
        <f aca="false">IF(AI$7&lt;Fin_Close,SUM($E28:AI28),AH73)</f>
        <v>3186.33366122544</v>
      </c>
      <c r="AJ73" s="890" t="n">
        <f aca="false">IF(AJ$7&lt;Fin_Close,SUM($E28:AJ28),AI73)</f>
        <v>3186.33366122544</v>
      </c>
      <c r="AK73" s="890" t="n">
        <f aca="false">IF(AK$7&lt;Fin_Close,SUM($E28:AK28),AJ73)</f>
        <v>3186.33366122544</v>
      </c>
      <c r="AL73" s="890" t="n">
        <f aca="false">IF(AL$7&lt;Fin_Close,SUM($E28:AL28),AK73)</f>
        <v>3186.33366122544</v>
      </c>
      <c r="AM73" s="890" t="n">
        <f aca="false">IF(AM$7&lt;Fin_Close,SUM($E28:AM28),AL73)</f>
        <v>3186.33366122544</v>
      </c>
      <c r="AN73" s="890" t="n">
        <f aca="false">IF(AN$7&lt;Fin_Close,SUM($E28:AN28),AM73)</f>
        <v>3186.33366122544</v>
      </c>
      <c r="AO73" s="302"/>
      <c r="AP73" s="65" t="n">
        <f aca="false">AP72+1</f>
        <v>67</v>
      </c>
    </row>
    <row r="74" customFormat="false" ht="12.75" hidden="false" customHeight="false" outlineLevel="0" collapsed="false">
      <c r="A74" s="310" t="s">
        <v>899</v>
      </c>
      <c r="B74" s="106"/>
      <c r="C74" s="106"/>
      <c r="D74" s="106"/>
      <c r="E74" s="892" t="n">
        <f aca="false">IF(E$7&lt;Fin_Close,SUM($E29:E29),D74)</f>
        <v>0</v>
      </c>
      <c r="F74" s="892" t="n">
        <f aca="false">IF(F$7&lt;Fin_Close,SUM($E29:F29),E74)</f>
        <v>0</v>
      </c>
      <c r="G74" s="892" t="n">
        <f aca="false">IF(G$7&lt;Fin_Close,SUM($E29:G29),F74)</f>
        <v>0</v>
      </c>
      <c r="H74" s="892" t="n">
        <f aca="false">IF(H$7&lt;Fin_Close,SUM($E29:H29),G74)</f>
        <v>0</v>
      </c>
      <c r="I74" s="892" t="n">
        <f aca="false">IF(I$7&lt;Fin_Close,SUM($E29:I29),H74)</f>
        <v>0</v>
      </c>
      <c r="J74" s="892" t="n">
        <f aca="false">IF(J$7&lt;Fin_Close,SUM($E29:J29),I74)</f>
        <v>0</v>
      </c>
      <c r="K74" s="892" t="n">
        <f aca="false">IF(K$7&lt;Fin_Close,SUM($E29:K29),J74)</f>
        <v>0</v>
      </c>
      <c r="L74" s="892" t="n">
        <f aca="false">IF(L$7&lt;Fin_Close,SUM($E29:L29),K74)</f>
        <v>0</v>
      </c>
      <c r="M74" s="892" t="n">
        <f aca="false">IF(M$7&lt;Fin_Close,SUM($E29:M29),L74)</f>
        <v>0</v>
      </c>
      <c r="N74" s="892" t="n">
        <f aca="false">IF(N$7&lt;Fin_Close,SUM($E29:N29),M74)</f>
        <v>0</v>
      </c>
      <c r="O74" s="892" t="n">
        <f aca="false">IF(O$7&lt;Fin_Close,SUM($E29:O29),N74)</f>
        <v>0</v>
      </c>
      <c r="P74" s="892" t="n">
        <f aca="false">IF(P$7&lt;Fin_Close,SUM($E29:P29),O74)</f>
        <v>0</v>
      </c>
      <c r="Q74" s="892" t="n">
        <f aca="false">IF(Q$7&lt;Fin_Close,SUM($E29:Q29),P74)</f>
        <v>0</v>
      </c>
      <c r="R74" s="892" t="n">
        <f aca="false">IF(R$7&lt;Fin_Close,SUM($E29:R29),Q74)</f>
        <v>0</v>
      </c>
      <c r="S74" s="892" t="n">
        <f aca="false">IF(S$7&lt;Fin_Close,SUM($E29:S29),R74)</f>
        <v>0</v>
      </c>
      <c r="T74" s="892" t="n">
        <f aca="false">IF(T$7&lt;Fin_Close,SUM($E29:T29),S74)</f>
        <v>7.12263584285714</v>
      </c>
      <c r="U74" s="892" t="n">
        <f aca="false">IF(U$7&lt;Fin_Close,SUM($E29:U29),T74)</f>
        <v>23.3535025905306</v>
      </c>
      <c r="V74" s="892" t="n">
        <f aca="false">IF(V$7&lt;Fin_Close,SUM($E29:V29),U74)</f>
        <v>41.6220114339051</v>
      </c>
      <c r="W74" s="892" t="n">
        <f aca="false">IF(W$7&lt;Fin_Close,SUM($E29:W29),V74)</f>
        <v>61.8263403278131</v>
      </c>
      <c r="X74" s="892" t="n">
        <f aca="false">IF(X$7&lt;Fin_Close,SUM($E29:X29),W74)</f>
        <v>87.0489796725435</v>
      </c>
      <c r="Y74" s="892" t="n">
        <f aca="false">IF(Y$7&lt;Fin_Close,SUM($E29:Y29),X74)</f>
        <v>117.143323759778</v>
      </c>
      <c r="Z74" s="892" t="n">
        <f aca="false">IF(Z$7&lt;Fin_Close,SUM($E29:Z29),Y74)</f>
        <v>150.721929134294</v>
      </c>
      <c r="AA74" s="892" t="n">
        <f aca="false">IF(AA$7&lt;Fin_Close,SUM($E29:AA29),Z74)</f>
        <v>187.80470586059</v>
      </c>
      <c r="AB74" s="892" t="n">
        <f aca="false">IF(AB$7&lt;Fin_Close,SUM($E29:AB29),AA74)</f>
        <v>228.411677774962</v>
      </c>
      <c r="AC74" s="892" t="n">
        <f aca="false">IF(AC$7&lt;Fin_Close,SUM($E29:AC29),AB74)</f>
        <v>272.562983135627</v>
      </c>
      <c r="AD74" s="892" t="n">
        <f aca="false">IF(AD$7&lt;Fin_Close,SUM($E29:AD29),AC74)</f>
        <v>320.278875276565</v>
      </c>
      <c r="AE74" s="892" t="n">
        <f aca="false">IF(AE$7&lt;Fin_Close,SUM($E29:AE29),AD74)</f>
        <v>364.436866122234</v>
      </c>
      <c r="AF74" s="892" t="n">
        <f aca="false">IF(AF$7&lt;Fin_Close,SUM($E29:AF29),AE74)</f>
        <v>407.029444730757</v>
      </c>
      <c r="AG74" s="892" t="n">
        <f aca="false">IF(AG$7&lt;Fin_Close,SUM($E29:AG29),AF74)</f>
        <v>455.190523032206</v>
      </c>
      <c r="AH74" s="892" t="n">
        <f aca="false">IF(AH$7&lt;Fin_Close,SUM($E29:AH29),AG74)</f>
        <v>455.190523032206</v>
      </c>
      <c r="AI74" s="892" t="n">
        <f aca="false">IF(AI$7&lt;Fin_Close,SUM($E29:AI29),AH74)</f>
        <v>455.190523032206</v>
      </c>
      <c r="AJ74" s="892" t="n">
        <f aca="false">IF(AJ$7&lt;Fin_Close,SUM($E29:AJ29),AI74)</f>
        <v>455.190523032206</v>
      </c>
      <c r="AK74" s="892" t="n">
        <f aca="false">IF(AK$7&lt;Fin_Close,SUM($E29:AK29),AJ74)</f>
        <v>455.190523032206</v>
      </c>
      <c r="AL74" s="892" t="n">
        <f aca="false">IF(AL$7&lt;Fin_Close,SUM($E29:AL29),AK74)</f>
        <v>455.190523032206</v>
      </c>
      <c r="AM74" s="892" t="n">
        <f aca="false">IF(AM$7&lt;Fin_Close,SUM($E29:AM29),AL74)</f>
        <v>455.190523032206</v>
      </c>
      <c r="AN74" s="892" t="n">
        <f aca="false">IF(AN$7&lt;Fin_Close,SUM($E29:AN29),AM74)</f>
        <v>455.190523032206</v>
      </c>
      <c r="AO74" s="302"/>
      <c r="AP74" s="65" t="n">
        <f aca="false">AP73+1</f>
        <v>68</v>
      </c>
    </row>
    <row r="75" customFormat="false" ht="12.75" hidden="false" customHeight="false" outlineLevel="0" collapsed="false">
      <c r="A75" s="310" t="s">
        <v>900</v>
      </c>
      <c r="B75" s="106"/>
      <c r="C75" s="106"/>
      <c r="D75" s="106"/>
      <c r="E75" s="890" t="n">
        <f aca="false">SUM(E72:E74)</f>
        <v>0</v>
      </c>
      <c r="F75" s="890" t="n">
        <f aca="false">SUM(F72:F74)</f>
        <v>0</v>
      </c>
      <c r="G75" s="890" t="n">
        <f aca="false">SUM(G72:G74)</f>
        <v>0</v>
      </c>
      <c r="H75" s="890" t="n">
        <f aca="false">SUM(H72:H74)</f>
        <v>0</v>
      </c>
      <c r="I75" s="890" t="n">
        <f aca="false">SUM(I72:I74)</f>
        <v>0</v>
      </c>
      <c r="J75" s="890" t="n">
        <f aca="false">SUM(J72:J74)</f>
        <v>0</v>
      </c>
      <c r="K75" s="890" t="n">
        <f aca="false">SUM(K72:K74)</f>
        <v>0</v>
      </c>
      <c r="L75" s="890" t="n">
        <f aca="false">SUM(L72:L74)</f>
        <v>0</v>
      </c>
      <c r="M75" s="890" t="n">
        <f aca="false">SUM(M72:M74)</f>
        <v>0</v>
      </c>
      <c r="N75" s="890" t="n">
        <f aca="false">SUM(N72:N74)</f>
        <v>0</v>
      </c>
      <c r="O75" s="890" t="n">
        <f aca="false">SUM(O72:O74)</f>
        <v>0</v>
      </c>
      <c r="P75" s="890" t="n">
        <f aca="false">SUM(P72:P74)</f>
        <v>0</v>
      </c>
      <c r="Q75" s="890" t="n">
        <f aca="false">SUM(Q72:Q74)</f>
        <v>0</v>
      </c>
      <c r="R75" s="890" t="n">
        <f aca="false">SUM(R72:R74)</f>
        <v>0</v>
      </c>
      <c r="S75" s="890" t="n">
        <f aca="false">SUM(S72:S74)</f>
        <v>0</v>
      </c>
      <c r="T75" s="890" t="n">
        <f aca="false">SUM(T72:T74)</f>
        <v>20000.3614467429</v>
      </c>
      <c r="U75" s="890" t="n">
        <f aca="false">SUM(U72:U74)</f>
        <v>25575.9123807242</v>
      </c>
      <c r="V75" s="890" t="n">
        <f aca="false">SUM(V72:V74)</f>
        <v>25722.0604514712</v>
      </c>
      <c r="W75" s="890" t="n">
        <f aca="false">SUM(W72:W74)</f>
        <v>31011.6950826225</v>
      </c>
      <c r="X75" s="890" t="n">
        <f aca="false">SUM(X72:X74)</f>
        <v>39813.4761973803</v>
      </c>
      <c r="Y75" s="890" t="n">
        <f aca="false">SUM(Y72:Y74)</f>
        <v>44691.4419995743</v>
      </c>
      <c r="Z75" s="890" t="n">
        <f aca="false">SUM(Z72:Z74)</f>
        <v>49597.2818920664</v>
      </c>
      <c r="AA75" s="890" t="n">
        <f aca="false">SUM(AA72:AA74)</f>
        <v>54531.1551553728</v>
      </c>
      <c r="AB75" s="890" t="n">
        <f aca="false">SUM(AB72:AB74)</f>
        <v>59493.2219801838</v>
      </c>
      <c r="AC75" s="890" t="n">
        <f aca="false">SUM(AC72:AC74)</f>
        <v>64483.6434725651</v>
      </c>
      <c r="AD75" s="890" t="n">
        <f aca="false">SUM(AD72:AD74)</f>
        <v>69502.5816591886</v>
      </c>
      <c r="AE75" s="890" t="n">
        <f aca="false">SUM(AE72:AE74)</f>
        <v>54493.05663545</v>
      </c>
      <c r="AF75" s="890" t="n">
        <f aca="false">SUM(AF72:AF74)</f>
        <v>65106.9040972809</v>
      </c>
      <c r="AG75" s="890" t="n">
        <f aca="false">SUM(AG72:AG74)</f>
        <v>70129.4037731885</v>
      </c>
      <c r="AH75" s="890" t="n">
        <f aca="false">SUM(AH72:AH74)</f>
        <v>70129.4037731885</v>
      </c>
      <c r="AI75" s="890" t="n">
        <f aca="false">SUM(AI72:AI74)</f>
        <v>70129.4037731885</v>
      </c>
      <c r="AJ75" s="890" t="n">
        <f aca="false">SUM(AJ72:AJ74)</f>
        <v>70129.4037731885</v>
      </c>
      <c r="AK75" s="890" t="n">
        <f aca="false">SUM(AK72:AK74)</f>
        <v>70129.4037731885</v>
      </c>
      <c r="AL75" s="890" t="n">
        <f aca="false">SUM(AL72:AL74)</f>
        <v>70129.4037731885</v>
      </c>
      <c r="AM75" s="890" t="n">
        <f aca="false">SUM(AM72:AM74)</f>
        <v>70129.4037731885</v>
      </c>
      <c r="AN75" s="890" t="n">
        <f aca="false">SUM(AN72:AN74)</f>
        <v>70129.4037731885</v>
      </c>
      <c r="AO75" s="302"/>
      <c r="AP75" s="65" t="n">
        <f aca="false">AP74+1</f>
        <v>69</v>
      </c>
    </row>
    <row r="76" customFormat="false" ht="12.75" hidden="false" customHeight="false" outlineLevel="0" collapsed="false">
      <c r="A76" s="37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02"/>
    </row>
    <row r="77" customFormat="false" ht="12.75" hidden="false" customHeight="false" outlineLevel="0" collapsed="false">
      <c r="A77" s="898" t="s">
        <v>901</v>
      </c>
      <c r="B77" s="899"/>
      <c r="C77" s="899"/>
      <c r="D77" s="899"/>
      <c r="E77" s="899"/>
      <c r="F77" s="899"/>
      <c r="G77" s="899"/>
      <c r="H77" s="899"/>
      <c r="I77" s="899"/>
      <c r="J77" s="899"/>
      <c r="K77" s="899"/>
      <c r="L77" s="899"/>
      <c r="M77" s="899"/>
      <c r="N77" s="899"/>
      <c r="O77" s="899"/>
      <c r="P77" s="899"/>
      <c r="Q77" s="899"/>
      <c r="R77" s="899"/>
      <c r="S77" s="899"/>
      <c r="T77" s="899"/>
      <c r="U77" s="899"/>
      <c r="V77" s="899"/>
      <c r="W77" s="899"/>
      <c r="X77" s="899"/>
      <c r="Y77" s="899"/>
      <c r="Z77" s="899"/>
      <c r="AA77" s="899"/>
      <c r="AB77" s="899"/>
      <c r="AC77" s="899"/>
      <c r="AD77" s="899"/>
      <c r="AE77" s="899"/>
      <c r="AF77" s="899"/>
      <c r="AG77" s="899"/>
      <c r="AH77" s="899"/>
      <c r="AI77" s="899"/>
      <c r="AJ77" s="899"/>
      <c r="AK77" s="899"/>
      <c r="AL77" s="899"/>
      <c r="AM77" s="899"/>
      <c r="AN77" s="899"/>
      <c r="AO77" s="522"/>
    </row>
    <row r="78" customFormat="false" ht="12.75" hidden="false" customHeight="false" outlineLevel="0" collapsed="false">
      <c r="A78" s="37" t="s">
        <v>902</v>
      </c>
      <c r="B78" s="39"/>
      <c r="C78" s="39"/>
      <c r="D78" s="39"/>
      <c r="E78" s="99" t="n">
        <v>0</v>
      </c>
      <c r="F78" s="61" t="n">
        <f aca="false">E81</f>
        <v>0</v>
      </c>
      <c r="G78" s="61" t="n">
        <f aca="false">F81</f>
        <v>0</v>
      </c>
      <c r="H78" s="61" t="n">
        <f aca="false">G81</f>
        <v>0</v>
      </c>
      <c r="I78" s="61" t="n">
        <f aca="false">H81</f>
        <v>0</v>
      </c>
      <c r="J78" s="61" t="n">
        <f aca="false">I81</f>
        <v>0</v>
      </c>
      <c r="K78" s="61" t="n">
        <f aca="false">J81</f>
        <v>0</v>
      </c>
      <c r="L78" s="61" t="n">
        <f aca="false">K81</f>
        <v>0</v>
      </c>
      <c r="M78" s="61" t="n">
        <f aca="false">L81</f>
        <v>0</v>
      </c>
      <c r="N78" s="61" t="n">
        <f aca="false">M81</f>
        <v>0</v>
      </c>
      <c r="O78" s="61" t="n">
        <f aca="false">N81</f>
        <v>0</v>
      </c>
      <c r="P78" s="61" t="n">
        <f aca="false">O81</f>
        <v>0</v>
      </c>
      <c r="Q78" s="61" t="n">
        <f aca="false">P81</f>
        <v>0</v>
      </c>
      <c r="R78" s="61" t="n">
        <f aca="false">Q81</f>
        <v>0</v>
      </c>
      <c r="S78" s="61" t="n">
        <f aca="false">R81</f>
        <v>0</v>
      </c>
      <c r="T78" s="61" t="n">
        <f aca="false">S81</f>
        <v>0</v>
      </c>
      <c r="U78" s="61" t="n">
        <f aca="false">T81</f>
        <v>0</v>
      </c>
      <c r="V78" s="61" t="n">
        <f aca="false">U81</f>
        <v>0</v>
      </c>
      <c r="W78" s="61" t="n">
        <f aca="false">V81</f>
        <v>0</v>
      </c>
      <c r="X78" s="61" t="n">
        <f aca="false">W81</f>
        <v>0</v>
      </c>
      <c r="Y78" s="61" t="n">
        <f aca="false">X81</f>
        <v>0</v>
      </c>
      <c r="Z78" s="61" t="n">
        <f aca="false">Y81</f>
        <v>0</v>
      </c>
      <c r="AA78" s="61" t="n">
        <f aca="false">Z81</f>
        <v>0</v>
      </c>
      <c r="AB78" s="61" t="n">
        <f aca="false">AA81</f>
        <v>0</v>
      </c>
      <c r="AC78" s="61" t="n">
        <f aca="false">AB81</f>
        <v>0</v>
      </c>
      <c r="AD78" s="61" t="n">
        <f aca="false">AC81</f>
        <v>0</v>
      </c>
      <c r="AE78" s="61" t="n">
        <f aca="false">AD81</f>
        <v>0</v>
      </c>
      <c r="AF78" s="61" t="n">
        <f aca="false">AE81</f>
        <v>0</v>
      </c>
      <c r="AG78" s="61" t="n">
        <f aca="false">AF81</f>
        <v>0</v>
      </c>
      <c r="AH78" s="61" t="n">
        <f aca="false">AG81</f>
        <v>0</v>
      </c>
      <c r="AI78" s="61" t="n">
        <f aca="false">AH81</f>
        <v>18829.5638057234</v>
      </c>
      <c r="AJ78" s="61" t="n">
        <f aca="false">AI81</f>
        <v>13591.7931418444</v>
      </c>
      <c r="AK78" s="61" t="n">
        <f aca="false">AJ81</f>
        <v>8307.67846996801</v>
      </c>
      <c r="AL78" s="61" t="n">
        <f aca="false">AK81</f>
        <v>1711.95806078198</v>
      </c>
      <c r="AM78" s="61" t="n">
        <f aca="false">AL81</f>
        <v>859.749219645507</v>
      </c>
      <c r="AN78" s="61" t="n">
        <f aca="false">AM81</f>
        <v>1.125499693444E-011</v>
      </c>
      <c r="AO78" s="309" t="n">
        <f aca="false">E78</f>
        <v>0</v>
      </c>
    </row>
    <row r="79" customFormat="false" ht="12.75" hidden="false" customHeight="false" outlineLevel="0" collapsed="false">
      <c r="A79" s="37" t="s">
        <v>903</v>
      </c>
      <c r="B79" s="39"/>
      <c r="C79" s="39"/>
      <c r="D79" s="39"/>
      <c r="E79" s="61" t="n">
        <f aca="false">IF(E$7=Fin_Close,Debt,0)</f>
        <v>0</v>
      </c>
      <c r="F79" s="61" t="n">
        <f aca="false">IF(F$7=Fin_Close,Debt,0)</f>
        <v>0</v>
      </c>
      <c r="G79" s="61" t="n">
        <f aca="false">IF(G$7=Fin_Close,Debt,0)</f>
        <v>0</v>
      </c>
      <c r="H79" s="61" t="n">
        <f aca="false">IF(H$7=Fin_Close,Debt,0)</f>
        <v>0</v>
      </c>
      <c r="I79" s="61" t="n">
        <f aca="false">IF(I$7=Fin_Close,Debt,0)</f>
        <v>0</v>
      </c>
      <c r="J79" s="61" t="n">
        <f aca="false">IF(J$7=Fin_Close,Debt,0)</f>
        <v>0</v>
      </c>
      <c r="K79" s="61" t="n">
        <f aca="false">IF(K$7=Fin_Close,Debt,0)</f>
        <v>0</v>
      </c>
      <c r="L79" s="61" t="n">
        <f aca="false">IF(L$7=Fin_Close,Debt,0)</f>
        <v>0</v>
      </c>
      <c r="M79" s="61" t="n">
        <f aca="false">IF(M$7=Fin_Close,Debt,0)</f>
        <v>0</v>
      </c>
      <c r="N79" s="61" t="n">
        <f aca="false">IF(N$7=Fin_Close,Debt,0)</f>
        <v>0</v>
      </c>
      <c r="O79" s="61" t="n">
        <f aca="false">IF(O$7=Fin_Close,Debt,0)</f>
        <v>0</v>
      </c>
      <c r="P79" s="61" t="n">
        <f aca="false">IF(P$7=Fin_Close,Debt,0)</f>
        <v>0</v>
      </c>
      <c r="Q79" s="61" t="n">
        <f aca="false">IF(Q$7=Fin_Close,Debt,0)</f>
        <v>0</v>
      </c>
      <c r="R79" s="61" t="n">
        <f aca="false">IF(R$7=Fin_Close,Debt,0)</f>
        <v>0</v>
      </c>
      <c r="S79" s="61" t="n">
        <f aca="false">IF(S$7=Fin_Close,Debt,0)</f>
        <v>0</v>
      </c>
      <c r="T79" s="61" t="n">
        <f aca="false">IF(T$7=Fin_Close,Debt,0)</f>
        <v>0</v>
      </c>
      <c r="U79" s="61" t="n">
        <f aca="false">IF(U$7=Fin_Close,Debt,0)</f>
        <v>0</v>
      </c>
      <c r="V79" s="61" t="n">
        <f aca="false">IF(V$7=Fin_Close,Debt,0)</f>
        <v>0</v>
      </c>
      <c r="W79" s="61" t="n">
        <f aca="false">IF(W$7=Fin_Close,Debt,0)</f>
        <v>0</v>
      </c>
      <c r="X79" s="61" t="n">
        <f aca="false">IF(X$7=Fin_Close,Debt,0)</f>
        <v>0</v>
      </c>
      <c r="Y79" s="61" t="n">
        <f aca="false">IF(Y$7=Fin_Close,Debt,0)</f>
        <v>0</v>
      </c>
      <c r="Z79" s="61" t="n">
        <f aca="false">IF(Z$7=Fin_Close,Debt,0)</f>
        <v>0</v>
      </c>
      <c r="AA79" s="61" t="n">
        <f aca="false">IF(AA$7=Fin_Close,Debt,0)</f>
        <v>0</v>
      </c>
      <c r="AB79" s="61" t="n">
        <f aca="false">IF(AB$7=Fin_Close,Debt,0)</f>
        <v>0</v>
      </c>
      <c r="AC79" s="61" t="n">
        <f aca="false">IF(AC$7=Fin_Close,Debt,0)</f>
        <v>0</v>
      </c>
      <c r="AD79" s="61" t="n">
        <f aca="false">IF(AD$7=Fin_Close,Debt,0)</f>
        <v>0</v>
      </c>
      <c r="AE79" s="61" t="n">
        <f aca="false">IF(AE$7=Fin_Close,Debt,0)</f>
        <v>0</v>
      </c>
      <c r="AF79" s="61" t="n">
        <f aca="false">IF(AF$7=Fin_Close,Debt,0)</f>
        <v>0</v>
      </c>
      <c r="AG79" s="61" t="n">
        <f aca="false">IF(AG$7=Fin_Close,Debt,0)</f>
        <v>0</v>
      </c>
      <c r="AH79" s="61" t="n">
        <f aca="false">IF(AH$7=Fin_Close,Debt,0)</f>
        <v>93710.4555092785</v>
      </c>
      <c r="AI79" s="61" t="n">
        <f aca="false">IF(AI$7=Fin_Close,Debt,0)</f>
        <v>0</v>
      </c>
      <c r="AJ79" s="61" t="n">
        <f aca="false">IF(AJ$7=Fin_Close,Debt,0)</f>
        <v>0</v>
      </c>
      <c r="AK79" s="61" t="n">
        <f aca="false">IF(AK$7=Fin_Close,Debt,0)</f>
        <v>0</v>
      </c>
      <c r="AL79" s="61" t="n">
        <f aca="false">IF(AL$7=Fin_Close,Debt,0)</f>
        <v>0</v>
      </c>
      <c r="AM79" s="61" t="n">
        <f aca="false">IF(AM$7=Fin_Close,Debt,0)</f>
        <v>0</v>
      </c>
      <c r="AN79" s="61" t="n">
        <f aca="false">IF(AN$7=Fin_Close,Debt,0)</f>
        <v>0</v>
      </c>
      <c r="AO79" s="309" t="n">
        <f aca="false">SUM(E79:AN79)</f>
        <v>93710.4555092785</v>
      </c>
    </row>
    <row r="80" customFormat="false" ht="12.75" hidden="false" customHeight="false" outlineLevel="0" collapsed="false">
      <c r="A80" s="37" t="s">
        <v>904</v>
      </c>
      <c r="B80" s="39"/>
      <c r="C80" s="39"/>
      <c r="D80" s="39"/>
      <c r="E80" s="311" t="n">
        <f aca="false">-SUM(E34:E37)</f>
        <v>-0</v>
      </c>
      <c r="F80" s="311" t="n">
        <f aca="false">-SUM(F34:F37)</f>
        <v>-0</v>
      </c>
      <c r="G80" s="311" t="n">
        <f aca="false">-SUM(G34:G37)</f>
        <v>-0</v>
      </c>
      <c r="H80" s="311" t="n">
        <f aca="false">-SUM(H34:H37)</f>
        <v>-0</v>
      </c>
      <c r="I80" s="311" t="n">
        <f aca="false">-SUM(I34:I37)</f>
        <v>-0</v>
      </c>
      <c r="J80" s="311" t="n">
        <f aca="false">-SUM(J34:J37)</f>
        <v>-0</v>
      </c>
      <c r="K80" s="311" t="n">
        <f aca="false">-SUM(K34:K37)</f>
        <v>-0</v>
      </c>
      <c r="L80" s="311" t="n">
        <f aca="false">-SUM(L34:L37)</f>
        <v>-0</v>
      </c>
      <c r="M80" s="311" t="n">
        <f aca="false">-SUM(M34:M37)</f>
        <v>-0</v>
      </c>
      <c r="N80" s="311" t="n">
        <f aca="false">-SUM(N34:N37)</f>
        <v>-0</v>
      </c>
      <c r="O80" s="311" t="n">
        <f aca="false">-SUM(O34:O37)</f>
        <v>-0</v>
      </c>
      <c r="P80" s="311" t="n">
        <f aca="false">-SUM(P34:P37)</f>
        <v>-0</v>
      </c>
      <c r="Q80" s="311" t="n">
        <f aca="false">-SUM(Q34:Q37)</f>
        <v>-0</v>
      </c>
      <c r="R80" s="311" t="n">
        <f aca="false">-SUM(R34:R37)</f>
        <v>-0</v>
      </c>
      <c r="S80" s="311" t="n">
        <f aca="false">-SUM(S34:S37)</f>
        <v>-0</v>
      </c>
      <c r="T80" s="311" t="n">
        <f aca="false">-SUM(T34:T37)</f>
        <v>-0</v>
      </c>
      <c r="U80" s="311" t="n">
        <f aca="false">-SUM(U34:U37)</f>
        <v>-0</v>
      </c>
      <c r="V80" s="311" t="n">
        <f aca="false">-SUM(V34:V37)</f>
        <v>-0</v>
      </c>
      <c r="W80" s="311" t="n">
        <f aca="false">-SUM(W34:W37)</f>
        <v>-0</v>
      </c>
      <c r="X80" s="311" t="n">
        <f aca="false">-SUM(X34:X37)</f>
        <v>-0</v>
      </c>
      <c r="Y80" s="311" t="n">
        <f aca="false">-SUM(Y34:Y37)</f>
        <v>-0</v>
      </c>
      <c r="Z80" s="311" t="n">
        <f aca="false">-SUM(Z34:Z37)</f>
        <v>-0</v>
      </c>
      <c r="AA80" s="311" t="n">
        <f aca="false">-SUM(AA34:AA37)</f>
        <v>-0</v>
      </c>
      <c r="AB80" s="311" t="n">
        <f aca="false">-SUM(AB34:AB37)</f>
        <v>-0</v>
      </c>
      <c r="AC80" s="311" t="n">
        <f aca="false">-SUM(AC34:AC37)</f>
        <v>-0</v>
      </c>
      <c r="AD80" s="311" t="n">
        <f aca="false">-SUM(AD34:AD37)</f>
        <v>-0</v>
      </c>
      <c r="AE80" s="311" t="n">
        <f aca="false">-SUM(AE34:AE37)</f>
        <v>-0</v>
      </c>
      <c r="AF80" s="311" t="n">
        <f aca="false">-SUM(AF34:AF37)</f>
        <v>-0</v>
      </c>
      <c r="AG80" s="311" t="n">
        <f aca="false">-SUM(AG34:AG37)</f>
        <v>-0</v>
      </c>
      <c r="AH80" s="311" t="n">
        <f aca="false">-SUM(AH34:AH37)</f>
        <v>-74880.8917035551</v>
      </c>
      <c r="AI80" s="311" t="n">
        <f aca="false">-SUM(AI34:AI37)</f>
        <v>-5237.77066387897</v>
      </c>
      <c r="AJ80" s="311" t="n">
        <f aca="false">-SUM(AJ34:AJ37)</f>
        <v>-5284.11467187641</v>
      </c>
      <c r="AK80" s="311" t="n">
        <f aca="false">-SUM(AK34:AK37)</f>
        <v>-6595.72040918603</v>
      </c>
      <c r="AL80" s="311" t="n">
        <f aca="false">-SUM(AL34:AL37)</f>
        <v>-852.208841136471</v>
      </c>
      <c r="AM80" s="311" t="n">
        <f aca="false">-SUM(AM34:AM37)</f>
        <v>-859.749219645495</v>
      </c>
      <c r="AN80" s="311" t="n">
        <f aca="false">-SUM(AN34:AN37)</f>
        <v>-4.56472547324437E-015</v>
      </c>
      <c r="AO80" s="313" t="n">
        <f aca="false">SUM(E80:AN80)</f>
        <v>-93710.4555092785</v>
      </c>
    </row>
    <row r="81" customFormat="false" ht="12.75" hidden="false" customHeight="false" outlineLevel="0" collapsed="false">
      <c r="A81" s="37" t="s">
        <v>905</v>
      </c>
      <c r="B81" s="39"/>
      <c r="C81" s="39"/>
      <c r="D81" s="39"/>
      <c r="E81" s="61" t="n">
        <f aca="false">SUM(E78:E80)</f>
        <v>0</v>
      </c>
      <c r="F81" s="61" t="n">
        <f aca="false">SUM(F78:F80)</f>
        <v>0</v>
      </c>
      <c r="G81" s="61" t="n">
        <f aca="false">SUM(G78:G80)</f>
        <v>0</v>
      </c>
      <c r="H81" s="61" t="n">
        <f aca="false">SUM(H78:H80)</f>
        <v>0</v>
      </c>
      <c r="I81" s="61" t="n">
        <f aca="false">SUM(I78:I80)</f>
        <v>0</v>
      </c>
      <c r="J81" s="61" t="n">
        <f aca="false">SUM(J78:J80)</f>
        <v>0</v>
      </c>
      <c r="K81" s="61" t="n">
        <f aca="false">SUM(K78:K80)</f>
        <v>0</v>
      </c>
      <c r="L81" s="61" t="n">
        <f aca="false">SUM(L78:L80)</f>
        <v>0</v>
      </c>
      <c r="M81" s="61" t="n">
        <f aca="false">SUM(M78:M80)</f>
        <v>0</v>
      </c>
      <c r="N81" s="61" t="n">
        <f aca="false">SUM(N78:N80)</f>
        <v>0</v>
      </c>
      <c r="O81" s="61" t="n">
        <f aca="false">SUM(O78:O80)</f>
        <v>0</v>
      </c>
      <c r="P81" s="61" t="n">
        <f aca="false">SUM(P78:P80)</f>
        <v>0</v>
      </c>
      <c r="Q81" s="61" t="n">
        <f aca="false">SUM(Q78:Q80)</f>
        <v>0</v>
      </c>
      <c r="R81" s="61" t="n">
        <f aca="false">SUM(R78:R80)</f>
        <v>0</v>
      </c>
      <c r="S81" s="61" t="n">
        <f aca="false">SUM(S78:S80)</f>
        <v>0</v>
      </c>
      <c r="T81" s="61" t="n">
        <f aca="false">SUM(T78:T80)</f>
        <v>0</v>
      </c>
      <c r="U81" s="61" t="n">
        <f aca="false">SUM(U78:U80)</f>
        <v>0</v>
      </c>
      <c r="V81" s="61" t="n">
        <f aca="false">SUM(V78:V80)</f>
        <v>0</v>
      </c>
      <c r="W81" s="61" t="n">
        <f aca="false">SUM(W78:W80)</f>
        <v>0</v>
      </c>
      <c r="X81" s="61" t="n">
        <f aca="false">SUM(X78:X80)</f>
        <v>0</v>
      </c>
      <c r="Y81" s="61" t="n">
        <f aca="false">SUM(Y78:Y80)</f>
        <v>0</v>
      </c>
      <c r="Z81" s="61" t="n">
        <f aca="false">SUM(Z78:Z80)</f>
        <v>0</v>
      </c>
      <c r="AA81" s="61" t="n">
        <f aca="false">SUM(AA78:AA80)</f>
        <v>0</v>
      </c>
      <c r="AB81" s="61" t="n">
        <f aca="false">SUM(AB78:AB80)</f>
        <v>0</v>
      </c>
      <c r="AC81" s="61" t="n">
        <f aca="false">SUM(AC78:AC80)</f>
        <v>0</v>
      </c>
      <c r="AD81" s="61" t="n">
        <f aca="false">SUM(AD78:AD80)</f>
        <v>0</v>
      </c>
      <c r="AE81" s="61" t="n">
        <f aca="false">SUM(AE78:AE80)</f>
        <v>0</v>
      </c>
      <c r="AF81" s="61" t="n">
        <f aca="false">SUM(AF78:AF80)</f>
        <v>0</v>
      </c>
      <c r="AG81" s="61" t="n">
        <f aca="false">SUM(AG78:AG80)</f>
        <v>0</v>
      </c>
      <c r="AH81" s="61" t="n">
        <f aca="false">SUM(AH78:AH80)</f>
        <v>18829.5638057234</v>
      </c>
      <c r="AI81" s="61" t="n">
        <f aca="false">SUM(AI78:AI80)</f>
        <v>13591.7931418444</v>
      </c>
      <c r="AJ81" s="61" t="n">
        <f aca="false">SUM(AJ78:AJ80)</f>
        <v>8307.67846996801</v>
      </c>
      <c r="AK81" s="61" t="n">
        <f aca="false">SUM(AK78:AK80)</f>
        <v>1711.95806078198</v>
      </c>
      <c r="AL81" s="61" t="n">
        <f aca="false">SUM(AL78:AL80)</f>
        <v>859.749219645507</v>
      </c>
      <c r="AM81" s="61" t="n">
        <f aca="false">SUM(AM78:AM80)</f>
        <v>1.125499693444E-011</v>
      </c>
      <c r="AN81" s="61" t="n">
        <f aca="false">SUM(AN78:AN80)</f>
        <v>1.12504322089667E-011</v>
      </c>
      <c r="AO81" s="309" t="n">
        <f aca="false">SUM(AO78:AO80)</f>
        <v>0</v>
      </c>
    </row>
    <row r="82" customFormat="false" ht="12.75" hidden="false" customHeight="false" outlineLevel="0" collapsed="false">
      <c r="A82" s="37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02"/>
    </row>
    <row r="83" customFormat="false" ht="12.75" hidden="false" customHeight="false" outlineLevel="0" collapsed="false">
      <c r="A83" s="37" t="s">
        <v>76</v>
      </c>
      <c r="B83" s="39"/>
      <c r="C83" s="39"/>
      <c r="D83" s="303" t="n">
        <f aca="false">Assm!$X$75</f>
        <v>0.005</v>
      </c>
      <c r="E83" s="311" t="n">
        <f aca="false">E81*$D83/12</f>
        <v>0</v>
      </c>
      <c r="F83" s="311" t="n">
        <f aca="false">F81*$D83/12</f>
        <v>0</v>
      </c>
      <c r="G83" s="311" t="n">
        <f aca="false">G81*$D83/12</f>
        <v>0</v>
      </c>
      <c r="H83" s="311" t="n">
        <f aca="false">H81*$D83/12</f>
        <v>0</v>
      </c>
      <c r="I83" s="311" t="n">
        <f aca="false">I81*$D83/12</f>
        <v>0</v>
      </c>
      <c r="J83" s="311" t="n">
        <f aca="false">J81*$D83/12</f>
        <v>0</v>
      </c>
      <c r="K83" s="311" t="n">
        <f aca="false">K81*$D83/12</f>
        <v>0</v>
      </c>
      <c r="L83" s="311" t="n">
        <f aca="false">L81*$D83/12</f>
        <v>0</v>
      </c>
      <c r="M83" s="311" t="n">
        <f aca="false">M81*$D83/12</f>
        <v>0</v>
      </c>
      <c r="N83" s="311" t="n">
        <f aca="false">N81*$D83/12</f>
        <v>0</v>
      </c>
      <c r="O83" s="311" t="n">
        <f aca="false">O81*$D83/12</f>
        <v>0</v>
      </c>
      <c r="P83" s="311" t="n">
        <f aca="false">P81*$D83/12</f>
        <v>0</v>
      </c>
      <c r="Q83" s="311" t="n">
        <f aca="false">Q81*$D83/12</f>
        <v>0</v>
      </c>
      <c r="R83" s="311" t="n">
        <f aca="false">R81*$D83/12</f>
        <v>0</v>
      </c>
      <c r="S83" s="311" t="n">
        <f aca="false">S81*$D83/12</f>
        <v>0</v>
      </c>
      <c r="T83" s="311" t="n">
        <f aca="false">T81*$D83/12</f>
        <v>0</v>
      </c>
      <c r="U83" s="311" t="n">
        <f aca="false">U81*$D83/12</f>
        <v>0</v>
      </c>
      <c r="V83" s="311" t="n">
        <f aca="false">V81*$D83/12</f>
        <v>0</v>
      </c>
      <c r="W83" s="311" t="n">
        <f aca="false">W81*$D83/12</f>
        <v>0</v>
      </c>
      <c r="X83" s="311" t="n">
        <f aca="false">X81*$D83/12</f>
        <v>0</v>
      </c>
      <c r="Y83" s="311" t="n">
        <f aca="false">Y81*$D83/12</f>
        <v>0</v>
      </c>
      <c r="Z83" s="311" t="n">
        <f aca="false">Z81*$D83/12</f>
        <v>0</v>
      </c>
      <c r="AA83" s="311" t="n">
        <f aca="false">AA81*$D83/12</f>
        <v>0</v>
      </c>
      <c r="AB83" s="311" t="n">
        <f aca="false">AB81*$D83/12</f>
        <v>0</v>
      </c>
      <c r="AC83" s="311" t="n">
        <f aca="false">AC81*$D83/12</f>
        <v>0</v>
      </c>
      <c r="AD83" s="311" t="n">
        <f aca="false">AD81*$D83/12</f>
        <v>0</v>
      </c>
      <c r="AE83" s="311" t="n">
        <f aca="false">AE81*$D83/12</f>
        <v>0</v>
      </c>
      <c r="AF83" s="311" t="n">
        <f aca="false">AF81*$D83/12</f>
        <v>0</v>
      </c>
      <c r="AG83" s="311" t="n">
        <f aca="false">AG81*$D83/12</f>
        <v>0</v>
      </c>
      <c r="AH83" s="311" t="n">
        <f aca="false">AH81*$D83/12</f>
        <v>7.84565158571809</v>
      </c>
      <c r="AI83" s="311" t="n">
        <f aca="false">AI81*$D83/12</f>
        <v>5.66324714243518</v>
      </c>
      <c r="AJ83" s="311" t="n">
        <f aca="false">AJ81*$D83/12</f>
        <v>3.46153269582001</v>
      </c>
      <c r="AK83" s="311" t="n">
        <f aca="false">AK81*$D83/12</f>
        <v>0.713315858659159</v>
      </c>
      <c r="AL83" s="311" t="n">
        <f aca="false">AL81*$D83/12</f>
        <v>0.358228841518961</v>
      </c>
      <c r="AM83" s="311" t="n">
        <f aca="false">AM81*$D83/12</f>
        <v>4.68958205601666E-015</v>
      </c>
      <c r="AN83" s="311" t="n">
        <f aca="false">AN81*$D83/12</f>
        <v>4.68768008706948E-015</v>
      </c>
      <c r="AO83" s="313" t="n">
        <f aca="false">SUM(E83:AN83)</f>
        <v>18.0419761241514</v>
      </c>
    </row>
    <row r="84" customFormat="false" ht="12.75" hidden="false" customHeight="false" outlineLevel="0" collapsed="false">
      <c r="A84" s="37" t="s">
        <v>906</v>
      </c>
      <c r="B84" s="39"/>
      <c r="C84" s="39"/>
      <c r="D84" s="39"/>
      <c r="E84" s="61" t="n">
        <f aca="false">SUM(E83)</f>
        <v>0</v>
      </c>
      <c r="F84" s="61" t="n">
        <f aca="false">SUM(F83)</f>
        <v>0</v>
      </c>
      <c r="G84" s="61" t="n">
        <f aca="false">SUM(G83)</f>
        <v>0</v>
      </c>
      <c r="H84" s="61" t="n">
        <f aca="false">SUM(H83)</f>
        <v>0</v>
      </c>
      <c r="I84" s="61" t="n">
        <f aca="false">SUM(I83)</f>
        <v>0</v>
      </c>
      <c r="J84" s="61" t="n">
        <f aca="false">SUM(J83)</f>
        <v>0</v>
      </c>
      <c r="K84" s="61" t="n">
        <f aca="false">SUM(K83)</f>
        <v>0</v>
      </c>
      <c r="L84" s="61" t="n">
        <f aca="false">SUM(L83)</f>
        <v>0</v>
      </c>
      <c r="M84" s="61" t="n">
        <f aca="false">SUM(M83)</f>
        <v>0</v>
      </c>
      <c r="N84" s="61" t="n">
        <f aca="false">SUM(N83)</f>
        <v>0</v>
      </c>
      <c r="O84" s="61" t="n">
        <f aca="false">SUM(O83)</f>
        <v>0</v>
      </c>
      <c r="P84" s="61" t="n">
        <f aca="false">SUM(P83)</f>
        <v>0</v>
      </c>
      <c r="Q84" s="61" t="n">
        <f aca="false">SUM(Q83)</f>
        <v>0</v>
      </c>
      <c r="R84" s="61" t="n">
        <f aca="false">SUM(R83)</f>
        <v>0</v>
      </c>
      <c r="S84" s="61" t="n">
        <f aca="false">SUM(S83)</f>
        <v>0</v>
      </c>
      <c r="T84" s="61" t="n">
        <f aca="false">SUM(T83)</f>
        <v>0</v>
      </c>
      <c r="U84" s="61" t="n">
        <f aca="false">SUM(U83)</f>
        <v>0</v>
      </c>
      <c r="V84" s="61" t="n">
        <f aca="false">SUM(V83)</f>
        <v>0</v>
      </c>
      <c r="W84" s="61" t="n">
        <f aca="false">SUM(W83)</f>
        <v>0</v>
      </c>
      <c r="X84" s="61" t="n">
        <f aca="false">SUM(X83)</f>
        <v>0</v>
      </c>
      <c r="Y84" s="61" t="n">
        <f aca="false">SUM(Y83)</f>
        <v>0</v>
      </c>
      <c r="Z84" s="61" t="n">
        <f aca="false">SUM(Z83)</f>
        <v>0</v>
      </c>
      <c r="AA84" s="61" t="n">
        <f aca="false">SUM(AA83)</f>
        <v>0</v>
      </c>
      <c r="AB84" s="61" t="n">
        <f aca="false">SUM(AB83)</f>
        <v>0</v>
      </c>
      <c r="AC84" s="61" t="n">
        <f aca="false">SUM(AC83)</f>
        <v>0</v>
      </c>
      <c r="AD84" s="61" t="n">
        <f aca="false">SUM(AD83)</f>
        <v>0</v>
      </c>
      <c r="AE84" s="61" t="n">
        <f aca="false">SUM(AE83)</f>
        <v>0</v>
      </c>
      <c r="AF84" s="61" t="n">
        <f aca="false">SUM(AF83)</f>
        <v>0</v>
      </c>
      <c r="AG84" s="61" t="n">
        <f aca="false">SUM(AG83)</f>
        <v>0</v>
      </c>
      <c r="AH84" s="61" t="n">
        <f aca="false">SUM(AH83)</f>
        <v>7.84565158571809</v>
      </c>
      <c r="AI84" s="61" t="n">
        <f aca="false">SUM(AI83)</f>
        <v>5.66324714243518</v>
      </c>
      <c r="AJ84" s="61" t="n">
        <f aca="false">SUM(AJ83)</f>
        <v>3.46153269582001</v>
      </c>
      <c r="AK84" s="61" t="n">
        <f aca="false">SUM(AK83)</f>
        <v>0.713315858659159</v>
      </c>
      <c r="AL84" s="61" t="n">
        <f aca="false">SUM(AL83)</f>
        <v>0.358228841518961</v>
      </c>
      <c r="AM84" s="61" t="n">
        <f aca="false">SUM(AM83)</f>
        <v>4.68958205601666E-015</v>
      </c>
      <c r="AN84" s="61" t="n">
        <f aca="false">SUM(AN83)</f>
        <v>4.68768008706948E-015</v>
      </c>
      <c r="AO84" s="309" t="n">
        <f aca="false">SUM(E84:AN84)</f>
        <v>18.0419761241514</v>
      </c>
    </row>
    <row r="85" customFormat="false" ht="12.75" hidden="false" customHeight="false" outlineLevel="0" collapsed="false">
      <c r="A85" s="37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02"/>
    </row>
    <row r="86" customFormat="false" ht="12.75" hidden="false" customHeight="false" outlineLevel="0" collapsed="false">
      <c r="A86" s="900" t="s">
        <v>907</v>
      </c>
      <c r="B86" s="901"/>
      <c r="C86" s="901"/>
      <c r="D86" s="902" t="n">
        <f aca="false">AO84</f>
        <v>18.0419761241514</v>
      </c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02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39"/>
      <c r="FT86" s="39"/>
      <c r="FU86" s="39"/>
      <c r="FV86" s="39"/>
      <c r="FW86" s="39"/>
      <c r="FX86" s="39"/>
      <c r="FY86" s="39"/>
      <c r="FZ86" s="39"/>
      <c r="GA86" s="39"/>
      <c r="GB86" s="39"/>
      <c r="GC86" s="39"/>
      <c r="GD86" s="39"/>
      <c r="GE86" s="39"/>
      <c r="GF86" s="39"/>
      <c r="GG86" s="39"/>
      <c r="GH86" s="39"/>
      <c r="GI86" s="39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  <c r="IA86" s="39"/>
      <c r="IB86" s="39"/>
      <c r="IC86" s="39"/>
      <c r="ID86" s="39"/>
      <c r="IE86" s="39"/>
      <c r="IF86" s="39"/>
      <c r="IG86" s="39"/>
      <c r="IH86" s="39"/>
      <c r="II86" s="39"/>
      <c r="IJ86" s="39"/>
      <c r="IK86" s="39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  <c r="IW86" s="39"/>
    </row>
    <row r="87" customFormat="false" ht="13.5" hidden="false" customHeight="false" outlineLevel="0" collapsed="false">
      <c r="A87" s="903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362"/>
    </row>
    <row r="88" customFormat="false" ht="12.75" hidden="false" customHeight="false" outlineLevel="0" collapsed="false">
      <c r="B88" s="39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9"/>
  <sheetViews>
    <sheetView showFormulas="false" showGridLines="false" showRowColHeaders="true" showZeros="true" rightToLeft="false" tabSelected="false" showOutlineSymbols="true" defaultGridColor="true" view="normal" topLeftCell="A6" colorId="64" zoomScale="80" zoomScaleNormal="80" zoomScalePageLayoutView="100" workbookViewId="0">
      <pane xSplit="0" ySplit="2" topLeftCell="BM8" activePane="bottomLeft" state="frozen"/>
      <selection pane="topLeft" activeCell="A6" activeCellId="0" sqref="A6"/>
      <selection pane="bottomLeft" activeCell="AC84" activeCellId="0" sqref="AC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1" width="7.7"/>
    <col collapsed="false" customWidth="true" hidden="false" outlineLevel="0" max="28" min="3" style="1" width="10.71"/>
    <col collapsed="false" customWidth="true" hidden="false" outlineLevel="0" max="29" min="29" style="1" width="12.28"/>
    <col collapsed="false" customWidth="true" hidden="false" outlineLevel="0" max="30" min="30" style="1" width="9.99"/>
    <col collapsed="false" customWidth="true" hidden="false" outlineLevel="0" max="31" min="31" style="904" width="17.14"/>
    <col collapsed="false" customWidth="true" hidden="false" outlineLevel="0" max="42" min="32" style="1" width="10.71"/>
    <col collapsed="false" customWidth="false" hidden="false" outlineLevel="0" max="257" min="43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5"/>
      <c r="F1" s="415"/>
      <c r="G1" s="415"/>
      <c r="H1" s="416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8"/>
      <c r="T1" s="415"/>
      <c r="U1" s="415"/>
      <c r="V1" s="415"/>
      <c r="W1" s="415"/>
      <c r="X1" s="415"/>
      <c r="Y1" s="415"/>
      <c r="Z1" s="415"/>
      <c r="AA1" s="116"/>
      <c r="AB1" s="116"/>
      <c r="AC1" s="67"/>
      <c r="AD1" s="419"/>
      <c r="AE1" s="905"/>
      <c r="AF1" s="419"/>
      <c r="AG1" s="419"/>
      <c r="AH1" s="419"/>
      <c r="AI1" s="419"/>
      <c r="AJ1" s="419"/>
      <c r="AK1" s="419"/>
      <c r="AL1" s="419"/>
      <c r="AM1" s="419"/>
      <c r="AN1" s="67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5"/>
      <c r="F2" s="415"/>
      <c r="G2" s="415"/>
      <c r="H2" s="416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8"/>
      <c r="T2" s="415"/>
      <c r="U2" s="415"/>
      <c r="V2" s="415"/>
      <c r="W2" s="415"/>
      <c r="X2" s="415"/>
      <c r="Y2" s="415"/>
      <c r="Z2" s="415"/>
      <c r="AA2" s="116"/>
      <c r="AB2" s="116"/>
      <c r="AC2" s="67"/>
      <c r="AD2" s="419"/>
      <c r="AE2" s="905"/>
      <c r="AF2" s="419"/>
      <c r="AG2" s="419"/>
      <c r="AH2" s="419"/>
      <c r="AI2" s="419"/>
      <c r="AJ2" s="419"/>
      <c r="AK2" s="419"/>
      <c r="AL2" s="419"/>
      <c r="AM2" s="419"/>
      <c r="AN2" s="67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15"/>
      <c r="F3" s="421"/>
      <c r="G3" s="415"/>
      <c r="H3" s="416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22"/>
      <c r="U3" s="422"/>
      <c r="V3" s="415"/>
      <c r="W3" s="415"/>
      <c r="X3" s="415"/>
      <c r="Y3" s="415"/>
      <c r="Z3" s="415"/>
      <c r="AA3" s="116"/>
      <c r="AB3" s="116"/>
      <c r="AC3" s="67"/>
      <c r="AD3" s="419"/>
      <c r="AE3" s="905"/>
      <c r="AF3" s="419"/>
      <c r="AG3" s="419"/>
      <c r="AH3" s="419"/>
      <c r="AI3" s="419"/>
      <c r="AJ3" s="419"/>
      <c r="AK3" s="419"/>
      <c r="AL3" s="419"/>
      <c r="AM3" s="419"/>
      <c r="AN3" s="67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908</v>
      </c>
      <c r="B4" s="21"/>
      <c r="C4" s="633"/>
      <c r="D4" s="525"/>
      <c r="E4" s="415"/>
      <c r="F4" s="421"/>
      <c r="G4" s="415"/>
      <c r="H4" s="416"/>
      <c r="I4" s="415"/>
      <c r="J4" s="415"/>
      <c r="K4" s="415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116"/>
      <c r="AB4" s="116"/>
      <c r="AC4" s="67"/>
      <c r="AD4" s="419"/>
      <c r="AE4" s="905"/>
      <c r="AF4" s="419"/>
      <c r="AG4" s="419"/>
      <c r="AH4" s="419"/>
      <c r="AI4" s="419"/>
      <c r="AJ4" s="419"/>
      <c r="AK4" s="419"/>
      <c r="AL4" s="419"/>
      <c r="AM4" s="419"/>
      <c r="AN4" s="67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905"/>
      <c r="AF5" s="419"/>
      <c r="AG5" s="419"/>
      <c r="AH5" s="419"/>
      <c r="AI5" s="419"/>
      <c r="AJ5" s="419"/>
      <c r="AK5" s="419"/>
      <c r="AL5" s="419"/>
      <c r="AM5" s="419"/>
      <c r="AN5" s="67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609</v>
      </c>
      <c r="B6" s="26"/>
      <c r="C6" s="26"/>
      <c r="D6" s="26"/>
      <c r="E6" s="287" t="n">
        <f aca="false">CF!E6</f>
        <v>1</v>
      </c>
      <c r="F6" s="287" t="n">
        <f aca="false">CF!F6</f>
        <v>2</v>
      </c>
      <c r="G6" s="287" t="n">
        <f aca="false">CF!G6</f>
        <v>3</v>
      </c>
      <c r="H6" s="287" t="n">
        <f aca="false">CF!H6</f>
        <v>4</v>
      </c>
      <c r="I6" s="287" t="n">
        <f aca="false">CF!I6</f>
        <v>5</v>
      </c>
      <c r="J6" s="287" t="n">
        <f aca="false">CF!J6</f>
        <v>6</v>
      </c>
      <c r="K6" s="287" t="n">
        <f aca="false">CF!K6</f>
        <v>7</v>
      </c>
      <c r="L6" s="287" t="n">
        <f aca="false">CF!L6</f>
        <v>8</v>
      </c>
      <c r="M6" s="287" t="n">
        <f aca="false">CF!M6</f>
        <v>9</v>
      </c>
      <c r="N6" s="287" t="n">
        <f aca="false">CF!N6</f>
        <v>10</v>
      </c>
      <c r="O6" s="287" t="n">
        <f aca="false">CF!O6</f>
        <v>11</v>
      </c>
      <c r="P6" s="287" t="n">
        <f aca="false">CF!P6</f>
        <v>12</v>
      </c>
      <c r="Q6" s="287" t="n">
        <f aca="false">CF!Q6</f>
        <v>13</v>
      </c>
      <c r="R6" s="287" t="n">
        <f aca="false">CF!R6</f>
        <v>14</v>
      </c>
      <c r="S6" s="287" t="n">
        <f aca="false">CF!S6</f>
        <v>15</v>
      </c>
      <c r="T6" s="287" t="n">
        <f aca="false">CF!T6</f>
        <v>16</v>
      </c>
      <c r="U6" s="287" t="n">
        <f aca="false">CF!U6</f>
        <v>17</v>
      </c>
      <c r="V6" s="287" t="n">
        <f aca="false">CF!V6</f>
        <v>18</v>
      </c>
      <c r="W6" s="287" t="n">
        <f aca="false">CF!W6</f>
        <v>19</v>
      </c>
      <c r="X6" s="287" t="n">
        <f aca="false">CF!X6</f>
        <v>20</v>
      </c>
      <c r="Y6" s="287" t="n">
        <f aca="false">CF!Y6</f>
        <v>21</v>
      </c>
      <c r="Z6" s="26"/>
      <c r="AA6" s="26"/>
      <c r="AB6" s="26"/>
      <c r="AC6" s="33"/>
      <c r="AD6" s="427"/>
      <c r="AE6" s="906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90" t="s">
        <v>315</v>
      </c>
      <c r="B7" s="22"/>
      <c r="C7" s="22"/>
      <c r="D7" s="50"/>
      <c r="E7" s="293" t="n">
        <f aca="false">CF!E7</f>
        <v>1999</v>
      </c>
      <c r="F7" s="293" t="n">
        <f aca="false">E7+1</f>
        <v>2000</v>
      </c>
      <c r="G7" s="293" t="n">
        <f aca="false">F7+1</f>
        <v>2001</v>
      </c>
      <c r="H7" s="293" t="n">
        <f aca="false">G7+1</f>
        <v>2002</v>
      </c>
      <c r="I7" s="293" t="n">
        <f aca="false">H7+1</f>
        <v>2003</v>
      </c>
      <c r="J7" s="293" t="n">
        <f aca="false">I7+1</f>
        <v>2004</v>
      </c>
      <c r="K7" s="293" t="n">
        <f aca="false">J7+1</f>
        <v>2005</v>
      </c>
      <c r="L7" s="293" t="n">
        <f aca="false">K7+1</f>
        <v>2006</v>
      </c>
      <c r="M7" s="293" t="n">
        <f aca="false">L7+1</f>
        <v>2007</v>
      </c>
      <c r="N7" s="293" t="n">
        <f aca="false">M7+1</f>
        <v>2008</v>
      </c>
      <c r="O7" s="293" t="n">
        <f aca="false">N7+1</f>
        <v>2009</v>
      </c>
      <c r="P7" s="293" t="n">
        <f aca="false">O7+1</f>
        <v>2010</v>
      </c>
      <c r="Q7" s="293" t="n">
        <f aca="false">P7+1</f>
        <v>2011</v>
      </c>
      <c r="R7" s="293" t="n">
        <f aca="false">Q7+1</f>
        <v>2012</v>
      </c>
      <c r="S7" s="293" t="n">
        <f aca="false">R7+1</f>
        <v>2013</v>
      </c>
      <c r="T7" s="293" t="n">
        <f aca="false">S7+1</f>
        <v>2014</v>
      </c>
      <c r="U7" s="293" t="n">
        <f aca="false">T7+1</f>
        <v>2015</v>
      </c>
      <c r="V7" s="293" t="n">
        <f aca="false">U7+1</f>
        <v>2016</v>
      </c>
      <c r="W7" s="293" t="n">
        <f aca="false">V7+1</f>
        <v>2017</v>
      </c>
      <c r="X7" s="293" t="n">
        <f aca="false">W7+1</f>
        <v>2018</v>
      </c>
      <c r="Y7" s="293" t="n">
        <f aca="false">X7+1</f>
        <v>2019</v>
      </c>
      <c r="Z7" s="22"/>
      <c r="AA7" s="22"/>
      <c r="AB7" s="22"/>
      <c r="AC7" s="120"/>
      <c r="AD7" s="431" t="s">
        <v>909</v>
      </c>
      <c r="AE7" s="907" t="n">
        <v>1</v>
      </c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908"/>
      <c r="B8" s="39"/>
      <c r="C8" s="39"/>
      <c r="D8" s="39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39"/>
      <c r="AA8" s="39"/>
      <c r="AB8" s="39"/>
      <c r="AC8" s="39"/>
      <c r="AD8" s="909"/>
      <c r="AE8" s="907" t="n">
        <f aca="false">AE7+1</f>
        <v>2</v>
      </c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610</v>
      </c>
      <c r="B9" s="39"/>
      <c r="C9" s="39"/>
      <c r="D9" s="39"/>
      <c r="E9" s="39" t="n">
        <f aca="false">CF!E9</f>
        <v>0</v>
      </c>
      <c r="F9" s="39" t="n">
        <f aca="false">CF!F9</f>
        <v>0</v>
      </c>
      <c r="G9" s="39" t="n">
        <f aca="false">CF!G9</f>
        <v>10</v>
      </c>
      <c r="H9" s="39" t="n">
        <f aca="false">CF!H9</f>
        <v>12</v>
      </c>
      <c r="I9" s="39" t="n">
        <f aca="false">CF!I9</f>
        <v>12</v>
      </c>
      <c r="J9" s="39" t="n">
        <f aca="false">CF!J9</f>
        <v>12</v>
      </c>
      <c r="K9" s="39" t="n">
        <f aca="false">CF!K9</f>
        <v>12</v>
      </c>
      <c r="L9" s="39" t="n">
        <f aca="false">CF!L9</f>
        <v>12</v>
      </c>
      <c r="M9" s="39" t="n">
        <f aca="false">CF!M9</f>
        <v>12</v>
      </c>
      <c r="N9" s="39" t="n">
        <f aca="false">CF!N9</f>
        <v>12</v>
      </c>
      <c r="O9" s="39" t="n">
        <f aca="false">CF!O9</f>
        <v>12</v>
      </c>
      <c r="P9" s="39" t="n">
        <f aca="false">CF!P9</f>
        <v>12</v>
      </c>
      <c r="Q9" s="39" t="n">
        <f aca="false">CF!Q9</f>
        <v>12</v>
      </c>
      <c r="R9" s="39" t="n">
        <f aca="false">CF!R9</f>
        <v>12</v>
      </c>
      <c r="S9" s="39" t="n">
        <f aca="false">CF!S9</f>
        <v>12</v>
      </c>
      <c r="T9" s="39" t="n">
        <f aca="false">CF!T9</f>
        <v>12</v>
      </c>
      <c r="U9" s="39" t="n">
        <f aca="false">CF!U9</f>
        <v>12</v>
      </c>
      <c r="V9" s="39" t="n">
        <f aca="false">CF!V9</f>
        <v>12</v>
      </c>
      <c r="W9" s="39" t="n">
        <f aca="false">CF!W9</f>
        <v>12</v>
      </c>
      <c r="X9" s="39" t="n">
        <f aca="false">CF!X9</f>
        <v>12</v>
      </c>
      <c r="Y9" s="39" t="n">
        <f aca="false">CF!Y9</f>
        <v>4</v>
      </c>
      <c r="Z9" s="39"/>
      <c r="AA9" s="39"/>
      <c r="AD9" s="302" t="n">
        <f aca="false">SUM(E9:AA9)</f>
        <v>218</v>
      </c>
      <c r="AE9" s="907" t="n">
        <f aca="false">AE8+1</f>
        <v>3</v>
      </c>
    </row>
    <row r="10" customFormat="false" ht="12.75" hidden="false" customHeight="false" outlineLevel="0" collapsed="false">
      <c r="A10" s="910"/>
      <c r="B10" s="911"/>
      <c r="C10" s="911"/>
      <c r="D10" s="911"/>
      <c r="E10" s="911" t="n">
        <f aca="false">IF(E$7&lt;$A37,0,IF(E$7=$A37,IF($B37=0,1,2),D10+2))</f>
        <v>0</v>
      </c>
      <c r="F10" s="911" t="n">
        <f aca="false">IF(F$7&lt;$A37,0,IF(F$7=$A37,IF($B37=0,1,2),E10+2))</f>
        <v>0</v>
      </c>
      <c r="G10" s="911" t="n">
        <f aca="false">IF(G$7&lt;$A37,0,IF(G$7=$A37,IF($B37=0,1,2),F10+2))</f>
        <v>1</v>
      </c>
      <c r="H10" s="911" t="n">
        <f aca="false">IF(H$7&lt;$A37,0,IF(H$7=$A37,IF($B37=0,1,2),G10+2))</f>
        <v>3</v>
      </c>
      <c r="I10" s="911" t="n">
        <f aca="false">IF(I$7&lt;$A37,0,IF(I$7=$A37,IF($B37=0,1,2),H10+2))</f>
        <v>5</v>
      </c>
      <c r="J10" s="911" t="n">
        <f aca="false">IF(J$7&lt;$A37,0,IF(J$7=$A37,IF($B37=0,1,2),I10+2))</f>
        <v>7</v>
      </c>
      <c r="K10" s="911" t="n">
        <f aca="false">IF(K$7&lt;$A37,0,IF(K$7=$A37,IF($B37=0,1,2),J10+2))</f>
        <v>9</v>
      </c>
      <c r="L10" s="911" t="n">
        <f aca="false">IF(L$7&lt;$A37,0,IF(L$7=$A37,IF($B37=0,1,2),K10+2))</f>
        <v>11</v>
      </c>
      <c r="M10" s="911" t="n">
        <f aca="false">IF(M$7&lt;$A37,0,IF(M$7=$A37,IF($B37=0,1,2),L10+2))</f>
        <v>13</v>
      </c>
      <c r="N10" s="911" t="n">
        <f aca="false">IF(N$7&lt;$A37,0,IF(N$7=$A37,IF($B37=0,1,2),M10+2))</f>
        <v>15</v>
      </c>
      <c r="O10" s="911" t="n">
        <f aca="false">IF(O$7&lt;$A37,0,IF(O$7=$A37,IF($B37=0,1,2),N10+2))</f>
        <v>17</v>
      </c>
      <c r="P10" s="911" t="n">
        <f aca="false">IF(P$7&lt;$A37,0,IF(P$7=$A37,IF($B37=0,1,2),O10+2))</f>
        <v>19</v>
      </c>
      <c r="Q10" s="911" t="n">
        <f aca="false">IF(Q$7&lt;$A37,0,IF(Q$7=$A37,IF($B37=0,1,2),P10+2))</f>
        <v>21</v>
      </c>
      <c r="R10" s="911" t="n">
        <f aca="false">IF(R$7&lt;$A37,0,IF(R$7=$A37,IF($B37=0,1,2),Q10+2))</f>
        <v>23</v>
      </c>
      <c r="S10" s="911" t="n">
        <f aca="false">IF(S$7&lt;$A37,0,IF(S$7=$A37,IF($B37=0,1,2),R10+2))</f>
        <v>25</v>
      </c>
      <c r="T10" s="911" t="n">
        <f aca="false">IF(T$7&lt;$A37,0,IF(T$7=$A37,IF($B37=0,1,2),S10+2))</f>
        <v>27</v>
      </c>
      <c r="U10" s="911" t="n">
        <f aca="false">IF(U$7&lt;$A37,0,IF(U$7=$A37,IF($B37=0,1,2),T10+2))</f>
        <v>29</v>
      </c>
      <c r="V10" s="911" t="n">
        <f aca="false">IF(V$7&lt;$A37,0,IF(V$7=$A37,IF($B37=0,1,2),U10+2))</f>
        <v>31</v>
      </c>
      <c r="W10" s="911" t="n">
        <f aca="false">IF(W$7&lt;$A37,0,IF(W$7=$A37,IF($B37=0,1,2),V10+2))</f>
        <v>33</v>
      </c>
      <c r="X10" s="911" t="n">
        <f aca="false">IF(X$7&lt;$A37,0,IF(X$7=$A37,IF($B37=0,1,2),W10+2))</f>
        <v>35</v>
      </c>
      <c r="Y10" s="911" t="n">
        <f aca="false">IF(Y$7&lt;$A37,0,IF(Y$7=$A37,IF($B37=0,1,2),X10+2))</f>
        <v>37</v>
      </c>
      <c r="Z10" s="911"/>
      <c r="AA10" s="911"/>
      <c r="AB10" s="912"/>
      <c r="AC10" s="912"/>
      <c r="AD10" s="913"/>
      <c r="AE10" s="907" t="n">
        <f aca="false">AE9+1</f>
        <v>4</v>
      </c>
      <c r="AF10" s="912"/>
      <c r="AG10" s="912"/>
      <c r="AH10" s="912"/>
      <c r="AI10" s="912"/>
      <c r="AJ10" s="912"/>
      <c r="AK10" s="912"/>
      <c r="AL10" s="912"/>
      <c r="AM10" s="912"/>
      <c r="AN10" s="912"/>
      <c r="AO10" s="912"/>
      <c r="AP10" s="912"/>
      <c r="AQ10" s="912"/>
      <c r="AR10" s="912"/>
      <c r="AS10" s="912"/>
      <c r="AT10" s="912"/>
      <c r="AU10" s="912"/>
      <c r="AV10" s="912"/>
      <c r="AW10" s="912"/>
      <c r="AX10" s="912"/>
      <c r="AY10" s="912"/>
      <c r="AZ10" s="912"/>
      <c r="BA10" s="912"/>
      <c r="BB10" s="912"/>
      <c r="BC10" s="912"/>
      <c r="BD10" s="912"/>
      <c r="BE10" s="912"/>
      <c r="BF10" s="912"/>
      <c r="BG10" s="912"/>
      <c r="BH10" s="912"/>
      <c r="BI10" s="912"/>
      <c r="BJ10" s="912"/>
      <c r="BK10" s="912"/>
      <c r="BL10" s="912"/>
      <c r="BM10" s="912"/>
      <c r="BN10" s="912"/>
      <c r="BO10" s="912"/>
      <c r="BP10" s="912"/>
      <c r="BQ10" s="912"/>
      <c r="BR10" s="912"/>
      <c r="BS10" s="912"/>
      <c r="BT10" s="912"/>
      <c r="BU10" s="912"/>
      <c r="BV10" s="912"/>
      <c r="BW10" s="912"/>
      <c r="BX10" s="912"/>
      <c r="BY10" s="912"/>
      <c r="BZ10" s="912"/>
      <c r="CA10" s="912"/>
      <c r="CB10" s="912"/>
      <c r="CC10" s="912"/>
      <c r="CD10" s="912"/>
      <c r="CE10" s="912"/>
      <c r="CF10" s="912"/>
      <c r="CG10" s="912"/>
      <c r="CH10" s="912"/>
      <c r="CI10" s="912"/>
      <c r="CJ10" s="912"/>
      <c r="CK10" s="912"/>
      <c r="CL10" s="912"/>
      <c r="CM10" s="912"/>
      <c r="CN10" s="912"/>
      <c r="CO10" s="912"/>
      <c r="CP10" s="912"/>
      <c r="CQ10" s="912"/>
      <c r="CR10" s="912"/>
      <c r="CS10" s="912"/>
      <c r="CT10" s="912"/>
      <c r="CU10" s="912"/>
      <c r="CV10" s="912"/>
      <c r="CW10" s="912"/>
      <c r="CX10" s="912"/>
      <c r="CY10" s="912"/>
      <c r="CZ10" s="912"/>
      <c r="DA10" s="912"/>
      <c r="DB10" s="912"/>
      <c r="DC10" s="912"/>
      <c r="DD10" s="912"/>
      <c r="DE10" s="912"/>
      <c r="DF10" s="912"/>
      <c r="DG10" s="912"/>
      <c r="DH10" s="912"/>
      <c r="DI10" s="912"/>
      <c r="DJ10" s="912"/>
      <c r="DK10" s="912"/>
      <c r="DL10" s="912"/>
      <c r="DM10" s="912"/>
      <c r="DN10" s="912"/>
      <c r="DO10" s="912"/>
      <c r="DP10" s="912"/>
      <c r="DQ10" s="912"/>
      <c r="DR10" s="912"/>
      <c r="DS10" s="912"/>
      <c r="DT10" s="912"/>
      <c r="DU10" s="912"/>
      <c r="DV10" s="912"/>
      <c r="DW10" s="912"/>
      <c r="DX10" s="912"/>
      <c r="DY10" s="912"/>
      <c r="DZ10" s="912"/>
      <c r="EA10" s="912"/>
      <c r="EB10" s="912"/>
      <c r="EC10" s="912"/>
      <c r="ED10" s="912"/>
      <c r="EE10" s="912"/>
      <c r="EF10" s="912"/>
      <c r="EG10" s="912"/>
      <c r="EH10" s="912"/>
      <c r="EI10" s="912"/>
      <c r="EJ10" s="912"/>
      <c r="EK10" s="912"/>
      <c r="EL10" s="912"/>
      <c r="EM10" s="912"/>
      <c r="EN10" s="912"/>
      <c r="EO10" s="912"/>
      <c r="EP10" s="912"/>
      <c r="EQ10" s="912"/>
      <c r="ER10" s="912"/>
      <c r="ES10" s="912"/>
      <c r="ET10" s="912"/>
      <c r="EU10" s="912"/>
      <c r="EV10" s="912"/>
      <c r="EW10" s="912"/>
      <c r="EX10" s="912"/>
      <c r="EY10" s="912"/>
      <c r="EZ10" s="912"/>
      <c r="FA10" s="912"/>
      <c r="FB10" s="912"/>
      <c r="FC10" s="912"/>
      <c r="FD10" s="912"/>
      <c r="FE10" s="912"/>
      <c r="FF10" s="912"/>
      <c r="FG10" s="912"/>
      <c r="FH10" s="912"/>
      <c r="FI10" s="912"/>
      <c r="FJ10" s="912"/>
      <c r="FK10" s="912"/>
      <c r="FL10" s="912"/>
      <c r="FM10" s="912"/>
      <c r="FN10" s="912"/>
      <c r="FO10" s="912"/>
      <c r="FP10" s="912"/>
      <c r="FQ10" s="912"/>
      <c r="FR10" s="912"/>
      <c r="FS10" s="912"/>
      <c r="FT10" s="912"/>
      <c r="FU10" s="912"/>
      <c r="FV10" s="912"/>
      <c r="FW10" s="912"/>
      <c r="FX10" s="912"/>
      <c r="FY10" s="912"/>
      <c r="FZ10" s="912"/>
      <c r="GA10" s="912"/>
      <c r="GB10" s="912"/>
      <c r="GC10" s="912"/>
      <c r="GD10" s="912"/>
      <c r="GE10" s="912"/>
      <c r="GF10" s="912"/>
      <c r="GG10" s="912"/>
      <c r="GH10" s="912"/>
      <c r="GI10" s="912"/>
      <c r="GJ10" s="912"/>
      <c r="GK10" s="912"/>
      <c r="GL10" s="912"/>
      <c r="GM10" s="912"/>
      <c r="GN10" s="912"/>
      <c r="GO10" s="912"/>
      <c r="GP10" s="912"/>
      <c r="GQ10" s="912"/>
      <c r="GR10" s="912"/>
      <c r="GS10" s="912"/>
      <c r="GT10" s="912"/>
      <c r="GU10" s="912"/>
      <c r="GV10" s="912"/>
      <c r="GW10" s="912"/>
      <c r="GX10" s="912"/>
      <c r="GY10" s="912"/>
      <c r="GZ10" s="912"/>
      <c r="HA10" s="912"/>
      <c r="HB10" s="912"/>
      <c r="HC10" s="912"/>
      <c r="HD10" s="912"/>
      <c r="HE10" s="912"/>
      <c r="HF10" s="912"/>
      <c r="HG10" s="912"/>
      <c r="HH10" s="912"/>
      <c r="HI10" s="912"/>
      <c r="HJ10" s="912"/>
      <c r="HK10" s="912"/>
      <c r="HL10" s="912"/>
      <c r="HM10" s="912"/>
      <c r="HN10" s="912"/>
      <c r="HO10" s="912"/>
      <c r="HP10" s="912"/>
      <c r="HQ10" s="912"/>
      <c r="HR10" s="912"/>
      <c r="HS10" s="912"/>
      <c r="HT10" s="912"/>
      <c r="HU10" s="912"/>
      <c r="HV10" s="912"/>
      <c r="HW10" s="912"/>
      <c r="HX10" s="912"/>
      <c r="HY10" s="912"/>
      <c r="HZ10" s="912"/>
      <c r="IA10" s="912"/>
      <c r="IB10" s="912"/>
      <c r="IC10" s="912"/>
      <c r="ID10" s="912"/>
      <c r="IE10" s="912"/>
      <c r="IF10" s="912"/>
      <c r="IG10" s="912"/>
      <c r="IH10" s="912"/>
      <c r="II10" s="912"/>
      <c r="IJ10" s="912"/>
      <c r="IK10" s="912"/>
      <c r="IL10" s="912"/>
      <c r="IM10" s="912"/>
      <c r="IN10" s="912"/>
      <c r="IO10" s="912"/>
      <c r="IP10" s="912"/>
      <c r="IQ10" s="912"/>
      <c r="IR10" s="912"/>
      <c r="IS10" s="912"/>
      <c r="IT10" s="912"/>
      <c r="IU10" s="912"/>
      <c r="IV10" s="912"/>
      <c r="IW10" s="912"/>
    </row>
    <row r="11" customFormat="false" ht="12.75" hidden="false" customHeight="false" outlineLevel="0" collapsed="false">
      <c r="A11" s="308" t="s">
        <v>265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02"/>
      <c r="AE11" s="907" t="n">
        <f aca="false">AE10+1</f>
        <v>5</v>
      </c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461" t="s">
        <v>910</v>
      </c>
      <c r="B12" s="39"/>
      <c r="C12" s="39"/>
      <c r="D12" s="329"/>
      <c r="E12" s="61" t="n">
        <f aca="false">IF(E$7&lt;YEAR(Startops2),0,VLOOKUP(E$10,Fin_Table,$AA$79))</f>
        <v>0</v>
      </c>
      <c r="F12" s="61" t="n">
        <f aca="false">IF(F$7&lt;YEAR(Startops2),0,VLOOKUP(F$10,Fin_Table,$AA$79))</f>
        <v>0</v>
      </c>
      <c r="G12" s="61" t="n">
        <f aca="false">IF(G$7&lt;YEAR(Startops2),0,VLOOKUP(G$10,Fin_Table,$AA$79))</f>
        <v>4298.96714648815</v>
      </c>
      <c r="H12" s="61" t="n">
        <f aca="false">IF(H$7&lt;YEAR(Startops2),0,VLOOKUP(H$10,Fin_Table,$AA$79))</f>
        <v>10278.8341320822</v>
      </c>
      <c r="I12" s="61" t="n">
        <f aca="false">IF(I$7&lt;YEAR(Startops2),0,VLOOKUP(I$10,Fin_Table,$AA$79))</f>
        <v>10097.1831177218</v>
      </c>
      <c r="J12" s="61" t="n">
        <f aca="false">IF(J$7&lt;YEAR(Startops2),0,VLOOKUP(J$10,Fin_Table,$AA$79))</f>
        <v>9716.17180091018</v>
      </c>
      <c r="K12" s="61" t="n">
        <f aca="false">IF(K$7&lt;YEAR(Startops2),0,VLOOKUP(K$10,Fin_Table,$AA$79))</f>
        <v>8941.28665758468</v>
      </c>
      <c r="L12" s="61" t="n">
        <f aca="false">IF(L$7&lt;YEAR(Startops2),0,VLOOKUP(L$10,Fin_Table,$AA$79))</f>
        <v>7982.22639204565</v>
      </c>
      <c r="M12" s="61" t="n">
        <f aca="false">IF(M$7&lt;YEAR(Startops2),0,VLOOKUP(M$10,Fin_Table,$AA$79))</f>
        <v>6883.62165293162</v>
      </c>
      <c r="N12" s="61" t="n">
        <f aca="false">IF(N$7&lt;YEAR(Startops2),0,VLOOKUP(N$10,Fin_Table,$AA$79))</f>
        <v>5746.3262094992</v>
      </c>
      <c r="O12" s="61" t="n">
        <f aca="false">IF(O$7&lt;YEAR(Startops2),0,VLOOKUP(O$10,Fin_Table,$AA$79))</f>
        <v>5020.69986001448</v>
      </c>
      <c r="P12" s="61" t="n">
        <f aca="false">IF(P$7&lt;YEAR(Startops2),0,VLOOKUP(P$10,Fin_Table,$AA$79))</f>
        <v>4432.29654184567</v>
      </c>
      <c r="Q12" s="61" t="n">
        <f aca="false">IF(Q$7&lt;YEAR(Startops2),0,VLOOKUP(Q$10,Fin_Table,$AA$79))</f>
        <v>3843.89322367685</v>
      </c>
      <c r="R12" s="61" t="n">
        <f aca="false">IF(R$7&lt;YEAR(Startops2),0,VLOOKUP(R$10,Fin_Table,$AA$79))</f>
        <v>3049.65535853418</v>
      </c>
      <c r="S12" s="61" t="n">
        <f aca="false">IF(S$7&lt;YEAR(Startops2),0,VLOOKUP(S$10,Fin_Table,$AA$79))</f>
        <v>2186.80597773356</v>
      </c>
      <c r="T12" s="61" t="n">
        <f aca="false">IF(T$7&lt;YEAR(Startops2),0,VLOOKUP(T$10,Fin_Table,$AA$79))</f>
        <v>1323.95659693294</v>
      </c>
      <c r="U12" s="61" t="n">
        <f aca="false">IF(U$7&lt;YEAR(Startops2),0,VLOOKUP(U$10,Fin_Table,$AA$79))</f>
        <v>403.071159654731</v>
      </c>
      <c r="V12" s="61" t="n">
        <f aca="false">IF(V$7&lt;YEAR(Startops2),0,VLOOKUP(V$10,Fin_Table,$AA$79))</f>
        <v>0</v>
      </c>
      <c r="W12" s="61" t="n">
        <f aca="false">IF(W$7&lt;YEAR(Startops2),0,VLOOKUP(W$10,Fin_Table,$AA$79))</f>
        <v>0</v>
      </c>
      <c r="X12" s="61" t="n">
        <f aca="false">IF(X$7&lt;YEAR(Startops2),0,VLOOKUP(X$10,Fin_Table,$AA$79))</f>
        <v>0</v>
      </c>
      <c r="Y12" s="61" t="n">
        <f aca="false">IF(Y$7&lt;YEAR(Startops2),0,VLOOKUP(Y$10,Fin_Table,$AA$79))</f>
        <v>0</v>
      </c>
      <c r="Z12" s="39"/>
      <c r="AA12" s="39"/>
      <c r="AB12" s="39"/>
      <c r="AC12" s="39"/>
      <c r="AD12" s="309" t="n">
        <f aca="false">SUM(E12:AA12)</f>
        <v>84204.9958276558</v>
      </c>
      <c r="AE12" s="907" t="n">
        <f aca="false">AE11+1</f>
        <v>6</v>
      </c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461" t="s">
        <v>911</v>
      </c>
      <c r="B13" s="39"/>
      <c r="C13" s="39"/>
      <c r="D13" s="532"/>
      <c r="E13" s="311" t="n">
        <f aca="false">IF(E$7&lt;YEAR(Startops2),0,VLOOKUP(E$10,Fin_Table,$AB$79))</f>
        <v>0</v>
      </c>
      <c r="F13" s="311" t="n">
        <f aca="false">IF(F$7&lt;YEAR(Startops2),0,VLOOKUP(F$10,Fin_Table,$AB$79))</f>
        <v>0</v>
      </c>
      <c r="G13" s="311" t="n">
        <f aca="false">IF(G$7&lt;YEAR(Startops2),0,VLOOKUP(G$10,Fin_Table,$AB$79))</f>
        <v>0</v>
      </c>
      <c r="H13" s="311" t="n">
        <f aca="false">IF(H$7&lt;YEAR(Startops2),0,VLOOKUP(H$10,Fin_Table,$AB$79))</f>
        <v>1405.52296055988</v>
      </c>
      <c r="I13" s="311" t="n">
        <f aca="false">IF(I$7&lt;YEAR(Startops2),0,VLOOKUP(I$10,Fin_Table,$AB$79))</f>
        <v>2382.92301152165</v>
      </c>
      <c r="J13" s="311" t="n">
        <f aca="false">IF(J$7&lt;YEAR(Startops2),0,VLOOKUP(J$10,Fin_Table,$AB$79))</f>
        <v>6693.60396494846</v>
      </c>
      <c r="K13" s="311" t="n">
        <f aca="false">IF(K$7&lt;YEAR(Startops2),0,VLOOKUP(K$10,Fin_Table,$AB$79))</f>
        <v>8497.61948155494</v>
      </c>
      <c r="L13" s="311" t="n">
        <f aca="false">IF(L$7&lt;YEAR(Startops2),0,VLOOKUP(L$10,Fin_Table,$AB$79))</f>
        <v>9626.83047044174</v>
      </c>
      <c r="M13" s="311" t="n">
        <f aca="false">IF(M$7&lt;YEAR(Startops2),0,VLOOKUP(M$10,Fin_Table,$AB$79))</f>
        <v>10329.6588867613</v>
      </c>
      <c r="N13" s="311" t="n">
        <f aca="false">IF(N$7&lt;YEAR(Startops2),0,VLOOKUP(N$10,Fin_Table,$AB$79))</f>
        <v>7836.96077021452</v>
      </c>
      <c r="O13" s="311" t="n">
        <f aca="false">IF(O$7&lt;YEAR(Startops2),0,VLOOKUP(O$10,Fin_Table,$AB$79))</f>
        <v>5344.26265366772</v>
      </c>
      <c r="P13" s="311" t="n">
        <f aca="false">IF(P$7&lt;YEAR(Startops2),0,VLOOKUP(P$10,Fin_Table,$AB$79))</f>
        <v>5344.26265366772</v>
      </c>
      <c r="Q13" s="311" t="n">
        <f aca="false">IF(Q$7&lt;YEAR(Startops2),0,VLOOKUP(Q$10,Fin_Table,$AB$79))</f>
        <v>6590.61171194112</v>
      </c>
      <c r="R13" s="311" t="n">
        <f aca="false">IF(R$7&lt;YEAR(Startops2),0,VLOOKUP(R$10,Fin_Table,$AB$79))</f>
        <v>7836.96077021453</v>
      </c>
      <c r="S13" s="311" t="n">
        <f aca="false">IF(S$7&lt;YEAR(Startops2),0,VLOOKUP(S$10,Fin_Table,$AB$79))</f>
        <v>7836.96077021453</v>
      </c>
      <c r="T13" s="311" t="n">
        <f aca="false">IF(T$7&lt;YEAR(Startops2),0,VLOOKUP(T$10,Fin_Table,$AB$79))</f>
        <v>8118.09213674236</v>
      </c>
      <c r="U13" s="311" t="n">
        <f aca="false">IF(U$7&lt;YEAR(Startops2),0,VLOOKUP(U$10,Fin_Table,$AB$79))</f>
        <v>5866.185266828</v>
      </c>
      <c r="V13" s="311" t="n">
        <f aca="false">IF(V$7&lt;YEAR(Startops2),0,VLOOKUP(V$10,Fin_Table,$AB$79))</f>
        <v>0</v>
      </c>
      <c r="W13" s="311" t="n">
        <f aca="false">IF(W$7&lt;YEAR(Startops2),0,VLOOKUP(W$10,Fin_Table,$AB$79))</f>
        <v>0</v>
      </c>
      <c r="X13" s="311" t="n">
        <f aca="false">IF(X$7&lt;YEAR(Startops2),0,VLOOKUP(X$10,Fin_Table,$AB$79))</f>
        <v>0</v>
      </c>
      <c r="Y13" s="311" t="n">
        <f aca="false">IF(Y$7&lt;YEAR(Startops2),0,VLOOKUP(Y$10,Fin_Table,$AB$79))</f>
        <v>0</v>
      </c>
      <c r="Z13" s="39"/>
      <c r="AA13" s="39"/>
      <c r="AB13" s="39"/>
      <c r="AC13" s="39"/>
      <c r="AD13" s="313" t="n">
        <f aca="false">SUM(E13:AA13)</f>
        <v>93710.4555092785</v>
      </c>
      <c r="AE13" s="907" t="n">
        <f aca="false">AE12+1</f>
        <v>7</v>
      </c>
      <c r="AF13" s="914" t="str">
        <f aca="false">IF(ROUND(Debt-AD13,2)=0," ","Principal Payments Do Not Tie To Total Debt")</f>
        <v> </v>
      </c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83" t="s">
        <v>912</v>
      </c>
      <c r="B14" s="209"/>
      <c r="C14" s="209"/>
      <c r="D14" s="915"/>
      <c r="E14" s="690" t="n">
        <f aca="false">SUM(E12:E13)</f>
        <v>0</v>
      </c>
      <c r="F14" s="690" t="n">
        <f aca="false">SUM(F12:F13)</f>
        <v>0</v>
      </c>
      <c r="G14" s="690" t="n">
        <f aca="false">SUM(G12:G13)</f>
        <v>4298.96714648815</v>
      </c>
      <c r="H14" s="690" t="n">
        <f aca="false">SUM(H12:H13)</f>
        <v>11684.357092642</v>
      </c>
      <c r="I14" s="690" t="n">
        <f aca="false">SUM(I12:I13)</f>
        <v>12480.1061292434</v>
      </c>
      <c r="J14" s="690" t="n">
        <f aca="false">SUM(J12:J13)</f>
        <v>16409.7757658586</v>
      </c>
      <c r="K14" s="690" t="n">
        <f aca="false">SUM(K12:K13)</f>
        <v>17438.9061391396</v>
      </c>
      <c r="L14" s="690" t="n">
        <f aca="false">SUM(L12:L13)</f>
        <v>17609.0568624874</v>
      </c>
      <c r="M14" s="690" t="n">
        <f aca="false">SUM(M12:M13)</f>
        <v>17213.280539693</v>
      </c>
      <c r="N14" s="690" t="n">
        <f aca="false">SUM(N12:N13)</f>
        <v>13583.2869797137</v>
      </c>
      <c r="O14" s="690" t="n">
        <f aca="false">SUM(O12:O13)</f>
        <v>10364.9625136822</v>
      </c>
      <c r="P14" s="690" t="n">
        <f aca="false">SUM(P12:P13)</f>
        <v>9776.55919551338</v>
      </c>
      <c r="Q14" s="690" t="n">
        <f aca="false">SUM(Q12:Q13)</f>
        <v>10434.504935618</v>
      </c>
      <c r="R14" s="690" t="n">
        <f aca="false">SUM(R12:R13)</f>
        <v>10886.6161287487</v>
      </c>
      <c r="S14" s="690" t="n">
        <f aca="false">SUM(S12:S13)</f>
        <v>10023.7667479481</v>
      </c>
      <c r="T14" s="690" t="n">
        <f aca="false">SUM(T12:T13)</f>
        <v>9442.0487336753</v>
      </c>
      <c r="U14" s="690" t="n">
        <f aca="false">SUM(U12:U13)</f>
        <v>6269.25642648273</v>
      </c>
      <c r="V14" s="690" t="n">
        <f aca="false">SUM(V12:V13)</f>
        <v>0</v>
      </c>
      <c r="W14" s="690" t="n">
        <f aca="false">SUM(W12:W13)</f>
        <v>0</v>
      </c>
      <c r="X14" s="690" t="n">
        <f aca="false">SUM(X12:X13)</f>
        <v>0</v>
      </c>
      <c r="Y14" s="690" t="n">
        <f aca="false">SUM(Y12:Y13)</f>
        <v>0</v>
      </c>
      <c r="Z14" s="39"/>
      <c r="AA14" s="39"/>
      <c r="AB14" s="39"/>
      <c r="AC14" s="39"/>
      <c r="AD14" s="652" t="n">
        <f aca="false">SUM(E14:AA14)</f>
        <v>177915.451336934</v>
      </c>
      <c r="AE14" s="907" t="n">
        <f aca="false">AE13+1</f>
        <v>8</v>
      </c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83"/>
      <c r="B15" s="209"/>
      <c r="C15" s="209"/>
      <c r="D15" s="915"/>
      <c r="E15" s="915"/>
      <c r="F15" s="915"/>
      <c r="G15" s="915"/>
      <c r="H15" s="915"/>
      <c r="I15" s="915"/>
      <c r="J15" s="915"/>
      <c r="K15" s="915"/>
      <c r="L15" s="915"/>
      <c r="M15" s="915"/>
      <c r="N15" s="915"/>
      <c r="O15" s="915"/>
      <c r="P15" s="915"/>
      <c r="Q15" s="915"/>
      <c r="R15" s="915"/>
      <c r="S15" s="915"/>
      <c r="T15" s="915"/>
      <c r="U15" s="915"/>
      <c r="V15" s="915"/>
      <c r="W15" s="915"/>
      <c r="X15" s="915"/>
      <c r="Y15" s="915"/>
      <c r="Z15" s="39"/>
      <c r="AA15" s="39"/>
      <c r="AB15" s="39"/>
      <c r="AC15" s="39"/>
      <c r="AD15" s="916"/>
      <c r="AE15" s="907" t="n">
        <f aca="false">AE14+1</f>
        <v>9</v>
      </c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12.75" hidden="false" customHeight="false" outlineLevel="0" collapsed="false">
      <c r="A16" s="917" t="s">
        <v>913</v>
      </c>
      <c r="B16" s="918"/>
      <c r="C16" s="918"/>
      <c r="D16" s="919"/>
      <c r="E16" s="920" t="n">
        <f aca="false">SUM($E13:E13)</f>
        <v>0</v>
      </c>
      <c r="F16" s="920" t="n">
        <f aca="false">SUM($E13:F13)</f>
        <v>0</v>
      </c>
      <c r="G16" s="920" t="n">
        <f aca="false">SUM($E13:G13)</f>
        <v>0</v>
      </c>
      <c r="H16" s="920" t="n">
        <f aca="false">SUM($E13:H13)</f>
        <v>1405.52296055988</v>
      </c>
      <c r="I16" s="920" t="n">
        <f aca="false">SUM($E13:I13)</f>
        <v>3788.44597208153</v>
      </c>
      <c r="J16" s="920" t="n">
        <f aca="false">SUM($E13:J13)</f>
        <v>10482.04993703</v>
      </c>
      <c r="K16" s="920" t="n">
        <f aca="false">SUM($E13:K13)</f>
        <v>18979.6694185849</v>
      </c>
      <c r="L16" s="920" t="n">
        <f aca="false">SUM($E13:L13)</f>
        <v>28606.4998890267</v>
      </c>
      <c r="M16" s="920" t="n">
        <f aca="false">SUM($E13:M13)</f>
        <v>38936.158775788</v>
      </c>
      <c r="N16" s="920" t="n">
        <f aca="false">SUM($E13:N13)</f>
        <v>46773.1195460025</v>
      </c>
      <c r="O16" s="920" t="n">
        <f aca="false">SUM($E13:O13)</f>
        <v>52117.3821996702</v>
      </c>
      <c r="P16" s="920" t="n">
        <f aca="false">SUM($E13:P13)</f>
        <v>57461.644853338</v>
      </c>
      <c r="Q16" s="920" t="n">
        <f aca="false">SUM($E13:Q13)</f>
        <v>64052.2565652791</v>
      </c>
      <c r="R16" s="920" t="n">
        <f aca="false">SUM($E13:R13)</f>
        <v>71889.2173354936</v>
      </c>
      <c r="S16" s="920" t="n">
        <f aca="false">SUM($E13:S13)</f>
        <v>79726.1781057081</v>
      </c>
      <c r="T16" s="920" t="n">
        <f aca="false">SUM($E13:T13)</f>
        <v>87844.2702424505</v>
      </c>
      <c r="U16" s="920" t="n">
        <f aca="false">SUM($E13:U13)</f>
        <v>93710.4555092785</v>
      </c>
      <c r="V16" s="920" t="n">
        <f aca="false">SUM($E13:V13)</f>
        <v>93710.4555092785</v>
      </c>
      <c r="W16" s="920" t="n">
        <f aca="false">SUM($E13:W13)</f>
        <v>93710.4555092785</v>
      </c>
      <c r="X16" s="920" t="n">
        <f aca="false">SUM($E13:X13)</f>
        <v>93710.4555092785</v>
      </c>
      <c r="Y16" s="920" t="n">
        <f aca="false">SUM($E13:Y13)</f>
        <v>93710.4555092785</v>
      </c>
      <c r="Z16" s="39"/>
      <c r="AA16" s="39"/>
      <c r="AB16" s="39"/>
      <c r="AC16" s="39"/>
      <c r="AD16" s="916"/>
      <c r="AE16" s="907" t="n">
        <f aca="false">AE15+1</f>
        <v>10</v>
      </c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917" t="s">
        <v>914</v>
      </c>
      <c r="B17" s="921"/>
      <c r="C17" s="921"/>
      <c r="D17" s="922"/>
      <c r="E17" s="920" t="n">
        <f aca="false">Assm!$U$82/12*E$14</f>
        <v>0</v>
      </c>
      <c r="F17" s="920" t="n">
        <f aca="false">Assm!$U$82/12*F$14</f>
        <v>0</v>
      </c>
      <c r="G17" s="920" t="n">
        <f aca="false">Assm!$U$82/12*G$14</f>
        <v>2149.48357324408</v>
      </c>
      <c r="H17" s="920" t="n">
        <f aca="false">Assm!$U$82/12*H$14</f>
        <v>5842.17854632102</v>
      </c>
      <c r="I17" s="920" t="n">
        <f aca="false">Assm!$U$82/12*I$14</f>
        <v>6240.05306462172</v>
      </c>
      <c r="J17" s="920" t="n">
        <f aca="false">Assm!$U$82/12*J$14</f>
        <v>8204.88788292932</v>
      </c>
      <c r="K17" s="920" t="n">
        <f aca="false">Assm!$U$82/12*K$14</f>
        <v>8719.45306956981</v>
      </c>
      <c r="L17" s="920" t="n">
        <f aca="false">Assm!$U$82/12*L$14</f>
        <v>8804.5284312437</v>
      </c>
      <c r="M17" s="920" t="n">
        <f aca="false">Assm!$U$82/12*M$14</f>
        <v>8606.64026984648</v>
      </c>
      <c r="N17" s="920" t="n">
        <f aca="false">Assm!$U$82/12*N$14</f>
        <v>6791.64348985686</v>
      </c>
      <c r="O17" s="920" t="n">
        <f aca="false">Assm!$U$82/12*O$14</f>
        <v>5182.4812568411</v>
      </c>
      <c r="P17" s="920" t="n">
        <f aca="false">Assm!$U$82/12*P$14</f>
        <v>4888.27959775669</v>
      </c>
      <c r="Q17" s="920" t="n">
        <f aca="false">Assm!$U$82/12*Q$14</f>
        <v>5217.25246780899</v>
      </c>
      <c r="R17" s="920" t="n">
        <f aca="false">Assm!$U$82/12*R$14</f>
        <v>5443.30806437435</v>
      </c>
      <c r="S17" s="920" t="n">
        <f aca="false">Assm!$U$82/12*S$14</f>
        <v>5011.88337397404</v>
      </c>
      <c r="T17" s="920" t="n">
        <f aca="false">Assm!$U$82/12*T$14</f>
        <v>4721.02436683765</v>
      </c>
      <c r="U17" s="920" t="n">
        <f aca="false">Assm!$U$82/12*U$14</f>
        <v>3134.62821324137</v>
      </c>
      <c r="V17" s="920" t="n">
        <f aca="false">Assm!$U$82/12*V$14</f>
        <v>0</v>
      </c>
      <c r="W17" s="920" t="n">
        <f aca="false">Assm!$U$82/12*W$14</f>
        <v>0</v>
      </c>
      <c r="X17" s="920" t="n">
        <f aca="false">Assm!$U$82/12*X$14</f>
        <v>0</v>
      </c>
      <c r="Y17" s="920" t="n">
        <f aca="false">Assm!$U$82/12*Y$14</f>
        <v>0</v>
      </c>
      <c r="Z17" s="39"/>
      <c r="AA17" s="39"/>
      <c r="AB17" s="39"/>
      <c r="AC17" s="39"/>
      <c r="AD17" s="701"/>
      <c r="AE17" s="907" t="n">
        <f aca="false">AE16+1</f>
        <v>11</v>
      </c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917"/>
      <c r="B18" s="921"/>
      <c r="C18" s="921"/>
      <c r="D18" s="922"/>
      <c r="E18" s="920"/>
      <c r="F18" s="920"/>
      <c r="G18" s="920"/>
      <c r="H18" s="920"/>
      <c r="I18" s="920"/>
      <c r="J18" s="920"/>
      <c r="K18" s="920"/>
      <c r="L18" s="920"/>
      <c r="M18" s="920"/>
      <c r="N18" s="920"/>
      <c r="O18" s="920"/>
      <c r="P18" s="920"/>
      <c r="Q18" s="920"/>
      <c r="R18" s="920"/>
      <c r="S18" s="920"/>
      <c r="T18" s="920"/>
      <c r="U18" s="920"/>
      <c r="V18" s="920"/>
      <c r="W18" s="920"/>
      <c r="X18" s="920"/>
      <c r="Y18" s="920"/>
      <c r="Z18" s="39"/>
      <c r="AA18" s="39"/>
      <c r="AB18" s="39"/>
      <c r="AC18" s="39"/>
      <c r="AD18" s="701"/>
      <c r="AE18" s="907" t="n">
        <f aca="false">AE17+1</f>
        <v>12</v>
      </c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308" t="s">
        <v>267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02"/>
      <c r="AE19" s="907" t="n">
        <f aca="false">AE18+1</f>
        <v>13</v>
      </c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12.75" hidden="false" customHeight="false" outlineLevel="0" collapsed="false">
      <c r="A20" s="461" t="s">
        <v>910</v>
      </c>
      <c r="B20" s="39"/>
      <c r="C20" s="39"/>
      <c r="D20" s="329"/>
      <c r="E20" s="61" t="n">
        <f aca="false">IF(E$7&lt;YEAR(Startops2),0,VLOOKUP(E$10,Fin_Table,$AC$79))</f>
        <v>0</v>
      </c>
      <c r="F20" s="61" t="n">
        <f aca="false">IF(F$7&lt;YEAR(Startops2),0,VLOOKUP(F$10,Fin_Table,$AC$79))</f>
        <v>0</v>
      </c>
      <c r="G20" s="61" t="n">
        <f aca="false">IF(G$7&lt;YEAR(Startops2),0,VLOOKUP(G$10,Fin_Table,$AC$79))</f>
        <v>133.988670626725</v>
      </c>
      <c r="H20" s="61" t="n">
        <f aca="false">IF(H$7&lt;YEAR(Startops2),0,VLOOKUP(H$10,Fin_Table,$AC$79))</f>
        <v>318.085158746824</v>
      </c>
      <c r="I20" s="61" t="n">
        <f aca="false">IF(I$7&lt;YEAR(Startops2),0,VLOOKUP(I$10,Fin_Table,$AC$79))</f>
        <v>303.213031196215</v>
      </c>
      <c r="J20" s="61" t="n">
        <f aca="false">IF(J$7&lt;YEAR(Startops2),0,VLOOKUP(J$10,Fin_Table,$AC$79))</f>
        <v>286.344692325125</v>
      </c>
      <c r="K20" s="61" t="n">
        <f aca="false">IF(K$7&lt;YEAR(Startops2),0,VLOOKUP(K$10,Fin_Table,$AC$79))</f>
        <v>267.212200669063</v>
      </c>
      <c r="L20" s="61" t="n">
        <f aca="false">IF(L$7&lt;YEAR(Startops2),0,VLOOKUP(L$10,Fin_Table,$AC$79))</f>
        <v>245.511650320467</v>
      </c>
      <c r="M20" s="61" t="n">
        <f aca="false">IF(M$7&lt;YEAR(Startops2),0,VLOOKUP(M$10,Fin_Table,$AC$79))</f>
        <v>220.89834360133</v>
      </c>
      <c r="N20" s="61" t="n">
        <f aca="false">IF(N$7&lt;YEAR(Startops2),0,VLOOKUP(N$10,Fin_Table,$AC$79))</f>
        <v>192.981315787816</v>
      </c>
      <c r="O20" s="61" t="n">
        <f aca="false">IF(O$7&lt;YEAR(Startops2),0,VLOOKUP(O$10,Fin_Table,$AC$79))</f>
        <v>161.317124916034</v>
      </c>
      <c r="P20" s="61" t="n">
        <f aca="false">IF(P$7&lt;YEAR(Startops2),0,VLOOKUP(P$10,Fin_Table,$AC$79))</f>
        <v>125.402808024487</v>
      </c>
      <c r="Q20" s="61" t="n">
        <f aca="false">IF(Q$7&lt;YEAR(Startops2),0,VLOOKUP(Q$10,Fin_Table,$AC$79))</f>
        <v>84.667891948172</v>
      </c>
      <c r="R20" s="61" t="n">
        <f aca="false">IF(R$7&lt;YEAR(Startops2),0,VLOOKUP(R$10,Fin_Table,$AC$79))</f>
        <v>38.4653317615136</v>
      </c>
      <c r="S20" s="61" t="n">
        <f aca="false">IF(S$7&lt;YEAR(Startops2),0,VLOOKUP(S$10,Fin_Table,$AC$79))</f>
        <v>0</v>
      </c>
      <c r="T20" s="61" t="n">
        <f aca="false">IF(T$7&lt;YEAR(Startops2),0,VLOOKUP(T$10,Fin_Table,$AC$79))</f>
        <v>0</v>
      </c>
      <c r="U20" s="61" t="n">
        <f aca="false">IF(U$7&lt;YEAR(Startops2),0,VLOOKUP(U$10,Fin_Table,$AC$79))</f>
        <v>0</v>
      </c>
      <c r="V20" s="61" t="n">
        <f aca="false">IF(V$7&lt;YEAR(Startops2),0,VLOOKUP(V$10,Fin_Table,$AC$79))</f>
        <v>0</v>
      </c>
      <c r="W20" s="61" t="n">
        <f aca="false">IF(W$7&lt;YEAR(Startops2),0,VLOOKUP(W$10,Fin_Table,$AC$79))</f>
        <v>0</v>
      </c>
      <c r="X20" s="61" t="n">
        <f aca="false">IF(X$7&lt;YEAR(Startops2),0,VLOOKUP(X$10,Fin_Table,$AC$79))</f>
        <v>0</v>
      </c>
      <c r="Y20" s="61" t="n">
        <f aca="false">IF(Y$7&lt;YEAR(Startops2),0,VLOOKUP(Y$10,Fin_Table,$AC$79))</f>
        <v>0</v>
      </c>
      <c r="Z20" s="39"/>
      <c r="AA20" s="39"/>
      <c r="AB20" s="39"/>
      <c r="AC20" s="39"/>
      <c r="AD20" s="309" t="n">
        <f aca="false">SUM(E20:AA20)</f>
        <v>2378.08821992377</v>
      </c>
      <c r="AE20" s="907" t="n">
        <f aca="false">AE19+1</f>
        <v>14</v>
      </c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.75" hidden="false" customHeight="false" outlineLevel="0" collapsed="false">
      <c r="A21" s="461" t="s">
        <v>911</v>
      </c>
      <c r="B21" s="39"/>
      <c r="C21" s="39"/>
      <c r="D21" s="532"/>
      <c r="E21" s="311" t="n">
        <f aca="false">IF(E$7&lt;YEAR(Startops2),0,VLOOKUP(E$10,Fin_Table,$AD$79))</f>
        <v>0</v>
      </c>
      <c r="F21" s="311" t="n">
        <f aca="false">IF(F$7&lt;YEAR(Startops2),0,VLOOKUP(F$10,Fin_Table,$AD$79))</f>
        <v>0</v>
      </c>
      <c r="G21" s="311" t="n">
        <f aca="false">IF(G$7&lt;YEAR(Startops2),0,VLOOKUP(G$10,Fin_Table,$AD$79))</f>
        <v>0</v>
      </c>
      <c r="H21" s="311" t="n">
        <f aca="false">IF(H$7&lt;YEAR(Startops2),0,VLOOKUP(H$10,Fin_Table,$AD$79))</f>
        <v>110.799981751606</v>
      </c>
      <c r="I21" s="311" t="n">
        <f aca="false">IF(I$7&lt;YEAR(Startops2),0,VLOOKUP(I$10,Fin_Table,$AD$79))</f>
        <v>125.672109302215</v>
      </c>
      <c r="J21" s="311" t="n">
        <f aca="false">IF(J$7&lt;YEAR(Startops2),0,VLOOKUP(J$10,Fin_Table,$AD$79))</f>
        <v>142.540448173305</v>
      </c>
      <c r="K21" s="311" t="n">
        <f aca="false">IF(K$7&lt;YEAR(Startops2),0,VLOOKUP(K$10,Fin_Table,$AD$79))</f>
        <v>161.672939829367</v>
      </c>
      <c r="L21" s="311" t="n">
        <f aca="false">IF(L$7&lt;YEAR(Startops2),0,VLOOKUP(L$10,Fin_Table,$AD$79))</f>
        <v>183.373490177963</v>
      </c>
      <c r="M21" s="311" t="n">
        <f aca="false">IF(M$7&lt;YEAR(Startops2),0,VLOOKUP(M$10,Fin_Table,$AD$79))</f>
        <v>207.986796897101</v>
      </c>
      <c r="N21" s="311" t="n">
        <f aca="false">IF(N$7&lt;YEAR(Startops2),0,VLOOKUP(N$10,Fin_Table,$AD$79))</f>
        <v>235.903824710614</v>
      </c>
      <c r="O21" s="311" t="n">
        <f aca="false">IF(O$7&lt;YEAR(Startops2),0,VLOOKUP(O$10,Fin_Table,$AD$79))</f>
        <v>267.568015582396</v>
      </c>
      <c r="P21" s="311" t="n">
        <f aca="false">IF(P$7&lt;YEAR(Startops2),0,VLOOKUP(P$10,Fin_Table,$AD$79))</f>
        <v>303.482332473943</v>
      </c>
      <c r="Q21" s="311" t="n">
        <f aca="false">IF(Q$7&lt;YEAR(Startops2),0,VLOOKUP(Q$10,Fin_Table,$AD$79))</f>
        <v>344.217248550258</v>
      </c>
      <c r="R21" s="311" t="n">
        <f aca="false">IF(R$7&lt;YEAR(Startops2),0,VLOOKUP(R$10,Fin_Table,$AD$79))</f>
        <v>390.419808736917</v>
      </c>
      <c r="S21" s="311" t="n">
        <f aca="false">IF(S$7&lt;YEAR(Startops2),0,VLOOKUP(S$10,Fin_Table,$AD$79))</f>
        <v>0</v>
      </c>
      <c r="T21" s="311" t="n">
        <f aca="false">IF(T$7&lt;YEAR(Startops2),0,VLOOKUP(T$10,Fin_Table,$AD$79))</f>
        <v>0</v>
      </c>
      <c r="U21" s="311" t="n">
        <f aca="false">IF(U$7&lt;YEAR(Startops2),0,VLOOKUP(U$10,Fin_Table,$AD$79))</f>
        <v>0</v>
      </c>
      <c r="V21" s="311" t="n">
        <f aca="false">IF(V$7&lt;YEAR(Startops2),0,VLOOKUP(V$10,Fin_Table,$AD$79))</f>
        <v>0</v>
      </c>
      <c r="W21" s="311" t="n">
        <f aca="false">IF(W$7&lt;YEAR(Startops2),0,VLOOKUP(W$10,Fin_Table,$AD$79))</f>
        <v>0</v>
      </c>
      <c r="X21" s="311" t="n">
        <f aca="false">IF(X$7&lt;YEAR(Startops2),0,VLOOKUP(X$10,Fin_Table,$AD$79))</f>
        <v>0</v>
      </c>
      <c r="Y21" s="311" t="n">
        <f aca="false">IF(Y$7&lt;YEAR(Startops2),0,VLOOKUP(Y$10,Fin_Table,$AD$79))</f>
        <v>0</v>
      </c>
      <c r="Z21" s="39"/>
      <c r="AA21" s="39"/>
      <c r="AB21" s="39"/>
      <c r="AC21" s="39"/>
      <c r="AD21" s="313" t="n">
        <f aca="false">SUM(E21:AA21)</f>
        <v>2473.63699618568</v>
      </c>
      <c r="AE21" s="907" t="n">
        <f aca="false">AE20+1</f>
        <v>15</v>
      </c>
      <c r="AF21" s="914" t="str">
        <f aca="false">IF(ROUND(Subdebt-AD21,2)=0," ","Principal Payments Do Not Tie To Total Debt")</f>
        <v> </v>
      </c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2.75" hidden="false" customHeight="false" outlineLevel="0" collapsed="false">
      <c r="A22" s="83" t="s">
        <v>915</v>
      </c>
      <c r="B22" s="209"/>
      <c r="C22" s="209"/>
      <c r="D22" s="915"/>
      <c r="E22" s="690" t="n">
        <f aca="false">SUM(E20:E21)</f>
        <v>0</v>
      </c>
      <c r="F22" s="690" t="n">
        <f aca="false">SUM(F20:F21)</f>
        <v>0</v>
      </c>
      <c r="G22" s="690" t="n">
        <f aca="false">SUM(G20:G21)</f>
        <v>133.988670626725</v>
      </c>
      <c r="H22" s="690" t="n">
        <f aca="false">SUM(H20:H21)</f>
        <v>428.88514049843</v>
      </c>
      <c r="I22" s="690" t="n">
        <f aca="false">SUM(I20:I21)</f>
        <v>428.88514049843</v>
      </c>
      <c r="J22" s="690" t="n">
        <f aca="false">SUM(J20:J21)</f>
        <v>428.88514049843</v>
      </c>
      <c r="K22" s="690" t="n">
        <f aca="false">SUM(K20:K21)</f>
        <v>428.88514049843</v>
      </c>
      <c r="L22" s="690" t="n">
        <f aca="false">SUM(L20:L21)</f>
        <v>428.88514049843</v>
      </c>
      <c r="M22" s="690" t="n">
        <f aca="false">SUM(M20:M21)</f>
        <v>428.88514049843</v>
      </c>
      <c r="N22" s="690" t="n">
        <f aca="false">SUM(N20:N21)</f>
        <v>428.88514049843</v>
      </c>
      <c r="O22" s="690" t="n">
        <f aca="false">SUM(O20:O21)</f>
        <v>428.88514049843</v>
      </c>
      <c r="P22" s="690" t="n">
        <f aca="false">SUM(P20:P21)</f>
        <v>428.88514049843</v>
      </c>
      <c r="Q22" s="690" t="n">
        <f aca="false">SUM(Q20:Q21)</f>
        <v>428.88514049843</v>
      </c>
      <c r="R22" s="690" t="n">
        <f aca="false">SUM(R20:R21)</f>
        <v>428.88514049843</v>
      </c>
      <c r="S22" s="690" t="n">
        <f aca="false">SUM(S20:S21)</f>
        <v>0</v>
      </c>
      <c r="T22" s="690" t="n">
        <f aca="false">SUM(T20:T21)</f>
        <v>0</v>
      </c>
      <c r="U22" s="690" t="n">
        <f aca="false">SUM(U20:U21)</f>
        <v>0</v>
      </c>
      <c r="V22" s="690" t="n">
        <f aca="false">SUM(V20:V21)</f>
        <v>0</v>
      </c>
      <c r="W22" s="690" t="n">
        <f aca="false">SUM(W20:W21)</f>
        <v>0</v>
      </c>
      <c r="X22" s="690" t="n">
        <f aca="false">SUM(X20:X21)</f>
        <v>0</v>
      </c>
      <c r="Y22" s="690" t="n">
        <f aca="false">SUM(Y20:Y21)</f>
        <v>0</v>
      </c>
      <c r="Z22" s="39"/>
      <c r="AA22" s="39"/>
      <c r="AB22" s="39"/>
      <c r="AC22" s="39"/>
      <c r="AD22" s="652" t="n">
        <f aca="false">SUM(E22:AA22)</f>
        <v>4851.72521610946</v>
      </c>
      <c r="AE22" s="907" t="n">
        <f aca="false">AE21+1</f>
        <v>16</v>
      </c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12.75" hidden="false" customHeight="false" outlineLevel="0" collapsed="false">
      <c r="A23" s="923"/>
      <c r="B23" s="924"/>
      <c r="C23" s="924"/>
      <c r="D23" s="925"/>
      <c r="E23" s="926"/>
      <c r="F23" s="926"/>
      <c r="G23" s="926"/>
      <c r="H23" s="926"/>
      <c r="I23" s="926"/>
      <c r="J23" s="926"/>
      <c r="K23" s="926"/>
      <c r="L23" s="926"/>
      <c r="M23" s="926"/>
      <c r="N23" s="926"/>
      <c r="O23" s="926"/>
      <c r="P23" s="926"/>
      <c r="Q23" s="926"/>
      <c r="R23" s="926"/>
      <c r="S23" s="926"/>
      <c r="T23" s="926"/>
      <c r="U23" s="926"/>
      <c r="V23" s="926"/>
      <c r="W23" s="926"/>
      <c r="X23" s="926"/>
      <c r="Y23" s="926"/>
      <c r="Z23" s="911"/>
      <c r="AA23" s="911"/>
      <c r="AB23" s="911"/>
      <c r="AC23" s="911"/>
      <c r="AD23" s="927"/>
      <c r="AE23" s="907"/>
      <c r="AF23" s="911"/>
      <c r="AG23" s="911"/>
      <c r="AH23" s="911"/>
      <c r="AI23" s="911"/>
      <c r="AJ23" s="911"/>
      <c r="AK23" s="911"/>
      <c r="AL23" s="911"/>
      <c r="AM23" s="911"/>
      <c r="AN23" s="911"/>
      <c r="AO23" s="911"/>
      <c r="AP23" s="911"/>
      <c r="AQ23" s="911"/>
      <c r="AR23" s="911"/>
      <c r="AS23" s="911"/>
      <c r="AT23" s="911"/>
      <c r="AU23" s="911"/>
      <c r="AV23" s="911"/>
      <c r="AW23" s="911"/>
      <c r="AX23" s="911"/>
      <c r="AY23" s="911"/>
      <c r="AZ23" s="911"/>
      <c r="BA23" s="911"/>
      <c r="BB23" s="911"/>
      <c r="BC23" s="911"/>
      <c r="BD23" s="911"/>
      <c r="BE23" s="911"/>
      <c r="BF23" s="911"/>
      <c r="BG23" s="911"/>
      <c r="BH23" s="911"/>
      <c r="BI23" s="911"/>
      <c r="BJ23" s="911"/>
      <c r="BK23" s="911"/>
      <c r="BL23" s="911"/>
      <c r="BM23" s="911"/>
      <c r="BN23" s="911"/>
      <c r="BO23" s="911"/>
      <c r="BP23" s="911"/>
      <c r="BQ23" s="911"/>
      <c r="BR23" s="911"/>
      <c r="BS23" s="911"/>
      <c r="BT23" s="911"/>
      <c r="BU23" s="911"/>
      <c r="BV23" s="911"/>
      <c r="BW23" s="911"/>
      <c r="BX23" s="911"/>
      <c r="BY23" s="911"/>
      <c r="BZ23" s="911"/>
      <c r="CA23" s="911"/>
      <c r="CB23" s="911"/>
      <c r="CC23" s="911"/>
      <c r="CD23" s="911"/>
      <c r="CE23" s="911"/>
      <c r="CF23" s="911"/>
      <c r="CG23" s="911"/>
      <c r="CH23" s="911"/>
      <c r="CI23" s="911"/>
      <c r="CJ23" s="911"/>
      <c r="CK23" s="911"/>
      <c r="CL23" s="911"/>
      <c r="CM23" s="911"/>
      <c r="CN23" s="911"/>
      <c r="CO23" s="911"/>
      <c r="CP23" s="911"/>
      <c r="CQ23" s="911"/>
      <c r="CR23" s="911"/>
      <c r="CS23" s="911"/>
      <c r="CT23" s="911"/>
      <c r="CU23" s="911"/>
      <c r="CV23" s="911"/>
      <c r="CW23" s="911"/>
      <c r="CX23" s="911"/>
      <c r="CY23" s="911"/>
      <c r="CZ23" s="911"/>
      <c r="DA23" s="911"/>
      <c r="DB23" s="911"/>
      <c r="DC23" s="911"/>
      <c r="DD23" s="911"/>
      <c r="DE23" s="911"/>
      <c r="DF23" s="911"/>
      <c r="DG23" s="911"/>
      <c r="DH23" s="911"/>
      <c r="DI23" s="911"/>
      <c r="DJ23" s="911"/>
      <c r="DK23" s="911"/>
      <c r="DL23" s="911"/>
      <c r="DM23" s="911"/>
      <c r="DN23" s="911"/>
      <c r="DO23" s="911"/>
      <c r="DP23" s="911"/>
      <c r="DQ23" s="911"/>
      <c r="DR23" s="911"/>
      <c r="DS23" s="911"/>
      <c r="DT23" s="911"/>
      <c r="DU23" s="911"/>
      <c r="DV23" s="911"/>
      <c r="DW23" s="911"/>
      <c r="DX23" s="911"/>
      <c r="DY23" s="911"/>
      <c r="DZ23" s="911"/>
      <c r="EA23" s="911"/>
      <c r="EB23" s="911"/>
      <c r="EC23" s="911"/>
      <c r="ED23" s="911"/>
      <c r="EE23" s="911"/>
      <c r="EF23" s="911"/>
      <c r="EG23" s="911"/>
      <c r="EH23" s="911"/>
      <c r="EI23" s="911"/>
      <c r="EJ23" s="911"/>
      <c r="EK23" s="911"/>
      <c r="EL23" s="911"/>
      <c r="EM23" s="911"/>
      <c r="EN23" s="911"/>
      <c r="EO23" s="911"/>
      <c r="EP23" s="911"/>
      <c r="EQ23" s="911"/>
      <c r="ER23" s="911"/>
      <c r="ES23" s="911"/>
      <c r="ET23" s="911"/>
      <c r="EU23" s="911"/>
      <c r="EV23" s="911"/>
      <c r="EW23" s="911"/>
      <c r="EX23" s="911"/>
      <c r="EY23" s="911"/>
      <c r="EZ23" s="911"/>
      <c r="FA23" s="911"/>
      <c r="FB23" s="911"/>
      <c r="FC23" s="911"/>
      <c r="FD23" s="911"/>
      <c r="FE23" s="911"/>
      <c r="FF23" s="911"/>
      <c r="FG23" s="911"/>
      <c r="FH23" s="911"/>
      <c r="FI23" s="911"/>
      <c r="FJ23" s="911"/>
      <c r="FK23" s="911"/>
      <c r="FL23" s="911"/>
      <c r="FM23" s="911"/>
      <c r="FN23" s="911"/>
      <c r="FO23" s="911"/>
      <c r="FP23" s="911"/>
      <c r="FQ23" s="911"/>
      <c r="FR23" s="911"/>
      <c r="FS23" s="911"/>
      <c r="FT23" s="911"/>
      <c r="FU23" s="911"/>
      <c r="FV23" s="911"/>
      <c r="FW23" s="911"/>
      <c r="FX23" s="911"/>
      <c r="FY23" s="911"/>
      <c r="FZ23" s="911"/>
      <c r="GA23" s="911"/>
      <c r="GB23" s="911"/>
      <c r="GC23" s="911"/>
      <c r="GD23" s="911"/>
      <c r="GE23" s="911"/>
      <c r="GF23" s="911"/>
      <c r="GG23" s="911"/>
      <c r="GH23" s="911"/>
      <c r="GI23" s="911"/>
      <c r="GJ23" s="911"/>
      <c r="GK23" s="911"/>
      <c r="GL23" s="911"/>
      <c r="GM23" s="911"/>
      <c r="GN23" s="911"/>
      <c r="GO23" s="911"/>
      <c r="GP23" s="911"/>
      <c r="GQ23" s="911"/>
      <c r="GR23" s="911"/>
      <c r="GS23" s="911"/>
      <c r="GT23" s="911"/>
      <c r="GU23" s="911"/>
      <c r="GV23" s="911"/>
      <c r="GW23" s="911"/>
      <c r="GX23" s="911"/>
      <c r="GY23" s="911"/>
      <c r="GZ23" s="911"/>
      <c r="HA23" s="911"/>
      <c r="HB23" s="911"/>
      <c r="HC23" s="911"/>
      <c r="HD23" s="911"/>
      <c r="HE23" s="911"/>
      <c r="HF23" s="911"/>
      <c r="HG23" s="911"/>
      <c r="HH23" s="911"/>
      <c r="HI23" s="911"/>
      <c r="HJ23" s="911"/>
      <c r="HK23" s="911"/>
      <c r="HL23" s="911"/>
      <c r="HM23" s="911"/>
      <c r="HN23" s="911"/>
      <c r="HO23" s="911"/>
      <c r="HP23" s="911"/>
      <c r="HQ23" s="911"/>
      <c r="HR23" s="911"/>
      <c r="HS23" s="911"/>
      <c r="HT23" s="911"/>
      <c r="HU23" s="911"/>
      <c r="HV23" s="911"/>
      <c r="HW23" s="911"/>
      <c r="HX23" s="911"/>
      <c r="HY23" s="911"/>
      <c r="HZ23" s="911"/>
      <c r="IA23" s="911"/>
      <c r="IB23" s="911"/>
      <c r="IC23" s="911"/>
      <c r="ID23" s="911"/>
      <c r="IE23" s="911"/>
      <c r="IF23" s="911"/>
      <c r="IG23" s="911"/>
      <c r="IH23" s="911"/>
      <c r="II23" s="911"/>
      <c r="IJ23" s="911"/>
      <c r="IK23" s="911"/>
      <c r="IL23" s="911"/>
      <c r="IM23" s="911"/>
      <c r="IN23" s="911"/>
      <c r="IO23" s="911"/>
      <c r="IP23" s="911"/>
      <c r="IQ23" s="911"/>
      <c r="IR23" s="911"/>
      <c r="IS23" s="911"/>
      <c r="IT23" s="911"/>
      <c r="IU23" s="911"/>
      <c r="IV23" s="911"/>
      <c r="IW23" s="911"/>
    </row>
    <row r="24" customFormat="false" ht="12.75" hidden="false" customHeight="false" outlineLevel="0" collapsed="false">
      <c r="A24" s="923"/>
      <c r="B24" s="924"/>
      <c r="C24" s="924"/>
      <c r="D24" s="925"/>
      <c r="E24" s="926"/>
      <c r="F24" s="926"/>
      <c r="G24" s="926"/>
      <c r="H24" s="926"/>
      <c r="I24" s="926"/>
      <c r="J24" s="926"/>
      <c r="K24" s="926"/>
      <c r="L24" s="926"/>
      <c r="M24" s="926"/>
      <c r="N24" s="926"/>
      <c r="O24" s="926"/>
      <c r="P24" s="926"/>
      <c r="Q24" s="926"/>
      <c r="R24" s="926"/>
      <c r="S24" s="926"/>
      <c r="T24" s="926"/>
      <c r="U24" s="926"/>
      <c r="V24" s="926"/>
      <c r="W24" s="926"/>
      <c r="X24" s="926"/>
      <c r="Y24" s="926"/>
      <c r="Z24" s="911"/>
      <c r="AA24" s="911"/>
      <c r="AB24" s="911"/>
      <c r="AC24" s="911"/>
      <c r="AD24" s="927"/>
      <c r="AE24" s="907"/>
      <c r="AF24" s="911"/>
      <c r="AG24" s="911"/>
      <c r="AH24" s="911"/>
      <c r="AI24" s="911"/>
      <c r="AJ24" s="911"/>
      <c r="AK24" s="911"/>
      <c r="AL24" s="911"/>
      <c r="AM24" s="911"/>
      <c r="AN24" s="911"/>
      <c r="AO24" s="911"/>
      <c r="AP24" s="911"/>
      <c r="AQ24" s="911"/>
      <c r="AR24" s="911"/>
      <c r="AS24" s="911"/>
      <c r="AT24" s="911"/>
      <c r="AU24" s="911"/>
      <c r="AV24" s="911"/>
      <c r="AW24" s="911"/>
      <c r="AX24" s="911"/>
      <c r="AY24" s="911"/>
      <c r="AZ24" s="911"/>
      <c r="BA24" s="911"/>
      <c r="BB24" s="911"/>
      <c r="BC24" s="911"/>
      <c r="BD24" s="911"/>
      <c r="BE24" s="911"/>
      <c r="BF24" s="911"/>
      <c r="BG24" s="911"/>
      <c r="BH24" s="911"/>
      <c r="BI24" s="911"/>
      <c r="BJ24" s="911"/>
      <c r="BK24" s="911"/>
      <c r="BL24" s="911"/>
      <c r="BM24" s="911"/>
      <c r="BN24" s="911"/>
      <c r="BO24" s="911"/>
      <c r="BP24" s="911"/>
      <c r="BQ24" s="911"/>
      <c r="BR24" s="911"/>
      <c r="BS24" s="911"/>
      <c r="BT24" s="911"/>
      <c r="BU24" s="911"/>
      <c r="BV24" s="911"/>
      <c r="BW24" s="911"/>
      <c r="BX24" s="911"/>
      <c r="BY24" s="911"/>
      <c r="BZ24" s="911"/>
      <c r="CA24" s="911"/>
      <c r="CB24" s="911"/>
      <c r="CC24" s="911"/>
      <c r="CD24" s="911"/>
      <c r="CE24" s="911"/>
      <c r="CF24" s="911"/>
      <c r="CG24" s="911"/>
      <c r="CH24" s="911"/>
      <c r="CI24" s="911"/>
      <c r="CJ24" s="911"/>
      <c r="CK24" s="911"/>
      <c r="CL24" s="911"/>
      <c r="CM24" s="911"/>
      <c r="CN24" s="911"/>
      <c r="CO24" s="911"/>
      <c r="CP24" s="911"/>
      <c r="CQ24" s="911"/>
      <c r="CR24" s="911"/>
      <c r="CS24" s="911"/>
      <c r="CT24" s="911"/>
      <c r="CU24" s="911"/>
      <c r="CV24" s="911"/>
      <c r="CW24" s="911"/>
      <c r="CX24" s="911"/>
      <c r="CY24" s="911"/>
      <c r="CZ24" s="911"/>
      <c r="DA24" s="911"/>
      <c r="DB24" s="911"/>
      <c r="DC24" s="911"/>
      <c r="DD24" s="911"/>
      <c r="DE24" s="911"/>
      <c r="DF24" s="911"/>
      <c r="DG24" s="911"/>
      <c r="DH24" s="911"/>
      <c r="DI24" s="911"/>
      <c r="DJ24" s="911"/>
      <c r="DK24" s="911"/>
      <c r="DL24" s="911"/>
      <c r="DM24" s="911"/>
      <c r="DN24" s="911"/>
      <c r="DO24" s="911"/>
      <c r="DP24" s="911"/>
      <c r="DQ24" s="911"/>
      <c r="DR24" s="911"/>
      <c r="DS24" s="911"/>
      <c r="DT24" s="911"/>
      <c r="DU24" s="911"/>
      <c r="DV24" s="911"/>
      <c r="DW24" s="911"/>
      <c r="DX24" s="911"/>
      <c r="DY24" s="911"/>
      <c r="DZ24" s="911"/>
      <c r="EA24" s="911"/>
      <c r="EB24" s="911"/>
      <c r="EC24" s="911"/>
      <c r="ED24" s="911"/>
      <c r="EE24" s="911"/>
      <c r="EF24" s="911"/>
      <c r="EG24" s="911"/>
      <c r="EH24" s="911"/>
      <c r="EI24" s="911"/>
      <c r="EJ24" s="911"/>
      <c r="EK24" s="911"/>
      <c r="EL24" s="911"/>
      <c r="EM24" s="911"/>
      <c r="EN24" s="911"/>
      <c r="EO24" s="911"/>
      <c r="EP24" s="911"/>
      <c r="EQ24" s="911"/>
      <c r="ER24" s="911"/>
      <c r="ES24" s="911"/>
      <c r="ET24" s="911"/>
      <c r="EU24" s="911"/>
      <c r="EV24" s="911"/>
      <c r="EW24" s="911"/>
      <c r="EX24" s="911"/>
      <c r="EY24" s="911"/>
      <c r="EZ24" s="911"/>
      <c r="FA24" s="911"/>
      <c r="FB24" s="911"/>
      <c r="FC24" s="911"/>
      <c r="FD24" s="911"/>
      <c r="FE24" s="911"/>
      <c r="FF24" s="911"/>
      <c r="FG24" s="911"/>
      <c r="FH24" s="911"/>
      <c r="FI24" s="911"/>
      <c r="FJ24" s="911"/>
      <c r="FK24" s="911"/>
      <c r="FL24" s="911"/>
      <c r="FM24" s="911"/>
      <c r="FN24" s="911"/>
      <c r="FO24" s="911"/>
      <c r="FP24" s="911"/>
      <c r="FQ24" s="911"/>
      <c r="FR24" s="911"/>
      <c r="FS24" s="911"/>
      <c r="FT24" s="911"/>
      <c r="FU24" s="911"/>
      <c r="FV24" s="911"/>
      <c r="FW24" s="911"/>
      <c r="FX24" s="911"/>
      <c r="FY24" s="911"/>
      <c r="FZ24" s="911"/>
      <c r="GA24" s="911"/>
      <c r="GB24" s="911"/>
      <c r="GC24" s="911"/>
      <c r="GD24" s="911"/>
      <c r="GE24" s="911"/>
      <c r="GF24" s="911"/>
      <c r="GG24" s="911"/>
      <c r="GH24" s="911"/>
      <c r="GI24" s="911"/>
      <c r="GJ24" s="911"/>
      <c r="GK24" s="911"/>
      <c r="GL24" s="911"/>
      <c r="GM24" s="911"/>
      <c r="GN24" s="911"/>
      <c r="GO24" s="911"/>
      <c r="GP24" s="911"/>
      <c r="GQ24" s="911"/>
      <c r="GR24" s="911"/>
      <c r="GS24" s="911"/>
      <c r="GT24" s="911"/>
      <c r="GU24" s="911"/>
      <c r="GV24" s="911"/>
      <c r="GW24" s="911"/>
      <c r="GX24" s="911"/>
      <c r="GY24" s="911"/>
      <c r="GZ24" s="911"/>
      <c r="HA24" s="911"/>
      <c r="HB24" s="911"/>
      <c r="HC24" s="911"/>
      <c r="HD24" s="911"/>
      <c r="HE24" s="911"/>
      <c r="HF24" s="911"/>
      <c r="HG24" s="911"/>
      <c r="HH24" s="911"/>
      <c r="HI24" s="911"/>
      <c r="HJ24" s="911"/>
      <c r="HK24" s="911"/>
      <c r="HL24" s="911"/>
      <c r="HM24" s="911"/>
      <c r="HN24" s="911"/>
      <c r="HO24" s="911"/>
      <c r="HP24" s="911"/>
      <c r="HQ24" s="911"/>
      <c r="HR24" s="911"/>
      <c r="HS24" s="911"/>
      <c r="HT24" s="911"/>
      <c r="HU24" s="911"/>
      <c r="HV24" s="911"/>
      <c r="HW24" s="911"/>
      <c r="HX24" s="911"/>
      <c r="HY24" s="911"/>
      <c r="HZ24" s="911"/>
      <c r="IA24" s="911"/>
      <c r="IB24" s="911"/>
      <c r="IC24" s="911"/>
      <c r="ID24" s="911"/>
      <c r="IE24" s="911"/>
      <c r="IF24" s="911"/>
      <c r="IG24" s="911"/>
      <c r="IH24" s="911"/>
      <c r="II24" s="911"/>
      <c r="IJ24" s="911"/>
      <c r="IK24" s="911"/>
      <c r="IL24" s="911"/>
      <c r="IM24" s="911"/>
      <c r="IN24" s="911"/>
      <c r="IO24" s="911"/>
      <c r="IP24" s="911"/>
      <c r="IQ24" s="911"/>
      <c r="IR24" s="911"/>
      <c r="IS24" s="911"/>
      <c r="IT24" s="911"/>
      <c r="IU24" s="911"/>
      <c r="IV24" s="911"/>
      <c r="IW24" s="911"/>
    </row>
    <row r="25" customFormat="false" ht="12.75" hidden="false" customHeight="false" outlineLevel="0" collapsed="false">
      <c r="A25" s="928" t="s">
        <v>916</v>
      </c>
      <c r="B25" s="929"/>
      <c r="C25" s="929"/>
      <c r="D25" s="930"/>
      <c r="E25" s="931" t="n">
        <f aca="false">IF(E$7&lt;YEAR(Startops2),0,VLOOKUP(E$10,Guarantee_Fee_Table,$AE$79))</f>
        <v>0</v>
      </c>
      <c r="F25" s="931" t="n">
        <f aca="false">IF(F$7&lt;YEAR(Startops2),0,VLOOKUP(F$10,Guarantee_Fee_Table,$AE$79))</f>
        <v>0</v>
      </c>
      <c r="G25" s="931" t="n">
        <f aca="false">IF(G$7&lt;YEAR(Startops2),0,VLOOKUP(G$10,Guarantee_Fee_Table,$AE$79))</f>
        <v>1603.0682084244</v>
      </c>
      <c r="H25" s="931" t="n">
        <f aca="false">IF(H$7&lt;YEAR(Startops2),0,VLOOKUP(H$10,Guarantee_Fee_Table,$AE$79))</f>
        <v>3847.36370021857</v>
      </c>
      <c r="I25" s="931" t="n">
        <f aca="false">IF(I$7&lt;YEAR(Startops2),0,VLOOKUP(I$10,Guarantee_Fee_Table,$AE$79))</f>
        <v>3786.71078252611</v>
      </c>
      <c r="J25" s="931" t="n">
        <f aca="false">IF(J$7&lt;YEAR(Startops2),0,VLOOKUP(J$10,Guarantee_Fee_Table,$AE$79))</f>
        <v>0</v>
      </c>
      <c r="K25" s="931" t="n">
        <f aca="false">IF(K$7&lt;YEAR(Startops2),0,VLOOKUP(K$10,Guarantee_Fee_Table,$AE$79))</f>
        <v>0</v>
      </c>
      <c r="L25" s="931" t="n">
        <f aca="false">IF(L$7&lt;YEAR(Startops2),0,VLOOKUP(L$10,Guarantee_Fee_Table,$AE$79))</f>
        <v>0</v>
      </c>
      <c r="M25" s="931" t="n">
        <f aca="false">IF(M$7&lt;YEAR(Startops2),0,VLOOKUP(M$10,Guarantee_Fee_Table,$AE$79))</f>
        <v>0</v>
      </c>
      <c r="N25" s="931" t="n">
        <f aca="false">IF(N$7&lt;YEAR(Startops2),0,VLOOKUP(N$10,Guarantee_Fee_Table,$AE$79))</f>
        <v>0</v>
      </c>
      <c r="O25" s="931" t="n">
        <f aca="false">IF(O$7&lt;YEAR(Startops2),0,VLOOKUP(O$10,Guarantee_Fee_Table,$AE$79))</f>
        <v>0</v>
      </c>
      <c r="P25" s="931" t="n">
        <f aca="false">IF(P$7&lt;YEAR(Startops2),0,VLOOKUP(P$10,Guarantee_Fee_Table,$AE$79))</f>
        <v>0</v>
      </c>
      <c r="Q25" s="931" t="n">
        <f aca="false">IF(Q$7&lt;YEAR(Startops2),0,VLOOKUP(Q$10,Guarantee_Fee_Table,$AE$79))</f>
        <v>0</v>
      </c>
      <c r="R25" s="931" t="n">
        <f aca="false">IF(R$7&lt;YEAR(Startops2),0,VLOOKUP(R$10,Guarantee_Fee_Table,$AE$79))</f>
        <v>0</v>
      </c>
      <c r="S25" s="931" t="n">
        <f aca="false">IF(S$7&lt;YEAR(Startops2),0,VLOOKUP(S$10,Guarantee_Fee_Table,$AE$79))</f>
        <v>0</v>
      </c>
      <c r="T25" s="931" t="n">
        <f aca="false">IF(T$7&lt;YEAR(Startops2),0,VLOOKUP(T$10,Guarantee_Fee_Table,$AE$79))</f>
        <v>0</v>
      </c>
      <c r="U25" s="931" t="n">
        <f aca="false">IF(U$7&lt;YEAR(Startops2),0,VLOOKUP(U$10,Guarantee_Fee_Table,$AE$79))</f>
        <v>0</v>
      </c>
      <c r="V25" s="931" t="n">
        <f aca="false">IF(V$7&lt;YEAR(Startops2),0,VLOOKUP(V$10,Guarantee_Fee_Table,$AE$79))</f>
        <v>0</v>
      </c>
      <c r="W25" s="931" t="n">
        <f aca="false">IF(W$7&lt;YEAR(Startops2),0,VLOOKUP(W$10,Guarantee_Fee_Table,$AE$79))</f>
        <v>0</v>
      </c>
      <c r="X25" s="931" t="n">
        <f aca="false">IF(X$7&lt;YEAR(Startops2),0,VLOOKUP(X$10,Guarantee_Fee_Table,$AE$79))</f>
        <v>0</v>
      </c>
      <c r="Y25" s="931" t="n">
        <f aca="false">IF(Y$7&lt;YEAR(Startops2),0,VLOOKUP(Y$10,Guarantee_Fee_Table,$AE$79))</f>
        <v>0</v>
      </c>
      <c r="Z25" s="930"/>
      <c r="AA25" s="932"/>
      <c r="AB25" s="933"/>
      <c r="AC25" s="933"/>
      <c r="AD25" s="933"/>
      <c r="AE25" s="934"/>
      <c r="AF25" s="933"/>
      <c r="AG25" s="933"/>
      <c r="AH25" s="933"/>
      <c r="AI25" s="935"/>
      <c r="AJ25" s="933"/>
      <c r="AK25" s="936"/>
      <c r="AL25" s="936"/>
      <c r="AM25" s="936"/>
      <c r="AN25" s="936"/>
      <c r="AO25" s="936"/>
      <c r="AP25" s="936"/>
      <c r="AQ25" s="936"/>
      <c r="AR25" s="936"/>
      <c r="AS25" s="936"/>
      <c r="AT25" s="936"/>
      <c r="AU25" s="936"/>
      <c r="AV25" s="936"/>
      <c r="AW25" s="936"/>
      <c r="AX25" s="936"/>
      <c r="AY25" s="936"/>
      <c r="AZ25" s="936"/>
      <c r="BA25" s="936"/>
      <c r="BB25" s="936"/>
      <c r="BC25" s="936"/>
      <c r="BD25" s="936"/>
      <c r="BE25" s="936"/>
      <c r="BF25" s="936"/>
      <c r="BG25" s="936"/>
      <c r="BH25" s="936"/>
      <c r="BI25" s="936"/>
      <c r="BJ25" s="936"/>
      <c r="BK25" s="936"/>
      <c r="BL25" s="936"/>
      <c r="BM25" s="936"/>
      <c r="BN25" s="936"/>
      <c r="BO25" s="936"/>
      <c r="BP25" s="936"/>
      <c r="BQ25" s="936"/>
      <c r="BR25" s="936"/>
      <c r="BS25" s="936"/>
      <c r="BT25" s="936"/>
      <c r="BU25" s="936"/>
      <c r="BV25" s="936"/>
      <c r="BW25" s="936"/>
      <c r="BX25" s="936"/>
      <c r="BY25" s="936"/>
      <c r="BZ25" s="936"/>
      <c r="CA25" s="936"/>
      <c r="CB25" s="936"/>
      <c r="CC25" s="936"/>
      <c r="CD25" s="936"/>
      <c r="CE25" s="936"/>
      <c r="CF25" s="936"/>
      <c r="CG25" s="936"/>
      <c r="CH25" s="936"/>
      <c r="CI25" s="936"/>
      <c r="CJ25" s="936"/>
      <c r="CK25" s="936"/>
      <c r="CL25" s="936"/>
      <c r="CM25" s="936"/>
      <c r="CN25" s="936"/>
      <c r="CO25" s="936"/>
      <c r="CP25" s="936"/>
      <c r="CQ25" s="936"/>
      <c r="CR25" s="936"/>
      <c r="CS25" s="936"/>
      <c r="CT25" s="936"/>
      <c r="CU25" s="936"/>
      <c r="CV25" s="936"/>
      <c r="CW25" s="936"/>
      <c r="CX25" s="936"/>
      <c r="CY25" s="936"/>
      <c r="CZ25" s="936"/>
      <c r="DA25" s="936"/>
      <c r="DB25" s="936"/>
      <c r="DC25" s="936"/>
      <c r="DD25" s="936"/>
      <c r="DE25" s="936"/>
      <c r="DF25" s="936"/>
      <c r="DG25" s="936"/>
      <c r="DH25" s="936"/>
      <c r="DI25" s="936"/>
      <c r="DJ25" s="936"/>
      <c r="DK25" s="936"/>
      <c r="DL25" s="936"/>
      <c r="DM25" s="936"/>
      <c r="DN25" s="936"/>
      <c r="DO25" s="936"/>
      <c r="DP25" s="936"/>
      <c r="DQ25" s="936"/>
      <c r="DR25" s="936"/>
      <c r="DS25" s="936"/>
      <c r="DT25" s="936"/>
      <c r="DU25" s="936"/>
      <c r="DV25" s="936"/>
      <c r="DW25" s="936"/>
      <c r="DX25" s="936"/>
      <c r="DY25" s="936"/>
      <c r="DZ25" s="936"/>
      <c r="EA25" s="936"/>
      <c r="EB25" s="936"/>
      <c r="EC25" s="936"/>
      <c r="ED25" s="936"/>
      <c r="EE25" s="936"/>
      <c r="EF25" s="936"/>
      <c r="EG25" s="936"/>
      <c r="EH25" s="936"/>
      <c r="EI25" s="936"/>
      <c r="EJ25" s="936"/>
      <c r="EK25" s="936"/>
      <c r="EL25" s="936"/>
      <c r="EM25" s="936"/>
      <c r="EN25" s="936"/>
      <c r="EO25" s="936"/>
      <c r="EP25" s="936"/>
      <c r="EQ25" s="936"/>
      <c r="ER25" s="936"/>
      <c r="ES25" s="936"/>
      <c r="ET25" s="936"/>
      <c r="EU25" s="936"/>
      <c r="EV25" s="936"/>
      <c r="EW25" s="936"/>
      <c r="EX25" s="936"/>
      <c r="EY25" s="936"/>
      <c r="EZ25" s="936"/>
      <c r="FA25" s="936"/>
      <c r="FB25" s="936"/>
      <c r="FC25" s="936"/>
      <c r="FD25" s="936"/>
      <c r="FE25" s="936"/>
      <c r="FF25" s="936"/>
      <c r="FG25" s="936"/>
      <c r="FH25" s="936"/>
      <c r="FI25" s="936"/>
      <c r="FJ25" s="936"/>
      <c r="FK25" s="936"/>
      <c r="FL25" s="936"/>
      <c r="FM25" s="936"/>
      <c r="FN25" s="936"/>
      <c r="FO25" s="936"/>
      <c r="FP25" s="936"/>
      <c r="FQ25" s="936"/>
      <c r="FR25" s="936"/>
      <c r="FS25" s="936"/>
      <c r="FT25" s="936"/>
      <c r="FU25" s="936"/>
      <c r="FV25" s="936"/>
      <c r="FW25" s="936"/>
      <c r="FX25" s="936"/>
      <c r="FY25" s="936"/>
      <c r="FZ25" s="936"/>
      <c r="GA25" s="936"/>
      <c r="GB25" s="936"/>
      <c r="GC25" s="936"/>
      <c r="GD25" s="936"/>
      <c r="GE25" s="936"/>
      <c r="GF25" s="936"/>
      <c r="GG25" s="936"/>
      <c r="GH25" s="936"/>
      <c r="GI25" s="936"/>
      <c r="GJ25" s="936"/>
      <c r="GK25" s="936"/>
      <c r="GL25" s="936"/>
      <c r="GM25" s="936"/>
      <c r="GN25" s="936"/>
      <c r="GO25" s="936"/>
      <c r="GP25" s="936"/>
      <c r="GQ25" s="936"/>
      <c r="GR25" s="936"/>
      <c r="GS25" s="936"/>
      <c r="GT25" s="936"/>
      <c r="GU25" s="936"/>
      <c r="GV25" s="936"/>
      <c r="GW25" s="936"/>
      <c r="GX25" s="936"/>
      <c r="GY25" s="936"/>
      <c r="GZ25" s="936"/>
      <c r="HA25" s="936"/>
      <c r="HB25" s="936"/>
      <c r="HC25" s="936"/>
      <c r="HD25" s="936"/>
      <c r="HE25" s="936"/>
      <c r="HF25" s="936"/>
      <c r="HG25" s="936"/>
      <c r="HH25" s="936"/>
      <c r="HI25" s="936"/>
      <c r="HJ25" s="936"/>
      <c r="HK25" s="936"/>
      <c r="HL25" s="936"/>
      <c r="HM25" s="936"/>
      <c r="HN25" s="936"/>
      <c r="HO25" s="936"/>
      <c r="HP25" s="936"/>
      <c r="HQ25" s="936"/>
      <c r="HR25" s="936"/>
      <c r="HS25" s="936"/>
      <c r="HT25" s="936"/>
      <c r="HU25" s="936"/>
      <c r="HV25" s="936"/>
      <c r="HW25" s="936"/>
      <c r="HX25" s="936"/>
      <c r="HY25" s="936"/>
      <c r="HZ25" s="936"/>
      <c r="IA25" s="936"/>
      <c r="IB25" s="936"/>
      <c r="IC25" s="936"/>
      <c r="ID25" s="936"/>
      <c r="IE25" s="936"/>
      <c r="IF25" s="936"/>
      <c r="IG25" s="936"/>
      <c r="IH25" s="936"/>
      <c r="II25" s="936"/>
      <c r="IJ25" s="936"/>
      <c r="IK25" s="936"/>
      <c r="IL25" s="936"/>
      <c r="IM25" s="936"/>
      <c r="IN25" s="936"/>
      <c r="IO25" s="936"/>
      <c r="IP25" s="936"/>
      <c r="IQ25" s="936"/>
      <c r="IR25" s="936"/>
      <c r="IS25" s="936"/>
      <c r="IT25" s="936"/>
      <c r="IU25" s="936"/>
      <c r="IV25" s="936"/>
      <c r="IW25" s="936"/>
    </row>
    <row r="26" customFormat="false" ht="12.75" hidden="false" customHeight="false" outlineLevel="0" collapsed="false">
      <c r="A26" s="923"/>
      <c r="B26" s="924"/>
      <c r="C26" s="924"/>
      <c r="D26" s="925"/>
      <c r="E26" s="926"/>
      <c r="F26" s="926"/>
      <c r="G26" s="926"/>
      <c r="H26" s="926"/>
      <c r="I26" s="926"/>
      <c r="J26" s="926"/>
      <c r="K26" s="926"/>
      <c r="L26" s="926"/>
      <c r="M26" s="926"/>
      <c r="N26" s="926"/>
      <c r="O26" s="926"/>
      <c r="P26" s="926"/>
      <c r="Q26" s="926"/>
      <c r="R26" s="926"/>
      <c r="S26" s="926"/>
      <c r="T26" s="926"/>
      <c r="U26" s="926"/>
      <c r="V26" s="926"/>
      <c r="W26" s="926"/>
      <c r="X26" s="926"/>
      <c r="Y26" s="926"/>
      <c r="Z26" s="911"/>
      <c r="AA26" s="911"/>
      <c r="AB26" s="911"/>
      <c r="AC26" s="911"/>
      <c r="AD26" s="927"/>
      <c r="AE26" s="907"/>
      <c r="AF26" s="911"/>
      <c r="AG26" s="911"/>
      <c r="AH26" s="911"/>
      <c r="AI26" s="911"/>
      <c r="AJ26" s="911"/>
      <c r="AK26" s="911"/>
      <c r="AL26" s="911"/>
      <c r="AM26" s="911"/>
      <c r="AN26" s="911"/>
      <c r="AO26" s="911"/>
      <c r="AP26" s="911"/>
      <c r="AQ26" s="911"/>
      <c r="AR26" s="911"/>
      <c r="AS26" s="911"/>
      <c r="AT26" s="911"/>
      <c r="AU26" s="911"/>
      <c r="AV26" s="911"/>
      <c r="AW26" s="911"/>
      <c r="AX26" s="911"/>
      <c r="AY26" s="911"/>
      <c r="AZ26" s="911"/>
      <c r="BA26" s="911"/>
      <c r="BB26" s="911"/>
      <c r="BC26" s="911"/>
      <c r="BD26" s="911"/>
      <c r="BE26" s="911"/>
      <c r="BF26" s="911"/>
      <c r="BG26" s="911"/>
      <c r="BH26" s="911"/>
      <c r="BI26" s="911"/>
      <c r="BJ26" s="911"/>
      <c r="BK26" s="911"/>
      <c r="BL26" s="911"/>
      <c r="BM26" s="911"/>
      <c r="BN26" s="911"/>
      <c r="BO26" s="911"/>
      <c r="BP26" s="911"/>
      <c r="BQ26" s="911"/>
      <c r="BR26" s="911"/>
      <c r="BS26" s="911"/>
      <c r="BT26" s="911"/>
      <c r="BU26" s="911"/>
      <c r="BV26" s="911"/>
      <c r="BW26" s="911"/>
      <c r="BX26" s="911"/>
      <c r="BY26" s="911"/>
      <c r="BZ26" s="911"/>
      <c r="CA26" s="911"/>
      <c r="CB26" s="911"/>
      <c r="CC26" s="911"/>
      <c r="CD26" s="911"/>
      <c r="CE26" s="911"/>
      <c r="CF26" s="911"/>
      <c r="CG26" s="911"/>
      <c r="CH26" s="911"/>
      <c r="CI26" s="911"/>
      <c r="CJ26" s="911"/>
      <c r="CK26" s="911"/>
      <c r="CL26" s="911"/>
      <c r="CM26" s="911"/>
      <c r="CN26" s="911"/>
      <c r="CO26" s="911"/>
      <c r="CP26" s="911"/>
      <c r="CQ26" s="911"/>
      <c r="CR26" s="911"/>
      <c r="CS26" s="911"/>
      <c r="CT26" s="911"/>
      <c r="CU26" s="911"/>
      <c r="CV26" s="911"/>
      <c r="CW26" s="911"/>
      <c r="CX26" s="911"/>
      <c r="CY26" s="911"/>
      <c r="CZ26" s="911"/>
      <c r="DA26" s="911"/>
      <c r="DB26" s="911"/>
      <c r="DC26" s="911"/>
      <c r="DD26" s="911"/>
      <c r="DE26" s="911"/>
      <c r="DF26" s="911"/>
      <c r="DG26" s="911"/>
      <c r="DH26" s="911"/>
      <c r="DI26" s="911"/>
      <c r="DJ26" s="911"/>
      <c r="DK26" s="911"/>
      <c r="DL26" s="911"/>
      <c r="DM26" s="911"/>
      <c r="DN26" s="911"/>
      <c r="DO26" s="911"/>
      <c r="DP26" s="911"/>
      <c r="DQ26" s="911"/>
      <c r="DR26" s="911"/>
      <c r="DS26" s="911"/>
      <c r="DT26" s="911"/>
      <c r="DU26" s="911"/>
      <c r="DV26" s="911"/>
      <c r="DW26" s="911"/>
      <c r="DX26" s="911"/>
      <c r="DY26" s="911"/>
      <c r="DZ26" s="911"/>
      <c r="EA26" s="911"/>
      <c r="EB26" s="911"/>
      <c r="EC26" s="911"/>
      <c r="ED26" s="911"/>
      <c r="EE26" s="911"/>
      <c r="EF26" s="911"/>
      <c r="EG26" s="911"/>
      <c r="EH26" s="911"/>
      <c r="EI26" s="911"/>
      <c r="EJ26" s="911"/>
      <c r="EK26" s="911"/>
      <c r="EL26" s="911"/>
      <c r="EM26" s="911"/>
      <c r="EN26" s="911"/>
      <c r="EO26" s="911"/>
      <c r="EP26" s="911"/>
      <c r="EQ26" s="911"/>
      <c r="ER26" s="911"/>
      <c r="ES26" s="911"/>
      <c r="ET26" s="911"/>
      <c r="EU26" s="911"/>
      <c r="EV26" s="911"/>
      <c r="EW26" s="911"/>
      <c r="EX26" s="911"/>
      <c r="EY26" s="911"/>
      <c r="EZ26" s="911"/>
      <c r="FA26" s="911"/>
      <c r="FB26" s="911"/>
      <c r="FC26" s="911"/>
      <c r="FD26" s="911"/>
      <c r="FE26" s="911"/>
      <c r="FF26" s="911"/>
      <c r="FG26" s="911"/>
      <c r="FH26" s="911"/>
      <c r="FI26" s="911"/>
      <c r="FJ26" s="911"/>
      <c r="FK26" s="911"/>
      <c r="FL26" s="911"/>
      <c r="FM26" s="911"/>
      <c r="FN26" s="911"/>
      <c r="FO26" s="911"/>
      <c r="FP26" s="911"/>
      <c r="FQ26" s="911"/>
      <c r="FR26" s="911"/>
      <c r="FS26" s="911"/>
      <c r="FT26" s="911"/>
      <c r="FU26" s="911"/>
      <c r="FV26" s="911"/>
      <c r="FW26" s="911"/>
      <c r="FX26" s="911"/>
      <c r="FY26" s="911"/>
      <c r="FZ26" s="911"/>
      <c r="GA26" s="911"/>
      <c r="GB26" s="911"/>
      <c r="GC26" s="911"/>
      <c r="GD26" s="911"/>
      <c r="GE26" s="911"/>
      <c r="GF26" s="911"/>
      <c r="GG26" s="911"/>
      <c r="GH26" s="911"/>
      <c r="GI26" s="911"/>
      <c r="GJ26" s="911"/>
      <c r="GK26" s="911"/>
      <c r="GL26" s="911"/>
      <c r="GM26" s="911"/>
      <c r="GN26" s="911"/>
      <c r="GO26" s="911"/>
      <c r="GP26" s="911"/>
      <c r="GQ26" s="911"/>
      <c r="GR26" s="911"/>
      <c r="GS26" s="911"/>
      <c r="GT26" s="911"/>
      <c r="GU26" s="911"/>
      <c r="GV26" s="911"/>
      <c r="GW26" s="911"/>
      <c r="GX26" s="911"/>
      <c r="GY26" s="911"/>
      <c r="GZ26" s="911"/>
      <c r="HA26" s="911"/>
      <c r="HB26" s="911"/>
      <c r="HC26" s="911"/>
      <c r="HD26" s="911"/>
      <c r="HE26" s="911"/>
      <c r="HF26" s="911"/>
      <c r="HG26" s="911"/>
      <c r="HH26" s="911"/>
      <c r="HI26" s="911"/>
      <c r="HJ26" s="911"/>
      <c r="HK26" s="911"/>
      <c r="HL26" s="911"/>
      <c r="HM26" s="911"/>
      <c r="HN26" s="911"/>
      <c r="HO26" s="911"/>
      <c r="HP26" s="911"/>
      <c r="HQ26" s="911"/>
      <c r="HR26" s="911"/>
      <c r="HS26" s="911"/>
      <c r="HT26" s="911"/>
      <c r="HU26" s="911"/>
      <c r="HV26" s="911"/>
      <c r="HW26" s="911"/>
      <c r="HX26" s="911"/>
      <c r="HY26" s="911"/>
      <c r="HZ26" s="911"/>
      <c r="IA26" s="911"/>
      <c r="IB26" s="911"/>
      <c r="IC26" s="911"/>
      <c r="ID26" s="911"/>
      <c r="IE26" s="911"/>
      <c r="IF26" s="911"/>
      <c r="IG26" s="911"/>
      <c r="IH26" s="911"/>
      <c r="II26" s="911"/>
      <c r="IJ26" s="911"/>
      <c r="IK26" s="911"/>
      <c r="IL26" s="911"/>
      <c r="IM26" s="911"/>
      <c r="IN26" s="911"/>
      <c r="IO26" s="911"/>
      <c r="IP26" s="911"/>
      <c r="IQ26" s="911"/>
      <c r="IR26" s="911"/>
      <c r="IS26" s="911"/>
      <c r="IT26" s="911"/>
      <c r="IU26" s="911"/>
      <c r="IV26" s="911"/>
      <c r="IW26" s="911"/>
    </row>
    <row r="27" customFormat="false" ht="13.5" hidden="false" customHeight="false" outlineLevel="0" collapsed="false">
      <c r="A27" s="937"/>
      <c r="B27" s="938"/>
      <c r="C27" s="938"/>
      <c r="D27" s="938"/>
      <c r="E27" s="938"/>
      <c r="F27" s="938"/>
      <c r="G27" s="938"/>
      <c r="H27" s="938"/>
      <c r="I27" s="938"/>
      <c r="J27" s="938"/>
      <c r="K27" s="938"/>
      <c r="L27" s="938"/>
      <c r="M27" s="938"/>
      <c r="N27" s="938"/>
      <c r="O27" s="938"/>
      <c r="P27" s="938"/>
      <c r="Q27" s="938"/>
      <c r="R27" s="938"/>
      <c r="S27" s="938"/>
      <c r="T27" s="938"/>
      <c r="U27" s="938"/>
      <c r="V27" s="938"/>
      <c r="W27" s="938"/>
      <c r="X27" s="938"/>
      <c r="Y27" s="938"/>
      <c r="Z27" s="938"/>
      <c r="AA27" s="938"/>
      <c r="AB27" s="912"/>
      <c r="AC27" s="911"/>
      <c r="AD27" s="939"/>
      <c r="AF27" s="912"/>
      <c r="AG27" s="912"/>
      <c r="AH27" s="912"/>
      <c r="AI27" s="912"/>
      <c r="AJ27" s="912"/>
      <c r="AK27" s="912"/>
      <c r="AL27" s="912"/>
      <c r="AM27" s="912"/>
      <c r="AN27" s="912"/>
      <c r="AO27" s="912"/>
      <c r="AP27" s="912"/>
      <c r="AQ27" s="912"/>
      <c r="AR27" s="912"/>
      <c r="AS27" s="912"/>
      <c r="AT27" s="912"/>
      <c r="AU27" s="912"/>
      <c r="AV27" s="912"/>
      <c r="AW27" s="912"/>
      <c r="AX27" s="912"/>
      <c r="AY27" s="912"/>
      <c r="AZ27" s="912"/>
      <c r="BA27" s="912"/>
      <c r="BB27" s="912"/>
      <c r="BC27" s="912"/>
      <c r="BD27" s="912"/>
      <c r="BE27" s="912"/>
      <c r="BF27" s="912"/>
      <c r="BG27" s="912"/>
      <c r="BH27" s="912"/>
      <c r="BI27" s="912"/>
      <c r="BJ27" s="912"/>
      <c r="BK27" s="912"/>
      <c r="BL27" s="912"/>
      <c r="BM27" s="912"/>
      <c r="BN27" s="912"/>
      <c r="BO27" s="912"/>
      <c r="BP27" s="912"/>
      <c r="BQ27" s="912"/>
      <c r="BR27" s="912"/>
      <c r="BS27" s="912"/>
      <c r="BT27" s="912"/>
      <c r="BU27" s="912"/>
      <c r="BV27" s="912"/>
      <c r="BW27" s="912"/>
      <c r="BX27" s="912"/>
      <c r="BY27" s="912"/>
      <c r="BZ27" s="912"/>
      <c r="CA27" s="912"/>
      <c r="CB27" s="912"/>
      <c r="CC27" s="912"/>
      <c r="CD27" s="912"/>
      <c r="CE27" s="912"/>
      <c r="CF27" s="912"/>
      <c r="CG27" s="912"/>
      <c r="CH27" s="912"/>
      <c r="CI27" s="912"/>
      <c r="CJ27" s="912"/>
      <c r="CK27" s="912"/>
      <c r="CL27" s="912"/>
      <c r="CM27" s="912"/>
      <c r="CN27" s="912"/>
      <c r="CO27" s="912"/>
      <c r="CP27" s="912"/>
      <c r="CQ27" s="912"/>
      <c r="CR27" s="912"/>
      <c r="CS27" s="912"/>
      <c r="CT27" s="912"/>
      <c r="CU27" s="912"/>
      <c r="CV27" s="912"/>
      <c r="CW27" s="912"/>
      <c r="CX27" s="912"/>
      <c r="CY27" s="912"/>
      <c r="CZ27" s="912"/>
      <c r="DA27" s="912"/>
      <c r="DB27" s="912"/>
      <c r="DC27" s="912"/>
      <c r="DD27" s="912"/>
      <c r="DE27" s="912"/>
      <c r="DF27" s="912"/>
      <c r="DG27" s="912"/>
      <c r="DH27" s="912"/>
      <c r="DI27" s="912"/>
      <c r="DJ27" s="912"/>
      <c r="DK27" s="912"/>
      <c r="DL27" s="912"/>
      <c r="DM27" s="912"/>
      <c r="DN27" s="912"/>
      <c r="DO27" s="912"/>
      <c r="DP27" s="912"/>
      <c r="DQ27" s="912"/>
      <c r="DR27" s="912"/>
      <c r="DS27" s="912"/>
      <c r="DT27" s="912"/>
      <c r="DU27" s="912"/>
      <c r="DV27" s="912"/>
      <c r="DW27" s="912"/>
      <c r="DX27" s="912"/>
      <c r="DY27" s="912"/>
      <c r="DZ27" s="912"/>
      <c r="EA27" s="912"/>
      <c r="EB27" s="912"/>
      <c r="EC27" s="912"/>
      <c r="ED27" s="912"/>
      <c r="EE27" s="912"/>
      <c r="EF27" s="912"/>
      <c r="EG27" s="912"/>
      <c r="EH27" s="912"/>
      <c r="EI27" s="912"/>
      <c r="EJ27" s="912"/>
      <c r="EK27" s="912"/>
      <c r="EL27" s="912"/>
      <c r="EM27" s="912"/>
      <c r="EN27" s="912"/>
      <c r="EO27" s="912"/>
      <c r="EP27" s="912"/>
      <c r="EQ27" s="912"/>
      <c r="ER27" s="912"/>
      <c r="ES27" s="912"/>
      <c r="ET27" s="912"/>
      <c r="EU27" s="912"/>
      <c r="EV27" s="912"/>
      <c r="EW27" s="912"/>
      <c r="EX27" s="912"/>
      <c r="EY27" s="912"/>
      <c r="EZ27" s="912"/>
      <c r="FA27" s="912"/>
      <c r="FB27" s="912"/>
      <c r="FC27" s="912"/>
      <c r="FD27" s="912"/>
      <c r="FE27" s="912"/>
      <c r="FF27" s="912"/>
      <c r="FG27" s="912"/>
      <c r="FH27" s="912"/>
      <c r="FI27" s="912"/>
      <c r="FJ27" s="912"/>
      <c r="FK27" s="912"/>
      <c r="FL27" s="912"/>
      <c r="FM27" s="912"/>
      <c r="FN27" s="912"/>
      <c r="FO27" s="912"/>
      <c r="FP27" s="912"/>
      <c r="FQ27" s="912"/>
      <c r="FR27" s="912"/>
      <c r="FS27" s="912"/>
      <c r="FT27" s="912"/>
      <c r="FU27" s="912"/>
      <c r="FV27" s="912"/>
      <c r="FW27" s="912"/>
      <c r="FX27" s="912"/>
      <c r="FY27" s="912"/>
      <c r="FZ27" s="912"/>
      <c r="GA27" s="912"/>
      <c r="GB27" s="912"/>
      <c r="GC27" s="912"/>
      <c r="GD27" s="912"/>
      <c r="GE27" s="912"/>
      <c r="GF27" s="912"/>
      <c r="GG27" s="912"/>
      <c r="GH27" s="912"/>
      <c r="GI27" s="912"/>
      <c r="GJ27" s="912"/>
      <c r="GK27" s="912"/>
      <c r="GL27" s="912"/>
      <c r="GM27" s="912"/>
      <c r="GN27" s="912"/>
      <c r="GO27" s="912"/>
      <c r="GP27" s="912"/>
      <c r="GQ27" s="912"/>
      <c r="GR27" s="912"/>
      <c r="GS27" s="912"/>
      <c r="GT27" s="912"/>
      <c r="GU27" s="912"/>
      <c r="GV27" s="912"/>
      <c r="GW27" s="912"/>
      <c r="GX27" s="912"/>
      <c r="GY27" s="912"/>
      <c r="GZ27" s="912"/>
      <c r="HA27" s="912"/>
      <c r="HB27" s="912"/>
      <c r="HC27" s="912"/>
      <c r="HD27" s="912"/>
      <c r="HE27" s="912"/>
      <c r="HF27" s="912"/>
      <c r="HG27" s="912"/>
      <c r="HH27" s="912"/>
      <c r="HI27" s="912"/>
      <c r="HJ27" s="912"/>
      <c r="HK27" s="912"/>
      <c r="HL27" s="912"/>
      <c r="HM27" s="912"/>
      <c r="HN27" s="912"/>
      <c r="HO27" s="912"/>
      <c r="HP27" s="912"/>
      <c r="HQ27" s="912"/>
      <c r="HR27" s="912"/>
      <c r="HS27" s="912"/>
      <c r="HT27" s="912"/>
      <c r="HU27" s="912"/>
      <c r="HV27" s="912"/>
      <c r="HW27" s="912"/>
      <c r="HX27" s="912"/>
      <c r="HY27" s="912"/>
      <c r="HZ27" s="912"/>
      <c r="IA27" s="912"/>
      <c r="IB27" s="912"/>
      <c r="IC27" s="912"/>
      <c r="ID27" s="912"/>
      <c r="IE27" s="912"/>
      <c r="IF27" s="912"/>
      <c r="IG27" s="912"/>
      <c r="IH27" s="912"/>
      <c r="II27" s="912"/>
      <c r="IJ27" s="912"/>
      <c r="IK27" s="912"/>
      <c r="IL27" s="912"/>
      <c r="IM27" s="912"/>
      <c r="IN27" s="912"/>
      <c r="IO27" s="912"/>
      <c r="IP27" s="912"/>
      <c r="IQ27" s="912"/>
      <c r="IR27" s="912"/>
      <c r="IS27" s="912"/>
      <c r="IT27" s="912"/>
      <c r="IU27" s="912"/>
      <c r="IV27" s="912"/>
      <c r="IW27" s="912"/>
    </row>
    <row r="28" customFormat="false" ht="12.75" hidden="false" customHeight="false" outlineLevel="0" collapsed="false">
      <c r="A28" s="580" t="s">
        <v>917</v>
      </c>
      <c r="B28" s="940"/>
      <c r="C28" s="941" t="str">
        <f aca="false">Assm!$T8</f>
        <v>Tranche 1: MLA - OPIC</v>
      </c>
      <c r="D28" s="941"/>
      <c r="E28" s="941"/>
      <c r="F28" s="941"/>
      <c r="G28" s="941" t="str">
        <f aca="false">Assm!$T17</f>
        <v>Tranche 2: KFW (Uncovered Loan)</v>
      </c>
      <c r="H28" s="941"/>
      <c r="I28" s="941"/>
      <c r="J28" s="941"/>
      <c r="K28" s="941" t="str">
        <f aca="false">Assm!$T26</f>
        <v>Tranche 3: </v>
      </c>
      <c r="L28" s="941"/>
      <c r="M28" s="941"/>
      <c r="N28" s="941"/>
      <c r="O28" s="941" t="str">
        <f aca="false">Assm!$T35</f>
        <v>Tranche 4:</v>
      </c>
      <c r="P28" s="941"/>
      <c r="Q28" s="941"/>
      <c r="R28" s="941"/>
      <c r="S28" s="941" t="str">
        <f aca="false">Assm!$T44</f>
        <v>Tranche 5:</v>
      </c>
      <c r="T28" s="941"/>
      <c r="U28" s="941"/>
      <c r="V28" s="941"/>
      <c r="W28" s="941" t="str">
        <f aca="false">Assm!$T53</f>
        <v>Tranche 6: Subordinated Debt</v>
      </c>
      <c r="X28" s="941"/>
      <c r="Y28" s="941"/>
      <c r="Z28" s="941"/>
      <c r="AA28" s="942"/>
      <c r="AB28" s="33"/>
      <c r="AC28" s="942"/>
      <c r="AD28" s="33"/>
      <c r="AE28" s="943"/>
    </row>
    <row r="29" customFormat="false" ht="12.75" hidden="false" customHeight="false" outlineLevel="0" collapsed="false">
      <c r="A29" s="308" t="s">
        <v>918</v>
      </c>
      <c r="B29" s="834"/>
      <c r="C29" s="826" t="s">
        <v>61</v>
      </c>
      <c r="D29" s="39"/>
      <c r="F29" s="833" t="n">
        <f aca="false">Assm!$X9</f>
        <v>93710.4555092785</v>
      </c>
      <c r="G29" s="826" t="s">
        <v>61</v>
      </c>
      <c r="H29" s="39"/>
      <c r="J29" s="833" t="n">
        <f aca="false">Assm!$X18</f>
        <v>0</v>
      </c>
      <c r="K29" s="826" t="s">
        <v>61</v>
      </c>
      <c r="L29" s="39"/>
      <c r="N29" s="944" t="n">
        <f aca="false">Assm!$X27</f>
        <v>0</v>
      </c>
      <c r="O29" s="826" t="s">
        <v>61</v>
      </c>
      <c r="P29" s="39"/>
      <c r="R29" s="944" t="n">
        <f aca="false">Assm!$X36</f>
        <v>0</v>
      </c>
      <c r="S29" s="826" t="s">
        <v>61</v>
      </c>
      <c r="T29" s="39"/>
      <c r="V29" s="944" t="n">
        <f aca="false">Assm!$X45</f>
        <v>0</v>
      </c>
      <c r="W29" s="826" t="s">
        <v>61</v>
      </c>
      <c r="X29" s="39"/>
      <c r="Z29" s="833" t="n">
        <f aca="false">Assm!$X54</f>
        <v>2473.63699618568</v>
      </c>
      <c r="AA29" s="826"/>
      <c r="AB29" s="44"/>
      <c r="AC29" s="826"/>
      <c r="AD29" s="44"/>
      <c r="AE29" s="945"/>
    </row>
    <row r="30" customFormat="false" ht="12.75" hidden="false" customHeight="false" outlineLevel="0" collapsed="false">
      <c r="A30" s="37"/>
      <c r="B30" s="834"/>
      <c r="C30" s="826" t="s">
        <v>919</v>
      </c>
      <c r="D30" s="39"/>
      <c r="F30" s="946" t="n">
        <f aca="false">Assm!$U11</f>
        <v>15</v>
      </c>
      <c r="G30" s="826" t="s">
        <v>919</v>
      </c>
      <c r="H30" s="39"/>
      <c r="J30" s="946" t="n">
        <f aca="false">Assm!$U20</f>
        <v>0</v>
      </c>
      <c r="K30" s="826" t="s">
        <v>919</v>
      </c>
      <c r="L30" s="39"/>
      <c r="N30" s="946" t="n">
        <f aca="false">Assm!$U29</f>
        <v>0</v>
      </c>
      <c r="O30" s="826" t="s">
        <v>919</v>
      </c>
      <c r="P30" s="39"/>
      <c r="R30" s="946" t="n">
        <f aca="false">Assm!$U38</f>
        <v>0</v>
      </c>
      <c r="S30" s="826" t="s">
        <v>919</v>
      </c>
      <c r="T30" s="39"/>
      <c r="V30" s="946" t="n">
        <f aca="false">Assm!$U47</f>
        <v>0</v>
      </c>
      <c r="W30" s="826" t="s">
        <v>919</v>
      </c>
      <c r="X30" s="39"/>
      <c r="Z30" s="946" t="n">
        <f aca="false">Assm!$U56</f>
        <v>12</v>
      </c>
      <c r="AA30" s="826"/>
      <c r="AB30" s="44"/>
      <c r="AC30" s="826"/>
      <c r="AD30" s="44"/>
      <c r="AE30" s="945"/>
    </row>
    <row r="31" customFormat="false" ht="12.75" hidden="false" customHeight="false" outlineLevel="0" collapsed="false">
      <c r="A31" s="37"/>
      <c r="B31" s="834"/>
      <c r="C31" s="826" t="s">
        <v>920</v>
      </c>
      <c r="D31" s="39"/>
      <c r="F31" s="946" t="n">
        <f aca="false">Assm!$X11</f>
        <v>29</v>
      </c>
      <c r="G31" s="826" t="s">
        <v>920</v>
      </c>
      <c r="H31" s="39"/>
      <c r="I31" s="39"/>
      <c r="J31" s="946" t="n">
        <f aca="false">Assm!$X20</f>
        <v>0</v>
      </c>
      <c r="K31" s="826" t="s">
        <v>920</v>
      </c>
      <c r="L31" s="39"/>
      <c r="M31" s="947"/>
      <c r="N31" s="946" t="n">
        <f aca="false">Assm!$X29</f>
        <v>0</v>
      </c>
      <c r="O31" s="826" t="s">
        <v>920</v>
      </c>
      <c r="P31" s="39"/>
      <c r="Q31" s="947"/>
      <c r="R31" s="946" t="n">
        <f aca="false">Assm!$X38</f>
        <v>0</v>
      </c>
      <c r="S31" s="826" t="s">
        <v>920</v>
      </c>
      <c r="T31" s="39"/>
      <c r="U31" s="947"/>
      <c r="V31" s="946" t="n">
        <f aca="false">Assm!$X47</f>
        <v>0</v>
      </c>
      <c r="W31" s="826" t="s">
        <v>920</v>
      </c>
      <c r="X31" s="39"/>
      <c r="Y31" s="947"/>
      <c r="Z31" s="946" t="n">
        <f aca="false">Assm!$X56</f>
        <v>23</v>
      </c>
      <c r="AA31" s="826"/>
      <c r="AB31" s="44"/>
      <c r="AC31" s="826"/>
      <c r="AD31" s="44"/>
      <c r="AE31" s="945"/>
    </row>
    <row r="32" customFormat="false" ht="13.5" hidden="false" customHeight="false" outlineLevel="0" collapsed="false">
      <c r="A32" s="37"/>
      <c r="B32" s="834"/>
      <c r="C32" s="826" t="s">
        <v>306</v>
      </c>
      <c r="D32" s="39"/>
      <c r="F32" s="948" t="n">
        <f aca="false">Assm!$X14</f>
        <v>0.1101</v>
      </c>
      <c r="G32" s="826" t="s">
        <v>306</v>
      </c>
      <c r="H32" s="39"/>
      <c r="J32" s="948" t="n">
        <f aca="false">Assm!$X23</f>
        <v>0.0927</v>
      </c>
      <c r="K32" s="826" t="s">
        <v>306</v>
      </c>
      <c r="L32" s="39"/>
      <c r="N32" s="948" t="n">
        <f aca="false">Assm!$X32</f>
        <v>0</v>
      </c>
      <c r="O32" s="826" t="s">
        <v>306</v>
      </c>
      <c r="P32" s="39"/>
      <c r="R32" s="948" t="n">
        <f aca="false">Assm!$X41</f>
        <v>0</v>
      </c>
      <c r="S32" s="826" t="s">
        <v>306</v>
      </c>
      <c r="T32" s="39"/>
      <c r="V32" s="948" t="n">
        <f aca="false">Assm!$X50</f>
        <v>0</v>
      </c>
      <c r="W32" s="826" t="s">
        <v>306</v>
      </c>
      <c r="X32" s="39"/>
      <c r="Z32" s="948" t="n">
        <f aca="false">Assm!$X59</f>
        <v>0.13</v>
      </c>
      <c r="AA32" s="826"/>
      <c r="AB32" s="44"/>
      <c r="AC32" s="826"/>
      <c r="AD32" s="44"/>
      <c r="AE32" s="945"/>
    </row>
    <row r="33" customFormat="false" ht="12.75" hidden="false" customHeight="false" outlineLevel="0" collapsed="false">
      <c r="A33" s="37"/>
      <c r="B33" s="834"/>
      <c r="C33" s="826" t="s">
        <v>921</v>
      </c>
      <c r="D33" s="39"/>
      <c r="F33" s="946" t="n">
        <f aca="false">Assm!$X12</f>
        <v>1</v>
      </c>
      <c r="G33" s="826" t="s">
        <v>921</v>
      </c>
      <c r="H33" s="39"/>
      <c r="J33" s="949" t="n">
        <f aca="false">Assm!$X21</f>
        <v>1</v>
      </c>
      <c r="K33" s="826" t="s">
        <v>921</v>
      </c>
      <c r="L33" s="39"/>
      <c r="M33" s="947" t="n">
        <f aca="false">Assm!$X30</f>
        <v>0</v>
      </c>
      <c r="N33" s="834" t="s">
        <v>922</v>
      </c>
      <c r="O33" s="826" t="s">
        <v>921</v>
      </c>
      <c r="P33" s="39"/>
      <c r="R33" s="946" t="n">
        <f aca="false">Assm!$X39</f>
        <v>0</v>
      </c>
      <c r="S33" s="826" t="s">
        <v>921</v>
      </c>
      <c r="T33" s="39"/>
      <c r="V33" s="946" t="n">
        <f aca="false">Assm!$X48</f>
        <v>0</v>
      </c>
      <c r="W33" s="826" t="s">
        <v>921</v>
      </c>
      <c r="X33" s="39"/>
      <c r="Z33" s="946" t="n">
        <f aca="false">Assm!$X57</f>
        <v>1</v>
      </c>
      <c r="AA33" s="826"/>
      <c r="AB33" s="44"/>
      <c r="AC33" s="826"/>
      <c r="AD33" s="44"/>
      <c r="AE33" s="945"/>
      <c r="AG33" s="950" t="s">
        <v>923</v>
      </c>
      <c r="AH33" s="950"/>
      <c r="AI33" s="950"/>
      <c r="AJ33" s="950"/>
      <c r="AK33" s="950"/>
      <c r="AL33" s="950"/>
      <c r="AM33" s="950"/>
      <c r="AN33" s="950"/>
      <c r="AO33" s="950"/>
      <c r="AP33" s="950"/>
      <c r="AQ33" s="950"/>
      <c r="AR33" s="950"/>
    </row>
    <row r="34" customFormat="false" ht="12.75" hidden="false" customHeight="false" outlineLevel="0" collapsed="false">
      <c r="A34" s="37"/>
      <c r="B34" s="834"/>
      <c r="C34" s="826" t="str">
        <f aca="false">IF(F34=0,"NOT AMORTIZED",CHOOSE(F34,"STRAIGHT LINE AMORTIZATION","MORTGAGE STYLE AMORTIZATION","CUSTOM AMORTIATION"))</f>
        <v>CUSTOM AMORTIATION</v>
      </c>
      <c r="D34" s="39"/>
      <c r="E34" s="39"/>
      <c r="F34" s="951" t="n">
        <f aca="false">Assm!$X10</f>
        <v>3</v>
      </c>
      <c r="G34" s="826" t="str">
        <f aca="false">IF(J34=0,"NOT AMORTIZED",CHOOSE(J34,"STRAIGHT LINE AMORTIZATION","MORTGAGE STYLE AMORTIZATION","CUSTOM AMORTIATION"))</f>
        <v>MORTGAGE STYLE AMORTIZATION</v>
      </c>
      <c r="H34" s="39"/>
      <c r="I34" s="39"/>
      <c r="J34" s="951" t="n">
        <f aca="false">Assm!$X19</f>
        <v>2</v>
      </c>
      <c r="K34" s="826" t="str">
        <f aca="false">IF(N34=0,"NOT AMORTIZED",CHOOSE(N34,"STRAIGHT LINE AMORTIZATION","MORTGAGE STYLE AMORTIZATION","CUSTOM AMORTIATION"))</f>
        <v>NOT AMORTIZED</v>
      </c>
      <c r="L34" s="39"/>
      <c r="M34" s="39"/>
      <c r="N34" s="951" t="n">
        <f aca="false">Assm!$X28</f>
        <v>0</v>
      </c>
      <c r="O34" s="826" t="str">
        <f aca="false">IF(R34=0,"NOT AMORTIZED",CHOOSE(R34,"STRAIGHT LINE AMORTIZATION","MORTGAGE STYLE AMORTIZATION","CUSTOM AMORTIATION"))</f>
        <v>NOT AMORTIZED</v>
      </c>
      <c r="P34" s="39"/>
      <c r="Q34" s="39"/>
      <c r="R34" s="951" t="n">
        <f aca="false">Assm!$X37</f>
        <v>0</v>
      </c>
      <c r="S34" s="826" t="str">
        <f aca="false">IF(V34=0,"NOT AMORTIZED",CHOOSE(V34,"STRAIGHT LINE AMORTIZATION","MORTGAGE STYLE AMORTIZATION","CUSTOM AMORTIATION"))</f>
        <v>NOT AMORTIZED</v>
      </c>
      <c r="T34" s="39"/>
      <c r="U34" s="39"/>
      <c r="V34" s="951" t="n">
        <f aca="false">Assm!$X46</f>
        <v>0</v>
      </c>
      <c r="W34" s="826" t="str">
        <f aca="false">IF(Z34=0,"NOT AMORTIZED",CHOOSE(Z34,"STRAIGHT LINE AMORTIZATION","MORTGAGE STYLE AMORTIZATION","CUSTOM AMORTIATION"))</f>
        <v>MORTGAGE STYLE AMORTIZATION</v>
      </c>
      <c r="X34" s="39"/>
      <c r="Y34" s="39"/>
      <c r="Z34" s="951" t="n">
        <f aca="false">Assm!$X55</f>
        <v>2</v>
      </c>
      <c r="AA34" s="952" t="s">
        <v>41</v>
      </c>
      <c r="AB34" s="953" t="s">
        <v>41</v>
      </c>
      <c r="AC34" s="952" t="s">
        <v>41</v>
      </c>
      <c r="AD34" s="953" t="s">
        <v>41</v>
      </c>
      <c r="AE34" s="945"/>
      <c r="AG34" s="37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4"/>
    </row>
    <row r="35" customFormat="false" ht="12.75" hidden="false" customHeight="false" outlineLevel="0" collapsed="false">
      <c r="A35" s="37"/>
      <c r="B35" s="834"/>
      <c r="C35" s="826"/>
      <c r="D35" s="39"/>
      <c r="E35" s="39"/>
      <c r="F35" s="834"/>
      <c r="G35" s="826"/>
      <c r="H35" s="39"/>
      <c r="I35" s="39"/>
      <c r="J35" s="834"/>
      <c r="K35" s="826"/>
      <c r="L35" s="39"/>
      <c r="M35" s="39"/>
      <c r="N35" s="834"/>
      <c r="O35" s="826"/>
      <c r="P35" s="39"/>
      <c r="Q35" s="39"/>
      <c r="R35" s="834"/>
      <c r="S35" s="826"/>
      <c r="T35" s="39"/>
      <c r="U35" s="39"/>
      <c r="V35" s="834"/>
      <c r="W35" s="826"/>
      <c r="X35" s="39"/>
      <c r="Y35" s="39"/>
      <c r="Z35" s="834"/>
      <c r="AA35" s="952" t="s">
        <v>924</v>
      </c>
      <c r="AB35" s="953" t="s">
        <v>924</v>
      </c>
      <c r="AC35" s="952" t="s">
        <v>925</v>
      </c>
      <c r="AD35" s="953" t="s">
        <v>925</v>
      </c>
      <c r="AE35" s="945" t="s">
        <v>926</v>
      </c>
      <c r="AG35" s="954" t="s">
        <v>927</v>
      </c>
      <c r="AH35" s="955" t="s">
        <v>928</v>
      </c>
      <c r="AI35" s="956" t="s">
        <v>929</v>
      </c>
      <c r="AJ35" s="957" t="s">
        <v>928</v>
      </c>
      <c r="AK35" s="956" t="s">
        <v>930</v>
      </c>
      <c r="AL35" s="957" t="s">
        <v>928</v>
      </c>
      <c r="AM35" s="956" t="s">
        <v>931</v>
      </c>
      <c r="AN35" s="957" t="s">
        <v>928</v>
      </c>
      <c r="AO35" s="956" t="s">
        <v>932</v>
      </c>
      <c r="AP35" s="957" t="s">
        <v>928</v>
      </c>
      <c r="AQ35" s="956" t="s">
        <v>933</v>
      </c>
      <c r="AR35" s="958" t="s">
        <v>928</v>
      </c>
    </row>
    <row r="36" customFormat="false" ht="12.75" hidden="false" customHeight="false" outlineLevel="0" collapsed="false">
      <c r="A36" s="959" t="s">
        <v>934</v>
      </c>
      <c r="B36" s="960" t="s">
        <v>935</v>
      </c>
      <c r="C36" s="961" t="s">
        <v>936</v>
      </c>
      <c r="D36" s="208" t="s">
        <v>937</v>
      </c>
      <c r="E36" s="208" t="s">
        <v>938</v>
      </c>
      <c r="F36" s="960" t="s">
        <v>939</v>
      </c>
      <c r="G36" s="961" t="s">
        <v>936</v>
      </c>
      <c r="H36" s="208" t="s">
        <v>937</v>
      </c>
      <c r="I36" s="208" t="s">
        <v>938</v>
      </c>
      <c r="J36" s="960" t="s">
        <v>939</v>
      </c>
      <c r="K36" s="961" t="s">
        <v>936</v>
      </c>
      <c r="L36" s="208" t="s">
        <v>937</v>
      </c>
      <c r="M36" s="208" t="s">
        <v>938</v>
      </c>
      <c r="N36" s="960" t="s">
        <v>939</v>
      </c>
      <c r="O36" s="961" t="s">
        <v>936</v>
      </c>
      <c r="P36" s="208" t="s">
        <v>937</v>
      </c>
      <c r="Q36" s="208" t="s">
        <v>938</v>
      </c>
      <c r="R36" s="960" t="s">
        <v>939</v>
      </c>
      <c r="S36" s="961" t="s">
        <v>936</v>
      </c>
      <c r="T36" s="208" t="s">
        <v>937</v>
      </c>
      <c r="U36" s="208" t="s">
        <v>938</v>
      </c>
      <c r="V36" s="960" t="s">
        <v>939</v>
      </c>
      <c r="W36" s="961" t="s">
        <v>936</v>
      </c>
      <c r="X36" s="208" t="s">
        <v>937</v>
      </c>
      <c r="Y36" s="208" t="s">
        <v>938</v>
      </c>
      <c r="Z36" s="960" t="s">
        <v>939</v>
      </c>
      <c r="AA36" s="961" t="s">
        <v>937</v>
      </c>
      <c r="AB36" s="962" t="s">
        <v>938</v>
      </c>
      <c r="AC36" s="961" t="s">
        <v>937</v>
      </c>
      <c r="AD36" s="962" t="s">
        <v>938</v>
      </c>
      <c r="AE36" s="945" t="s">
        <v>940</v>
      </c>
      <c r="AG36" s="963" t="s">
        <v>938</v>
      </c>
      <c r="AH36" s="960" t="s">
        <v>941</v>
      </c>
      <c r="AI36" s="964" t="s">
        <v>938</v>
      </c>
      <c r="AJ36" s="46" t="s">
        <v>941</v>
      </c>
      <c r="AK36" s="964" t="s">
        <v>938</v>
      </c>
      <c r="AL36" s="46" t="s">
        <v>941</v>
      </c>
      <c r="AM36" s="964" t="s">
        <v>938</v>
      </c>
      <c r="AN36" s="46" t="s">
        <v>941</v>
      </c>
      <c r="AO36" s="964" t="s">
        <v>938</v>
      </c>
      <c r="AP36" s="46" t="s">
        <v>941</v>
      </c>
      <c r="AQ36" s="964" t="s">
        <v>938</v>
      </c>
      <c r="AR36" s="124" t="s">
        <v>941</v>
      </c>
    </row>
    <row r="37" customFormat="false" ht="12.75" hidden="false" customHeight="false" outlineLevel="0" collapsed="false">
      <c r="A37" s="259" t="n">
        <f aca="false">YEAR(Startops2)</f>
        <v>2001</v>
      </c>
      <c r="B37" s="965" t="n">
        <f aca="false">IF(MONTH(Startops2)&gt;6,0,1)</f>
        <v>0</v>
      </c>
      <c r="C37" s="966" t="n">
        <f aca="false">F29</f>
        <v>93710.4555092785</v>
      </c>
      <c r="D37" s="967" t="n">
        <f aca="false">IF(MONTH(Startops2)&lt;=6,C37*F$32*(7-MONTH(Startops2))/12,0)</f>
        <v>0</v>
      </c>
      <c r="E37" s="648" t="n">
        <f aca="false">IF($B37&gt;=F$31,C37,IF(F$33&gt;=$B37,0,IF(C37&gt;1,CHOOSE(F$34,F$29/(F$31-F$33),-PMT(F$32/2,F$31-$B36,C37,0)-D37,F$29*$AH37),0)))*Assm!$X$90</f>
        <v>0</v>
      </c>
      <c r="F37" s="833" t="n">
        <f aca="false">C37-E37</f>
        <v>93710.4555092785</v>
      </c>
      <c r="G37" s="966" t="n">
        <f aca="false">J29</f>
        <v>0</v>
      </c>
      <c r="H37" s="967" t="n">
        <f aca="false">IF(MONTH(Startops2)&lt;=6,G37*J$32*(7-MONTH(Startops2))/12,0)</f>
        <v>0</v>
      </c>
      <c r="I37" s="648" t="n">
        <f aca="false">IF($B37&gt;=J$31,G37,IF(J$33&gt;=$B37,0,IF(G37&gt;1,CHOOSE(J$34,J$29/(J$31-J$33),-PMT(J$32/2,J$31-$B36,G37,0)-H37,J$29*$AJ37),0)))</f>
        <v>0</v>
      </c>
      <c r="J37" s="833" t="n">
        <f aca="false">G37-I37</f>
        <v>0</v>
      </c>
      <c r="K37" s="966" t="n">
        <f aca="false">N29</f>
        <v>0</v>
      </c>
      <c r="L37" s="967" t="n">
        <f aca="false">IF(MONTH(Startops2)&lt;=6,K37*N$32*(7-MONTH(Startops2))/12,0)</f>
        <v>0</v>
      </c>
      <c r="M37" s="648" t="n">
        <f aca="false">IF($B37&gt;=N$31,K37,IF(N$33&gt;=$B37,0,IF(K37&gt;1,CHOOSE(N$34,N$29/(N$31-N$33),-PMT(N$32/2,N$31-$B36,K37,0)-L37,N$29*$AL37),0)))</f>
        <v>0</v>
      </c>
      <c r="N37" s="833" t="n">
        <f aca="false">K37-M37</f>
        <v>0</v>
      </c>
      <c r="O37" s="966" t="n">
        <f aca="false">R29</f>
        <v>0</v>
      </c>
      <c r="P37" s="967" t="n">
        <f aca="false">IF(MONTH(Startops2)&lt;=6,O37*R$32*(7-MONTH(Startops2))/12,0)</f>
        <v>0</v>
      </c>
      <c r="Q37" s="648" t="n">
        <f aca="false">IF($B37&gt;=R$31,O37,IF(R$33&gt;=$B37,0,IF(O37&gt;1,CHOOSE(R$34,R$29/(R$31-R$33),-PMT(R$32/2,R$31-$B36,O37,0)-P37,R$29*$AN37),0)))</f>
        <v>0</v>
      </c>
      <c r="R37" s="833" t="n">
        <f aca="false">O37-Q37</f>
        <v>0</v>
      </c>
      <c r="S37" s="966" t="n">
        <f aca="false">V29</f>
        <v>0</v>
      </c>
      <c r="T37" s="967" t="n">
        <f aca="false">IF(MONTH(Startops2)&lt;=6,S37*V$32*(7-MONTH(Startops2))/12,0)</f>
        <v>0</v>
      </c>
      <c r="U37" s="648" t="n">
        <f aca="false">IF($B37&gt;=V$31,S37,IF(V$33&gt;=$B37,0,IF(S37&gt;1,CHOOSE(V$34,V$29/(V$31-V$33),-PMT(V$32/2,V$31-$B36,S37,0)-T37,V$29*$AP37),0)))</f>
        <v>0</v>
      </c>
      <c r="V37" s="833" t="n">
        <f aca="false">S37-U37</f>
        <v>0</v>
      </c>
      <c r="W37" s="966" t="n">
        <f aca="false">Z29</f>
        <v>2473.63699618568</v>
      </c>
      <c r="X37" s="967" t="n">
        <f aca="false">IF(MONTH(Startops2)&lt;=6,W37*Z$32*(7-MONTH(Startops2))/12,0)</f>
        <v>0</v>
      </c>
      <c r="Y37" s="648" t="n">
        <f aca="false">IF($B37&gt;=Z$31,W37,IF(Z$33&gt;=$B37,0,IF(W37&gt;1,CHOOSE(Z$34,Z$29/(Z$31-Z$33),-PMT(Z$32/2,Z$31-$B36,W37,0)-X37,Z$29*$AR37),0)))</f>
        <v>0</v>
      </c>
      <c r="Z37" s="833" t="n">
        <f aca="false">W37-Y37</f>
        <v>2473.63699618568</v>
      </c>
      <c r="AA37" s="61"/>
      <c r="AB37" s="64"/>
      <c r="AC37" s="61"/>
      <c r="AD37" s="64"/>
      <c r="AE37" s="945"/>
      <c r="AG37" s="968" t="n">
        <v>0</v>
      </c>
      <c r="AH37" s="89" t="n">
        <f aca="false">IF(AG$77=0,0,AG37/AG$77)</f>
        <v>0</v>
      </c>
      <c r="AI37" s="969" t="n">
        <v>0</v>
      </c>
      <c r="AJ37" s="95" t="n">
        <f aca="false">IF(AI$77=0,0,AI37/AI$77)</f>
        <v>0</v>
      </c>
      <c r="AK37" s="969" t="n">
        <v>0</v>
      </c>
      <c r="AL37" s="95" t="n">
        <f aca="false">IF(AK$77=0,0,AK37/AK$77)</f>
        <v>0</v>
      </c>
      <c r="AM37" s="969" t="n">
        <v>0</v>
      </c>
      <c r="AN37" s="95" t="n">
        <f aca="false">IF(AM$77=0,0,AM37/AM$77)</f>
        <v>0</v>
      </c>
      <c r="AO37" s="969" t="n">
        <v>0</v>
      </c>
      <c r="AP37" s="95" t="n">
        <f aca="false">IF(AO$77=0,0,AO37/AO$77)</f>
        <v>0</v>
      </c>
      <c r="AQ37" s="969" t="n">
        <v>0</v>
      </c>
      <c r="AR37" s="89" t="n">
        <f aca="false">IF(AQ$77=0,0,AQ37/AQ$77)</f>
        <v>0</v>
      </c>
    </row>
    <row r="38" customFormat="false" ht="12.75" hidden="false" customHeight="false" outlineLevel="0" collapsed="false">
      <c r="A38" s="970" t="n">
        <f aca="false">A37</f>
        <v>2001</v>
      </c>
      <c r="B38" s="971" t="n">
        <f aca="false">B37+1</f>
        <v>1</v>
      </c>
      <c r="C38" s="972" t="n">
        <f aca="false">F37</f>
        <v>93710.4555092785</v>
      </c>
      <c r="D38" s="973" t="n">
        <f aca="false">IF(MONTH(Startops2)&gt;6,C38*F$32*(13-MONTH(Startops2))/12,C38*F$32*0.5)</f>
        <v>4298.96714648815</v>
      </c>
      <c r="E38" s="692" t="n">
        <f aca="false">IF($B38&gt;=F$31,C38,IF(F$33&gt;=$B38,0,IF(C38&gt;1,CHOOSE(F$34,F$29/(F$31-F$33),-PMT(F$32/2,F$31-$B37,C38,0)-D38,F$29*$AH38),0)))*Assm!$X$90</f>
        <v>0</v>
      </c>
      <c r="F38" s="974" t="n">
        <f aca="false">C38-E38</f>
        <v>93710.4555092785</v>
      </c>
      <c r="G38" s="972" t="n">
        <f aca="false">J37</f>
        <v>0</v>
      </c>
      <c r="H38" s="973" t="n">
        <f aca="false">IF(MONTH(Startops2)&gt;6,G38*J$32*(13-MONTH(Startops2))/12,G38*J$32*0.5)</f>
        <v>0</v>
      </c>
      <c r="I38" s="625" t="n">
        <f aca="false">IF($B38&gt;=J$31,G38,IF(J$33&gt;=$B38,0,IF(G38&gt;1,CHOOSE(J$34,J$29/(J$31-J$33),-PMT(J$32/2,J$31-$B37,G38,0)-H38,J$29*$AJ38),0)))</f>
        <v>0</v>
      </c>
      <c r="J38" s="974" t="n">
        <f aca="false">G38-I38</f>
        <v>0</v>
      </c>
      <c r="K38" s="972" t="n">
        <f aca="false">N37</f>
        <v>0</v>
      </c>
      <c r="L38" s="973" t="n">
        <f aca="false">IF(MONTH(Startops2)&gt;6,K38*N$32*(13-MONTH(Startops2))/12,K38*N$32*0.5)</f>
        <v>0</v>
      </c>
      <c r="M38" s="625" t="n">
        <f aca="false">IF($B38&gt;=N$31,K38,IF(N$33&gt;=$B38,0,IF(K38&gt;1,CHOOSE(N$34,N$29/(N$31-N$33),-PMT(N$32/2,N$31-$B37,K38,0)-L38,N$29*$AL38),0)))</f>
        <v>0</v>
      </c>
      <c r="N38" s="974" t="n">
        <f aca="false">K38-M38</f>
        <v>0</v>
      </c>
      <c r="O38" s="972" t="n">
        <f aca="false">R37</f>
        <v>0</v>
      </c>
      <c r="P38" s="973" t="n">
        <f aca="false">IF(MONTH(Startops2)&gt;6,O38*R$32*(13-MONTH(Startops2))/12,O38*R$32*0.5)</f>
        <v>0</v>
      </c>
      <c r="Q38" s="625" t="n">
        <f aca="false">IF($B38&gt;=R$31,O38,IF(R$33&gt;=$B38,0,IF(O38&gt;1,CHOOSE(R$34,R$29/(R$31-R$33),-PMT(R$32/2,R$31-$B37,O38,0)-P38,R$29*$AN38),0)))</f>
        <v>0</v>
      </c>
      <c r="R38" s="974" t="n">
        <f aca="false">O38-Q38</f>
        <v>0</v>
      </c>
      <c r="S38" s="972" t="n">
        <f aca="false">V37</f>
        <v>0</v>
      </c>
      <c r="T38" s="973" t="n">
        <f aca="false">IF(MONTH(Startops2)&gt;6,S38*V$32*(13-MONTH(Startops2))/12,S38*V$32*0.5)</f>
        <v>0</v>
      </c>
      <c r="U38" s="625" t="n">
        <f aca="false">IF($B38&gt;=V$31,S38,IF(V$33&gt;=$B38,0,IF(S38&gt;1,CHOOSE(V$34,V$29/(V$31-V$33),-PMT(V$32/2,V$31-$B37,S38,0)-T38,V$29*$AP38),0)))</f>
        <v>0</v>
      </c>
      <c r="V38" s="974" t="n">
        <f aca="false">S38-U38</f>
        <v>0</v>
      </c>
      <c r="W38" s="972" t="n">
        <f aca="false">Z37</f>
        <v>2473.63699618568</v>
      </c>
      <c r="X38" s="973" t="n">
        <f aca="false">IF(MONTH(Startops2)&gt;6,W38*Z$32*(13-MONTH(Startops2))/12,W38*Z$32*0.5)</f>
        <v>133.988670626725</v>
      </c>
      <c r="Y38" s="625" t="n">
        <f aca="false">IF($B38&gt;=Z$31,W38,IF(Z$33&gt;=$B38,0,IF(W38&gt;1,CHOOSE(Z$34,Z$29/(Z$31-Z$33),-PMT(Z$32/2,Z$31-$B37,W38,0)-X38,Z$29*$AR38),0)))</f>
        <v>0</v>
      </c>
      <c r="Z38" s="974" t="n">
        <f aca="false">W38-Y38</f>
        <v>2473.63699618568</v>
      </c>
      <c r="AA38" s="625" t="n">
        <f aca="false">SUM(D37:D38,H37:H38,L37:L38,P37:P38,T37:T38)</f>
        <v>4298.96714648815</v>
      </c>
      <c r="AB38" s="975" t="n">
        <f aca="false">SUM(E37:E38,I37:I38,M37:M38,Q37:Q38,U37:U38)</f>
        <v>0</v>
      </c>
      <c r="AC38" s="625" t="n">
        <f aca="false">SUM(X37:X38)</f>
        <v>133.988670626725</v>
      </c>
      <c r="AD38" s="975" t="n">
        <f aca="false">SUM(Y37:Y38)</f>
        <v>0</v>
      </c>
      <c r="AE38" s="976" t="n">
        <f aca="false">(C37+W37)*IF([1]RAROC!$B$103=1,VLOOKUP(A38,[2]!Guar_Fee_Table,2),IF([1]RAROC!$B$103=2,VLOOKUP(A38,[2]!Guar_Fee_Table,3),IF([1]RAROC!$B$103=3,VLOOKUP(A38,[2]!Guar_Fee_Table,4))))*((13-MONTH(Startops2))/12)</f>
        <v>1603.0682084244</v>
      </c>
      <c r="AG38" s="968" t="n">
        <f aca="false">3556.85714285714-450</f>
        <v>3106.85714285714</v>
      </c>
      <c r="AH38" s="89" t="n">
        <f aca="false">IF(AG$77=0,0,AG38/AG$77)</f>
        <v>0.0155342857142857</v>
      </c>
      <c r="AI38" s="969" t="n">
        <v>0</v>
      </c>
      <c r="AJ38" s="95" t="n">
        <f aca="false">IF(AI$77=0,0,AI38/AI$77)</f>
        <v>0</v>
      </c>
      <c r="AK38" s="969" t="n">
        <v>0</v>
      </c>
      <c r="AL38" s="95" t="n">
        <f aca="false">IF(AK$77=0,0,AK38/AK$77)</f>
        <v>0</v>
      </c>
      <c r="AM38" s="969" t="n">
        <v>0</v>
      </c>
      <c r="AN38" s="95" t="n">
        <f aca="false">IF(AM$77=0,0,AM38/AM$77)</f>
        <v>0</v>
      </c>
      <c r="AO38" s="969" t="n">
        <v>0</v>
      </c>
      <c r="AP38" s="95" t="n">
        <f aca="false">IF(AO$77=0,0,AO38/AO$77)</f>
        <v>0</v>
      </c>
      <c r="AQ38" s="969" t="n">
        <v>0</v>
      </c>
      <c r="AR38" s="89" t="n">
        <f aca="false">IF(AQ$77=0,0,AQ38/AQ$77)</f>
        <v>0</v>
      </c>
    </row>
    <row r="39" customFormat="false" ht="12.75" hidden="false" customHeight="false" outlineLevel="0" collapsed="false">
      <c r="A39" s="259" t="n">
        <f aca="false">A37+1</f>
        <v>2002</v>
      </c>
      <c r="B39" s="965" t="n">
        <f aca="false">B38+1</f>
        <v>2</v>
      </c>
      <c r="C39" s="966" t="n">
        <f aca="false">F38</f>
        <v>93710.4555092785</v>
      </c>
      <c r="D39" s="61" t="n">
        <f aca="false">C39*F$32*0.5</f>
        <v>5158.76057578578</v>
      </c>
      <c r="E39" s="648" t="n">
        <f aca="false">IF($B39&gt;=F$31,C39,IF(F$33&gt;=$B39,0,IF(C39&gt;1,CHOOSE(F$34,F$29/(F$31-F$33),-PMT(F$32/2,F$31-$B38,C39,0)-D39,F$29*$AH39),0)))*Assm!$X$90</f>
        <v>702.76148027994</v>
      </c>
      <c r="F39" s="833" t="n">
        <f aca="false">C39-E39</f>
        <v>93007.6940289986</v>
      </c>
      <c r="G39" s="966" t="n">
        <f aca="false">J38</f>
        <v>0</v>
      </c>
      <c r="H39" s="61" t="n">
        <f aca="false">G39*J$32*0.5</f>
        <v>0</v>
      </c>
      <c r="I39" s="61" t="n">
        <f aca="false">IF($B39&gt;=J$31,G39,IF(J$33&gt;=$B39,0,IF(G39&gt;1,CHOOSE(J$34,J$29/(J$31-J$33),-PMT(J$32/2,J$31-$B38,G39,0)-H39,J$29*$AJ39),0)))</f>
        <v>0</v>
      </c>
      <c r="J39" s="833" t="n">
        <f aca="false">G39-I39</f>
        <v>0</v>
      </c>
      <c r="K39" s="966" t="n">
        <f aca="false">N38</f>
        <v>0</v>
      </c>
      <c r="L39" s="61" t="n">
        <f aca="false">K39*N$32*0.5</f>
        <v>0</v>
      </c>
      <c r="M39" s="61" t="n">
        <f aca="false">IF($B39&gt;=N$31,K39,IF(N$33&gt;=$B39,0,IF(K39&gt;1,CHOOSE(N$34,N$29/(N$31-N$33),-PMT(N$32/2,N$31-$B38,K39,0)-L39,N$29*$AL39),0)))</f>
        <v>0</v>
      </c>
      <c r="N39" s="833" t="n">
        <f aca="false">K39-M39</f>
        <v>0</v>
      </c>
      <c r="O39" s="966" t="n">
        <f aca="false">R38</f>
        <v>0</v>
      </c>
      <c r="P39" s="61" t="n">
        <f aca="false">O39*R$32*0.5</f>
        <v>0</v>
      </c>
      <c r="Q39" s="61" t="n">
        <f aca="false">IF($B39&gt;=R$31,O39,IF(R$33&gt;=$B39,0,IF(O39&gt;1,CHOOSE(R$34,R$29/(R$31-R$33),-PMT(R$32/2,R$31-$B38,O39,0)-P39,R$29*$AN39),0)))</f>
        <v>0</v>
      </c>
      <c r="R39" s="833" t="n">
        <f aca="false">O39-Q39</f>
        <v>0</v>
      </c>
      <c r="S39" s="966" t="n">
        <f aca="false">V38</f>
        <v>0</v>
      </c>
      <c r="T39" s="61" t="n">
        <f aca="false">S39*V$32*0.5</f>
        <v>0</v>
      </c>
      <c r="U39" s="61" t="n">
        <f aca="false">IF($B39&gt;=V$31,S39,IF(V$33&gt;=$B39,0,IF(S39&gt;1,CHOOSE(V$34,V$29/(V$31-V$33),-PMT(V$32/2,V$31-$B38,S39,0)-T39,V$29*$AP39),0)))</f>
        <v>0</v>
      </c>
      <c r="V39" s="833" t="n">
        <f aca="false">S39-U39</f>
        <v>0</v>
      </c>
      <c r="W39" s="966" t="n">
        <f aca="false">Z38</f>
        <v>2473.63699618568</v>
      </c>
      <c r="X39" s="61" t="n">
        <f aca="false">W39*Z$32*0.5</f>
        <v>160.786404752069</v>
      </c>
      <c r="Y39" s="61" t="n">
        <f aca="false">IF($B39&gt;=Z$31,W39,IF(Z$33&gt;=$B39,0,IF(W39&gt;1,CHOOSE(Z$34,Z$29/(Z$31-Z$33),-PMT(Z$32/2,Z$31-$B38,W39,0)-X39,Z$29*$AR39),0)))</f>
        <v>53.6561654971457</v>
      </c>
      <c r="Z39" s="833" t="n">
        <f aca="false">W39-Y39</f>
        <v>2419.98083068854</v>
      </c>
      <c r="AA39" s="61"/>
      <c r="AB39" s="64"/>
      <c r="AC39" s="61"/>
      <c r="AD39" s="64"/>
      <c r="AE39" s="945"/>
      <c r="AG39" s="968" t="n">
        <f aca="false">-0.142857142856201+1500</f>
        <v>1499.85714285714</v>
      </c>
      <c r="AH39" s="89" t="n">
        <f aca="false">IF(AG$77=0,0,AG39/AG$77)</f>
        <v>0.00749928571428572</v>
      </c>
      <c r="AI39" s="969" t="n">
        <v>0</v>
      </c>
      <c r="AJ39" s="95" t="n">
        <f aca="false">IF(AI$77=0,0,AI39/AI$77)</f>
        <v>0</v>
      </c>
      <c r="AK39" s="969" t="n">
        <v>0</v>
      </c>
      <c r="AL39" s="95" t="n">
        <f aca="false">IF(AK$77=0,0,AK39/AK$77)</f>
        <v>0</v>
      </c>
      <c r="AM39" s="969" t="n">
        <v>0</v>
      </c>
      <c r="AN39" s="95" t="n">
        <f aca="false">IF(AM$77=0,0,AM39/AM$77)</f>
        <v>0</v>
      </c>
      <c r="AO39" s="969" t="n">
        <v>0</v>
      </c>
      <c r="AP39" s="95" t="n">
        <f aca="false">IF(AO$77=0,0,AO39/AO$77)</f>
        <v>0</v>
      </c>
      <c r="AQ39" s="969" t="n">
        <v>0</v>
      </c>
      <c r="AR39" s="89" t="n">
        <f aca="false">IF(AQ$77=0,0,AQ39/AQ$77)</f>
        <v>0</v>
      </c>
    </row>
    <row r="40" customFormat="false" ht="12.75" hidden="false" customHeight="false" outlineLevel="0" collapsed="false">
      <c r="A40" s="970" t="n">
        <f aca="false">A39</f>
        <v>2002</v>
      </c>
      <c r="B40" s="971" t="n">
        <f aca="false">B39+1</f>
        <v>3</v>
      </c>
      <c r="C40" s="972" t="n">
        <f aca="false">F39</f>
        <v>93007.6940289986</v>
      </c>
      <c r="D40" s="625" t="n">
        <f aca="false">C40*F$32*0.5</f>
        <v>5120.07355629637</v>
      </c>
      <c r="E40" s="692" t="n">
        <f aca="false">IF($B40&gt;=F$31,C40,IF(F$33&gt;=$B40,0,IF(C40&gt;1,CHOOSE(F$34,F$29/(F$31-F$33),-PMT(F$32/2,F$31-$B39,C40,0)-D40,F$29*$AH40),0)))*Assm!$X$90</f>
        <v>702.76148027994</v>
      </c>
      <c r="F40" s="974" t="n">
        <f aca="false">C40-E40</f>
        <v>92304.9325487186</v>
      </c>
      <c r="G40" s="972" t="n">
        <f aca="false">J39</f>
        <v>0</v>
      </c>
      <c r="H40" s="625" t="n">
        <f aca="false">G40*J$32*0.5</f>
        <v>0</v>
      </c>
      <c r="I40" s="625" t="n">
        <f aca="false">IF($B40&gt;=J$31,G40,IF(J$33&gt;=$B40,0,IF(G40&gt;1,CHOOSE(J$34,J$29/(J$31-J$33),-PMT(J$32/2,J$31-$B39,G40,0)-H40,J$29*$AJ40),0)))</f>
        <v>0</v>
      </c>
      <c r="J40" s="974" t="n">
        <f aca="false">G40-I40</f>
        <v>0</v>
      </c>
      <c r="K40" s="972" t="n">
        <f aca="false">N39</f>
        <v>0</v>
      </c>
      <c r="L40" s="625" t="n">
        <f aca="false">K40*N$32*0.5</f>
        <v>0</v>
      </c>
      <c r="M40" s="625" t="n">
        <f aca="false">IF($B40&gt;=N$31,K40,IF(N$33&gt;=$B40,0,IF(K40&gt;1,CHOOSE(N$34,N$29/(N$31-N$33),-PMT(N$32/2,N$31-$B39,K40,0)-L40,N$29*$AL40),0)))</f>
        <v>0</v>
      </c>
      <c r="N40" s="974" t="n">
        <f aca="false">K40-M40</f>
        <v>0</v>
      </c>
      <c r="O40" s="972" t="n">
        <f aca="false">R39</f>
        <v>0</v>
      </c>
      <c r="P40" s="625" t="n">
        <f aca="false">O40*R$32*0.5</f>
        <v>0</v>
      </c>
      <c r="Q40" s="625" t="n">
        <f aca="false">IF($B40&gt;=R$31,O40,IF(R$33&gt;=$B40,0,IF(O40&gt;1,CHOOSE(R$34,R$29/(R$31-R$33),-PMT(R$32/2,R$31-$B39,O40,0)-P40,R$29*$AN40),0)))</f>
        <v>0</v>
      </c>
      <c r="R40" s="974" t="n">
        <f aca="false">O40-Q40</f>
        <v>0</v>
      </c>
      <c r="S40" s="972" t="n">
        <f aca="false">V39</f>
        <v>0</v>
      </c>
      <c r="T40" s="625" t="n">
        <f aca="false">S40*V$32*0.5</f>
        <v>0</v>
      </c>
      <c r="U40" s="625" t="n">
        <f aca="false">IF($B40&gt;=V$31,S40,IF(V$33&gt;=$B40,0,IF(S40&gt;1,CHOOSE(V$34,V$29/(V$31-V$33),-PMT(V$32/2,V$31-$B39,S40,0)-T40,V$29*$AP40),0)))</f>
        <v>0</v>
      </c>
      <c r="V40" s="974" t="n">
        <f aca="false">S40-U40</f>
        <v>0</v>
      </c>
      <c r="W40" s="972" t="n">
        <f aca="false">Z39</f>
        <v>2419.98083068854</v>
      </c>
      <c r="X40" s="625" t="n">
        <f aca="false">W40*Z$32*0.5</f>
        <v>157.298753994755</v>
      </c>
      <c r="Y40" s="625" t="n">
        <f aca="false">IF($B40&gt;=Z$31,W40,IF(Z$33&gt;=$B40,0,IF(W40&gt;1,CHOOSE(Z$34,Z$29/(Z$31-Z$33),-PMT(Z$32/2,Z$31-$B39,W40,0)-X40,Z$29*$AR40),0)))</f>
        <v>57.1438162544601</v>
      </c>
      <c r="Z40" s="974" t="n">
        <f aca="false">W40-Y40</f>
        <v>2362.83701443408</v>
      </c>
      <c r="AA40" s="625" t="n">
        <f aca="false">SUM(D39:D40,H39:H40,L39:L40,P39:P40,T39:T40)</f>
        <v>10278.8341320822</v>
      </c>
      <c r="AB40" s="975" t="n">
        <f aca="false">SUM(E39:E40,I39:I40,M39:M40,Q39:Q40,U39:U40)</f>
        <v>1405.52296055988</v>
      </c>
      <c r="AC40" s="625" t="n">
        <f aca="false">SUM(X39:X40)</f>
        <v>318.085158746824</v>
      </c>
      <c r="AD40" s="975" t="n">
        <f aca="false">SUM(Y39:Y40)</f>
        <v>110.799981751606</v>
      </c>
      <c r="AE40" s="976" t="n">
        <f aca="false">(C39+W39)*IF([1]RAROC!$B$103=1,VLOOKUP(A40,[2]!Guar_Fee_Table,2),IF([1]RAROC!$B$103=2,VLOOKUP(A40,[2]!Guar_Fee_Table,3),IF([1]RAROC!$B$103=3,VLOOKUP(A40,[2]!Guar_Fee_Table,4))))</f>
        <v>3847.36370021857</v>
      </c>
      <c r="AG40" s="968" t="n">
        <f aca="false">-0.142857142856201+1500</f>
        <v>1499.85714285714</v>
      </c>
      <c r="AH40" s="89" t="n">
        <f aca="false">IF(AG$77=0,0,AG40/AG$77)</f>
        <v>0.00749928571428572</v>
      </c>
      <c r="AI40" s="969" t="n">
        <v>0</v>
      </c>
      <c r="AJ40" s="95" t="n">
        <f aca="false">IF(AI$77=0,0,AI40/AI$77)</f>
        <v>0</v>
      </c>
      <c r="AK40" s="969" t="n">
        <v>0</v>
      </c>
      <c r="AL40" s="95" t="n">
        <f aca="false">IF(AK$77=0,0,AK40/AK$77)</f>
        <v>0</v>
      </c>
      <c r="AM40" s="969" t="n">
        <v>0</v>
      </c>
      <c r="AN40" s="95" t="n">
        <f aca="false">IF(AM$77=0,0,AM40/AM$77)</f>
        <v>0</v>
      </c>
      <c r="AO40" s="969" t="n">
        <v>0</v>
      </c>
      <c r="AP40" s="95" t="n">
        <f aca="false">IF(AO$77=0,0,AO40/AO$77)</f>
        <v>0</v>
      </c>
      <c r="AQ40" s="969" t="n">
        <v>0</v>
      </c>
      <c r="AR40" s="89" t="n">
        <f aca="false">IF(AQ$77=0,0,AQ40/AQ$77)</f>
        <v>0</v>
      </c>
    </row>
    <row r="41" customFormat="false" ht="12.75" hidden="false" customHeight="false" outlineLevel="0" collapsed="false">
      <c r="A41" s="259" t="n">
        <f aca="false">A39+1</f>
        <v>2003</v>
      </c>
      <c r="B41" s="965" t="n">
        <f aca="false">B40+1</f>
        <v>4</v>
      </c>
      <c r="C41" s="966" t="n">
        <f aca="false">F40</f>
        <v>92304.9325487186</v>
      </c>
      <c r="D41" s="61" t="n">
        <f aca="false">C41*F$32*0.5</f>
        <v>5081.38653680696</v>
      </c>
      <c r="E41" s="648" t="n">
        <f aca="false">IF($B41&gt;=F$31,C41,IF(F$33&gt;=$B41,0,IF(C41&gt;1,CHOOSE(F$34,F$29/(F$31-F$33),-PMT(F$32/2,F$31-$B40,C41,0)-D41,F$29*$AH41),0)))*Assm!$X$90</f>
        <v>1191.46150576082</v>
      </c>
      <c r="F41" s="833" t="n">
        <f aca="false">C41-E41</f>
        <v>91113.4710429578</v>
      </c>
      <c r="G41" s="966" t="n">
        <f aca="false">J40</f>
        <v>0</v>
      </c>
      <c r="H41" s="61" t="n">
        <f aca="false">G41*J$32*0.5</f>
        <v>0</v>
      </c>
      <c r="I41" s="61" t="n">
        <f aca="false">IF($B41&gt;=J$31,G41,IF(J$33&gt;=$B41,0,IF(G41&gt;1,CHOOSE(J$34,J$29/(J$31-J$33),-PMT(J$32/2,J$31-$B40,G41,0)-H41,J$29*$AJ41),0)))</f>
        <v>0</v>
      </c>
      <c r="J41" s="833" t="n">
        <f aca="false">G41-I41</f>
        <v>0</v>
      </c>
      <c r="K41" s="966" t="n">
        <f aca="false">N40</f>
        <v>0</v>
      </c>
      <c r="L41" s="61" t="n">
        <f aca="false">K41*N$32*0.5</f>
        <v>0</v>
      </c>
      <c r="M41" s="61" t="n">
        <f aca="false">IF($B41&gt;=N$31,K41,IF(N$33&gt;=$B41,0,IF(K41&gt;1,CHOOSE(N$34,N$29/(N$31-N$33),-PMT(N$32/2,N$31-$B40,K41,0)-L41,N$29*$AL41),0)))</f>
        <v>0</v>
      </c>
      <c r="N41" s="833" t="n">
        <f aca="false">K41-M41</f>
        <v>0</v>
      </c>
      <c r="O41" s="966" t="n">
        <f aca="false">R40</f>
        <v>0</v>
      </c>
      <c r="P41" s="61" t="n">
        <f aca="false">O41*R$32*0.5</f>
        <v>0</v>
      </c>
      <c r="Q41" s="61" t="n">
        <f aca="false">IF($B41&gt;=R$31,O41,IF(R$33&gt;=$B41,0,IF(O41&gt;1,CHOOSE(R$34,R$29/(R$31-R$33),-PMT(R$32/2,R$31-$B40,O41,0)-P41,R$29*$AN41),0)))</f>
        <v>0</v>
      </c>
      <c r="R41" s="833" t="n">
        <f aca="false">O41-Q41</f>
        <v>0</v>
      </c>
      <c r="S41" s="966" t="n">
        <f aca="false">V40</f>
        <v>0</v>
      </c>
      <c r="T41" s="61" t="n">
        <f aca="false">S41*V$32*0.5</f>
        <v>0</v>
      </c>
      <c r="U41" s="61" t="n">
        <f aca="false">IF($B41&gt;=V$31,S41,IF(V$33&gt;=$B41,0,IF(S41&gt;1,CHOOSE(V$34,V$29/(V$31-V$33),-PMT(V$32/2,V$31-$B40,S41,0)-T41,V$29*$AP41),0)))</f>
        <v>0</v>
      </c>
      <c r="V41" s="833" t="n">
        <f aca="false">S41-U41</f>
        <v>0</v>
      </c>
      <c r="W41" s="966" t="n">
        <f aca="false">Z40</f>
        <v>2362.83701443408</v>
      </c>
      <c r="X41" s="61" t="n">
        <f aca="false">W41*Z$32*0.5</f>
        <v>153.584405938215</v>
      </c>
      <c r="Y41" s="61" t="n">
        <f aca="false">IF($B41&gt;=Z$31,W41,IF(Z$33&gt;=$B41,0,IF(W41&gt;1,CHOOSE(Z$34,Z$29/(Z$31-Z$33),-PMT(Z$32/2,Z$31-$B40,W41,0)-X41,Z$29*$AR41),0)))</f>
        <v>60.858164311</v>
      </c>
      <c r="Z41" s="833" t="n">
        <f aca="false">W41-Y41</f>
        <v>2301.97885012308</v>
      </c>
      <c r="AA41" s="61"/>
      <c r="AB41" s="64"/>
      <c r="AC41" s="61"/>
      <c r="AD41" s="64"/>
      <c r="AE41" s="945"/>
      <c r="AG41" s="968" t="n">
        <f aca="false">2742.85714285714-200</f>
        <v>2542.85714285714</v>
      </c>
      <c r="AH41" s="89" t="n">
        <f aca="false">IF(AG$77=0,0,AG41/AG$77)</f>
        <v>0.0127142857142857</v>
      </c>
      <c r="AI41" s="969" t="n">
        <v>0</v>
      </c>
      <c r="AJ41" s="95" t="n">
        <f aca="false">IF(AI$77=0,0,AI41/AI$77)</f>
        <v>0</v>
      </c>
      <c r="AK41" s="969" t="n">
        <v>0</v>
      </c>
      <c r="AL41" s="95" t="n">
        <f aca="false">IF(AK$77=0,0,AK41/AK$77)</f>
        <v>0</v>
      </c>
      <c r="AM41" s="969" t="n">
        <v>0</v>
      </c>
      <c r="AN41" s="95" t="n">
        <f aca="false">IF(AM$77=0,0,AM41/AM$77)</f>
        <v>0</v>
      </c>
      <c r="AO41" s="969" t="n">
        <v>0</v>
      </c>
      <c r="AP41" s="95" t="n">
        <f aca="false">IF(AO$77=0,0,AO41/AO$77)</f>
        <v>0</v>
      </c>
      <c r="AQ41" s="969" t="n">
        <v>0</v>
      </c>
      <c r="AR41" s="89" t="n">
        <f aca="false">IF(AQ$77=0,0,AQ41/AQ$77)</f>
        <v>0</v>
      </c>
    </row>
    <row r="42" customFormat="false" ht="12.75" hidden="false" customHeight="false" outlineLevel="0" collapsed="false">
      <c r="A42" s="970" t="n">
        <f aca="false">A40+1</f>
        <v>2003</v>
      </c>
      <c r="B42" s="971" t="n">
        <f aca="false">B41+1</f>
        <v>5</v>
      </c>
      <c r="C42" s="972" t="n">
        <f aca="false">F41</f>
        <v>91113.4710429578</v>
      </c>
      <c r="D42" s="625" t="n">
        <f aca="false">C42*F$32*0.5</f>
        <v>5015.79658091483</v>
      </c>
      <c r="E42" s="692" t="n">
        <f aca="false">IF($B42&gt;=F$31,C42,IF(F$33&gt;=$B42,0,IF(C42&gt;1,CHOOSE(F$34,F$29/(F$31-F$33),-PMT(F$32/2,F$31-$B41,C42,0)-D42,F$29*$AH42),0)))*Assm!$X$90</f>
        <v>1191.46150576082</v>
      </c>
      <c r="F42" s="974" t="n">
        <f aca="false">C42-E42</f>
        <v>89922.009537197</v>
      </c>
      <c r="G42" s="972" t="n">
        <f aca="false">J41</f>
        <v>0</v>
      </c>
      <c r="H42" s="625" t="n">
        <f aca="false">G42*J$32*0.5</f>
        <v>0</v>
      </c>
      <c r="I42" s="625" t="n">
        <f aca="false">IF($B42&gt;=J$31,G42,IF(J$33&gt;=$B42,0,IF(G42&gt;1,CHOOSE(J$34,J$29/(J$31-J$33),-PMT(J$32/2,J$31-$B41,G42,0)-H42,J$29*$AJ42),0)))</f>
        <v>0</v>
      </c>
      <c r="J42" s="974" t="n">
        <f aca="false">G42-I42</f>
        <v>0</v>
      </c>
      <c r="K42" s="972" t="n">
        <f aca="false">N41</f>
        <v>0</v>
      </c>
      <c r="L42" s="625" t="n">
        <f aca="false">K42*N$32*0.5</f>
        <v>0</v>
      </c>
      <c r="M42" s="625" t="n">
        <f aca="false">IF($B42&gt;=N$31,K42,IF(N$33&gt;=$B42,0,IF(K42&gt;1,CHOOSE(N$34,N$29/(N$31-N$33),-PMT(N$32/2,N$31-$B41,K42,0)-L42,N$29*$AL42),0)))</f>
        <v>0</v>
      </c>
      <c r="N42" s="974" t="n">
        <f aca="false">K42-M42</f>
        <v>0</v>
      </c>
      <c r="O42" s="972" t="n">
        <f aca="false">R41</f>
        <v>0</v>
      </c>
      <c r="P42" s="625" t="n">
        <f aca="false">O42*R$32*0.5</f>
        <v>0</v>
      </c>
      <c r="Q42" s="625" t="n">
        <f aca="false">IF($B42&gt;=R$31,O42,IF(R$33&gt;=$B42,0,IF(O42&gt;1,CHOOSE(R$34,R$29/(R$31-R$33),-PMT(R$32/2,R$31-$B41,O42,0)-P42,R$29*$AN42),0)))</f>
        <v>0</v>
      </c>
      <c r="R42" s="974" t="n">
        <f aca="false">O42-Q42</f>
        <v>0</v>
      </c>
      <c r="S42" s="972" t="n">
        <f aca="false">V41</f>
        <v>0</v>
      </c>
      <c r="T42" s="625" t="n">
        <f aca="false">S42*V$32*0.5</f>
        <v>0</v>
      </c>
      <c r="U42" s="625" t="n">
        <f aca="false">IF($B42&gt;=V$31,S42,IF(V$33&gt;=$B42,0,IF(S42&gt;1,CHOOSE(V$34,V$29/(V$31-V$33),-PMT(V$32/2,V$31-$B41,S42,0)-T42,V$29*$AP42),0)))</f>
        <v>0</v>
      </c>
      <c r="V42" s="974" t="n">
        <f aca="false">S42-U42</f>
        <v>0</v>
      </c>
      <c r="W42" s="972" t="n">
        <f aca="false">Z41</f>
        <v>2301.97885012308</v>
      </c>
      <c r="X42" s="625" t="n">
        <f aca="false">W42*Z$32*0.5</f>
        <v>149.628625258</v>
      </c>
      <c r="Y42" s="625" t="n">
        <f aca="false">IF($B42&gt;=Z$31,W42,IF(Z$33&gt;=$B42,0,IF(W42&gt;1,CHOOSE(Z$34,Z$29/(Z$31-Z$33),-PMT(Z$32/2,Z$31-$B41,W42,0)-X42,Z$29*$AR42),0)))</f>
        <v>64.813944991215</v>
      </c>
      <c r="Z42" s="974" t="n">
        <f aca="false">W42-Y42</f>
        <v>2237.16490513186</v>
      </c>
      <c r="AA42" s="625" t="n">
        <f aca="false">SUM(D41:D42,H41:H42,L41:L42,P41:P42,T41:T42)</f>
        <v>10097.1831177218</v>
      </c>
      <c r="AB42" s="975" t="n">
        <f aca="false">SUM(E41:E42,I41:I42,M41:M42,Q41:Q42,U41:U42)</f>
        <v>2382.92301152165</v>
      </c>
      <c r="AC42" s="625" t="n">
        <f aca="false">SUM(X41:X42)</f>
        <v>303.213031196215</v>
      </c>
      <c r="AD42" s="975" t="n">
        <f aca="false">SUM(Y41:Y42)</f>
        <v>125.672109302215</v>
      </c>
      <c r="AE42" s="976" t="n">
        <f aca="false">(C41+W41)*IF([1]RAROC!$B$103=1,VLOOKUP(A42,[2]!Guar_Fee_Table,2),IF([1]RAROC!$B$103=2,VLOOKUP(A42,[2]!Guar_Fee_Table,3),IF([1]RAROC!$B$103=3,VLOOKUP(A42,[2]!Guar_Fee_Table,4))))</f>
        <v>3786.71078252611</v>
      </c>
      <c r="AG42" s="968" t="n">
        <f aca="false">2742.85714285714-200</f>
        <v>2542.85714285714</v>
      </c>
      <c r="AH42" s="89" t="n">
        <f aca="false">IF(AG$77=0,0,AG42/AG$77)</f>
        <v>0.0127142857142857</v>
      </c>
      <c r="AI42" s="969" t="n">
        <v>0</v>
      </c>
      <c r="AJ42" s="95" t="n">
        <f aca="false">IF(AI$77=0,0,AI42/AI$77)</f>
        <v>0</v>
      </c>
      <c r="AK42" s="969" t="n">
        <v>0</v>
      </c>
      <c r="AL42" s="95" t="n">
        <f aca="false">IF(AK$77=0,0,AK42/AK$77)</f>
        <v>0</v>
      </c>
      <c r="AM42" s="969" t="n">
        <v>0</v>
      </c>
      <c r="AN42" s="95" t="n">
        <f aca="false">IF(AM$77=0,0,AM42/AM$77)</f>
        <v>0</v>
      </c>
      <c r="AO42" s="969" t="n">
        <v>0</v>
      </c>
      <c r="AP42" s="95" t="n">
        <f aca="false">IF(AO$77=0,0,AO42/AO$77)</f>
        <v>0</v>
      </c>
      <c r="AQ42" s="969" t="n">
        <v>0</v>
      </c>
      <c r="AR42" s="89" t="n">
        <f aca="false">IF(AQ$77=0,0,AQ42/AQ$77)</f>
        <v>0</v>
      </c>
    </row>
    <row r="43" customFormat="false" ht="12.75" hidden="false" customHeight="false" outlineLevel="0" collapsed="false">
      <c r="A43" s="259" t="n">
        <f aca="false">A41+1</f>
        <v>2004</v>
      </c>
      <c r="B43" s="965" t="n">
        <f aca="false">B42+1</f>
        <v>6</v>
      </c>
      <c r="C43" s="966" t="n">
        <f aca="false">F42</f>
        <v>89922.009537197</v>
      </c>
      <c r="D43" s="61" t="n">
        <f aca="false">C43*F$32*0.5</f>
        <v>4950.20662502269</v>
      </c>
      <c r="E43" s="648" t="n">
        <f aca="false">IF($B43&gt;=F$31,C43,IF(F$33&gt;=$B43,0,IF(C43&gt;1,CHOOSE(F$34,F$29/(F$31-F$33),-PMT(F$32/2,F$31-$B42,C43,0)-D43,F$29*$AH43),0)))*Assm!$X$90</f>
        <v>3346.80198247423</v>
      </c>
      <c r="F43" s="833" t="n">
        <f aca="false">C43-E43</f>
        <v>86575.2075547227</v>
      </c>
      <c r="G43" s="966" t="n">
        <f aca="false">J42</f>
        <v>0</v>
      </c>
      <c r="H43" s="61" t="n">
        <f aca="false">G43*J$32*0.5</f>
        <v>0</v>
      </c>
      <c r="I43" s="61" t="n">
        <f aca="false">IF($B43&gt;=J$31,G43,IF(J$33&gt;=$B43,0,IF(G43&gt;1,CHOOSE(J$34,J$29/(J$31-J$33),-PMT(J$32/2,J$31-$B42,G43,0)-H43,J$29*$AJ43),0)))</f>
        <v>0</v>
      </c>
      <c r="J43" s="833" t="n">
        <f aca="false">G43-I43</f>
        <v>0</v>
      </c>
      <c r="K43" s="966" t="n">
        <f aca="false">N42</f>
        <v>0</v>
      </c>
      <c r="L43" s="61" t="n">
        <f aca="false">K43*N$32*0.5</f>
        <v>0</v>
      </c>
      <c r="M43" s="61" t="n">
        <f aca="false">IF($B43&gt;=N$31,K43,IF(N$33&gt;=$B43,0,IF(K43&gt;1,CHOOSE(N$34,N$29/(N$31-N$33),-PMT(N$32/2,N$31-$B42,K43,0)-L43,N$29*$AL43),0)))</f>
        <v>0</v>
      </c>
      <c r="N43" s="833" t="n">
        <f aca="false">K43-M43</f>
        <v>0</v>
      </c>
      <c r="O43" s="966" t="n">
        <f aca="false">R42</f>
        <v>0</v>
      </c>
      <c r="P43" s="61" t="n">
        <f aca="false">O43*R$32*0.5</f>
        <v>0</v>
      </c>
      <c r="Q43" s="61" t="n">
        <f aca="false">IF($B43&gt;=R$31,O43,IF(R$33&gt;=$B43,0,IF(O43&gt;1,CHOOSE(R$34,R$29/(R$31-R$33),-PMT(R$32/2,R$31-$B42,O43,0)-P43,R$29*$AN43),0)))</f>
        <v>0</v>
      </c>
      <c r="R43" s="833" t="n">
        <f aca="false">O43-Q43</f>
        <v>0</v>
      </c>
      <c r="S43" s="966" t="n">
        <f aca="false">V42</f>
        <v>0</v>
      </c>
      <c r="T43" s="61" t="n">
        <f aca="false">S43*V$32*0.5</f>
        <v>0</v>
      </c>
      <c r="U43" s="61" t="n">
        <f aca="false">IF($B43&gt;=V$31,S43,IF(V$33&gt;=$B43,0,IF(S43&gt;1,CHOOSE(V$34,V$29/(V$31-V$33),-PMT(V$32/2,V$31-$B42,S43,0)-T43,V$29*$AP43),0)))</f>
        <v>0</v>
      </c>
      <c r="V43" s="833" t="n">
        <f aca="false">S43-U43</f>
        <v>0</v>
      </c>
      <c r="W43" s="966" t="n">
        <f aca="false">Z42</f>
        <v>2237.16490513186</v>
      </c>
      <c r="X43" s="61" t="n">
        <f aca="false">W43*Z$32*0.5</f>
        <v>145.415718833571</v>
      </c>
      <c r="Y43" s="61" t="n">
        <f aca="false">IF($B43&gt;=Z$31,W43,IF(Z$33&gt;=$B43,0,IF(W43&gt;1,CHOOSE(Z$34,Z$29/(Z$31-Z$33),-PMT(Z$32/2,Z$31-$B42,W43,0)-X43,Z$29*$AR43),0)))</f>
        <v>69.0268514156439</v>
      </c>
      <c r="Z43" s="833" t="n">
        <f aca="false">W43-Y43</f>
        <v>2168.13805371622</v>
      </c>
      <c r="AA43" s="61"/>
      <c r="AB43" s="64"/>
      <c r="AC43" s="61"/>
      <c r="AD43" s="64"/>
      <c r="AE43" s="945"/>
      <c r="AG43" s="968" t="n">
        <v>7142.85714285714</v>
      </c>
      <c r="AH43" s="89" t="n">
        <f aca="false">IF(AG$77=0,0,AG43/AG$77)</f>
        <v>0.0357142857142857</v>
      </c>
      <c r="AI43" s="969" t="n">
        <v>0</v>
      </c>
      <c r="AJ43" s="95" t="n">
        <f aca="false">IF(AI$77=0,0,AI43/AI$77)</f>
        <v>0</v>
      </c>
      <c r="AK43" s="969" t="n">
        <v>0</v>
      </c>
      <c r="AL43" s="95" t="n">
        <f aca="false">IF(AK$77=0,0,AK43/AK$77)</f>
        <v>0</v>
      </c>
      <c r="AM43" s="969" t="n">
        <v>0</v>
      </c>
      <c r="AN43" s="95" t="n">
        <f aca="false">IF(AM$77=0,0,AM43/AM$77)</f>
        <v>0</v>
      </c>
      <c r="AO43" s="969" t="n">
        <v>0</v>
      </c>
      <c r="AP43" s="95" t="n">
        <f aca="false">IF(AO$77=0,0,AO43/AO$77)</f>
        <v>0</v>
      </c>
      <c r="AQ43" s="969" t="n">
        <v>0</v>
      </c>
      <c r="AR43" s="89" t="n">
        <f aca="false">IF(AQ$77=0,0,AQ43/AQ$77)</f>
        <v>0</v>
      </c>
    </row>
    <row r="44" customFormat="false" ht="12.75" hidden="false" customHeight="false" outlineLevel="0" collapsed="false">
      <c r="A44" s="970" t="n">
        <f aca="false">A43</f>
        <v>2004</v>
      </c>
      <c r="B44" s="971" t="n">
        <f aca="false">B43+1</f>
        <v>7</v>
      </c>
      <c r="C44" s="972" t="n">
        <f aca="false">F43</f>
        <v>86575.2075547227</v>
      </c>
      <c r="D44" s="625" t="n">
        <f aca="false">C44*F$32*0.5</f>
        <v>4765.96517588749</v>
      </c>
      <c r="E44" s="692" t="n">
        <f aca="false">IF($B44&gt;=F$31,C44,IF(F$33&gt;=$B44,0,IF(C44&gt;1,CHOOSE(F$34,F$29/(F$31-F$33),-PMT(F$32/2,F$31-$B43,C44,0)-D44,F$29*$AH44),0)))*Assm!$X$90</f>
        <v>3346.80198247423</v>
      </c>
      <c r="F44" s="974" t="n">
        <f aca="false">C44-E44</f>
        <v>83228.4055722485</v>
      </c>
      <c r="G44" s="972" t="n">
        <f aca="false">J43</f>
        <v>0</v>
      </c>
      <c r="H44" s="625" t="n">
        <f aca="false">G44*J$32*0.5</f>
        <v>0</v>
      </c>
      <c r="I44" s="625" t="n">
        <f aca="false">IF($B44&gt;=J$31,G44,IF(J$33&gt;=$B44,0,IF(G44&gt;1,CHOOSE(J$34,J$29/(J$31-J$33),-PMT(J$32/2,J$31-$B43,G44,0)-H44,J$29*$AJ44),0)))</f>
        <v>0</v>
      </c>
      <c r="J44" s="974" t="n">
        <f aca="false">G44-I44</f>
        <v>0</v>
      </c>
      <c r="K44" s="972" t="n">
        <f aca="false">N43</f>
        <v>0</v>
      </c>
      <c r="L44" s="625" t="n">
        <f aca="false">K44*N$32*0.5</f>
        <v>0</v>
      </c>
      <c r="M44" s="625" t="n">
        <f aca="false">IF($B44&gt;=N$31,K44,IF(N$33&gt;=$B44,0,IF(K44&gt;1,CHOOSE(N$34,N$29/(N$31-N$33),-PMT(N$32/2,N$31-$B43,K44,0)-L44,N$29*$AL44),0)))</f>
        <v>0</v>
      </c>
      <c r="N44" s="974" t="n">
        <f aca="false">K44-M44</f>
        <v>0</v>
      </c>
      <c r="O44" s="972" t="n">
        <f aca="false">R43</f>
        <v>0</v>
      </c>
      <c r="P44" s="625" t="n">
        <f aca="false">O44*R$32*0.5</f>
        <v>0</v>
      </c>
      <c r="Q44" s="625" t="n">
        <f aca="false">IF($B44&gt;=R$31,O44,IF(R$33&gt;=$B44,0,IF(O44&gt;1,CHOOSE(R$34,R$29/(R$31-R$33),-PMT(R$32/2,R$31-$B43,O44,0)-P44,R$29*$AN44),0)))</f>
        <v>0</v>
      </c>
      <c r="R44" s="974" t="n">
        <f aca="false">O44-Q44</f>
        <v>0</v>
      </c>
      <c r="S44" s="972" t="n">
        <f aca="false">V43</f>
        <v>0</v>
      </c>
      <c r="T44" s="625" t="n">
        <f aca="false">S44*V$32*0.5</f>
        <v>0</v>
      </c>
      <c r="U44" s="625" t="n">
        <f aca="false">IF($B44&gt;=V$31,S44,IF(V$33&gt;=$B44,0,IF(S44&gt;1,CHOOSE(V$34,V$29/(V$31-V$33),-PMT(V$32/2,V$31-$B43,S44,0)-T44,V$29*$AP44),0)))</f>
        <v>0</v>
      </c>
      <c r="V44" s="974" t="n">
        <f aca="false">S44-U44</f>
        <v>0</v>
      </c>
      <c r="W44" s="972" t="n">
        <f aca="false">Z43</f>
        <v>2168.13805371622</v>
      </c>
      <c r="X44" s="625" t="n">
        <f aca="false">W44*Z$32*0.5</f>
        <v>140.928973491554</v>
      </c>
      <c r="Y44" s="625" t="n">
        <f aca="false">IF($B44&gt;=Z$31,W44,IF(Z$33&gt;=$B44,0,IF(W44&gt;1,CHOOSE(Z$34,Z$29/(Z$31-Z$33),-PMT(Z$32/2,Z$31-$B43,W44,0)-X44,Z$29*$AR44),0)))</f>
        <v>73.5135967576608</v>
      </c>
      <c r="Z44" s="974" t="n">
        <f aca="false">W44-Y44</f>
        <v>2094.62445695856</v>
      </c>
      <c r="AA44" s="625" t="n">
        <f aca="false">SUM(D43:D44,H43:H44,L43:L44,P43:P44,T43:T44)</f>
        <v>9716.17180091018</v>
      </c>
      <c r="AB44" s="975" t="n">
        <f aca="false">SUM(E43:E44,I43:I44,M43:M44,Q43:Q44,U43:U44)</f>
        <v>6693.60396494846</v>
      </c>
      <c r="AC44" s="625" t="n">
        <f aca="false">SUM(X43:X44)</f>
        <v>286.344692325125</v>
      </c>
      <c r="AD44" s="975" t="n">
        <f aca="false">SUM(Y43:Y44)</f>
        <v>142.540448173305</v>
      </c>
      <c r="AE44" s="976" t="n">
        <f aca="false">(C43+W43)*IF([1]RAROC!$B$103=1,VLOOKUP(A44,[2]!Guar_Fee_Table,2),IF([1]RAROC!$B$103=2,VLOOKUP(A44,[2]!Guar_Fee_Table,3),IF([1]RAROC!$B$103=3,VLOOKUP(A44,[2]!Guar_Fee_Table,4))))</f>
        <v>0</v>
      </c>
      <c r="AG44" s="968" t="n">
        <v>7142.85714285714</v>
      </c>
      <c r="AH44" s="89" t="n">
        <f aca="false">IF(AG$77=0,0,AG44/AG$77)</f>
        <v>0.0357142857142857</v>
      </c>
      <c r="AI44" s="969" t="n">
        <v>0</v>
      </c>
      <c r="AJ44" s="95" t="n">
        <f aca="false">IF(AI$77=0,0,AI44/AI$77)</f>
        <v>0</v>
      </c>
      <c r="AK44" s="969" t="n">
        <v>0</v>
      </c>
      <c r="AL44" s="95" t="n">
        <f aca="false">IF(AK$77=0,0,AK44/AK$77)</f>
        <v>0</v>
      </c>
      <c r="AM44" s="969" t="n">
        <v>0</v>
      </c>
      <c r="AN44" s="95" t="n">
        <f aca="false">IF(AM$77=0,0,AM44/AM$77)</f>
        <v>0</v>
      </c>
      <c r="AO44" s="969" t="n">
        <v>0</v>
      </c>
      <c r="AP44" s="95" t="n">
        <f aca="false">IF(AO$77=0,0,AO44/AO$77)</f>
        <v>0</v>
      </c>
      <c r="AQ44" s="969" t="n">
        <v>0</v>
      </c>
      <c r="AR44" s="89" t="n">
        <f aca="false">IF(AQ$77=0,0,AQ44/AQ$77)</f>
        <v>0</v>
      </c>
    </row>
    <row r="45" customFormat="false" ht="12.75" hidden="false" customHeight="false" outlineLevel="0" collapsed="false">
      <c r="A45" s="259" t="n">
        <f aca="false">A43+1</f>
        <v>2005</v>
      </c>
      <c r="B45" s="965" t="n">
        <f aca="false">B44+1</f>
        <v>8</v>
      </c>
      <c r="C45" s="966" t="n">
        <f aca="false">F44</f>
        <v>83228.4055722485</v>
      </c>
      <c r="D45" s="61" t="n">
        <f aca="false">C45*F$32*0.5</f>
        <v>4581.72372675228</v>
      </c>
      <c r="E45" s="648" t="n">
        <f aca="false">IF($B45&gt;=F$31,C45,IF(F$33&gt;=$B45,0,IF(C45&gt;1,CHOOSE(F$34,F$29/(F$31-F$33),-PMT(F$32/2,F$31-$B44,C45,0)-D45,F$29*$AH45),0)))*Assm!$X$90</f>
        <v>4035.61845449386</v>
      </c>
      <c r="F45" s="833" t="n">
        <f aca="false">C45-E45</f>
        <v>79192.7871177547</v>
      </c>
      <c r="G45" s="966" t="n">
        <f aca="false">J44</f>
        <v>0</v>
      </c>
      <c r="H45" s="61" t="n">
        <f aca="false">G45*J$32*0.5</f>
        <v>0</v>
      </c>
      <c r="I45" s="61" t="n">
        <f aca="false">IF($B45&gt;=J$31,G45,IF(J$33&gt;=$B45,0,IF(G45&gt;1,CHOOSE(J$34,J$29/(J$31-J$33),-PMT(J$32/2,J$31-$B44,G45,0)-H45,J$29*$AJ45),0)))</f>
        <v>0</v>
      </c>
      <c r="J45" s="833" t="n">
        <f aca="false">G45-I45</f>
        <v>0</v>
      </c>
      <c r="K45" s="966" t="n">
        <f aca="false">N44</f>
        <v>0</v>
      </c>
      <c r="L45" s="61" t="n">
        <f aca="false">K45*N$32*0.5</f>
        <v>0</v>
      </c>
      <c r="M45" s="61" t="n">
        <f aca="false">IF($B45&gt;=N$31,K45,IF(N$33&gt;=$B45,0,IF(K45&gt;1,CHOOSE(N$34,N$29/(N$31-N$33),-PMT(N$32/2,N$31-$B44,K45,0)-L45,N$29*$AL45),0)))</f>
        <v>0</v>
      </c>
      <c r="N45" s="833" t="n">
        <f aca="false">K45-M45</f>
        <v>0</v>
      </c>
      <c r="O45" s="966" t="n">
        <f aca="false">R44</f>
        <v>0</v>
      </c>
      <c r="P45" s="61" t="n">
        <f aca="false">O45*R$32*0.5</f>
        <v>0</v>
      </c>
      <c r="Q45" s="61" t="n">
        <f aca="false">IF($B45&gt;=R$31,O45,IF(R$33&gt;=$B45,0,IF(O45&gt;1,CHOOSE(R$34,R$29/(R$31-R$33),-PMT(R$32/2,R$31-$B44,O45,0)-P45,R$29*$AN45),0)))</f>
        <v>0</v>
      </c>
      <c r="R45" s="833" t="n">
        <f aca="false">O45-Q45</f>
        <v>0</v>
      </c>
      <c r="S45" s="966" t="n">
        <f aca="false">V44</f>
        <v>0</v>
      </c>
      <c r="T45" s="61" t="n">
        <f aca="false">S45*V$32*0.5</f>
        <v>0</v>
      </c>
      <c r="U45" s="61" t="n">
        <f aca="false">IF($B45&gt;=V$31,S45,IF(V$33&gt;=$B45,0,IF(S45&gt;1,CHOOSE(V$34,V$29/(V$31-V$33),-PMT(V$32/2,V$31-$B44,S45,0)-T45,V$29*$AP45),0)))</f>
        <v>0</v>
      </c>
      <c r="V45" s="833" t="n">
        <f aca="false">S45-U45</f>
        <v>0</v>
      </c>
      <c r="W45" s="966" t="n">
        <f aca="false">Z44</f>
        <v>2094.62445695856</v>
      </c>
      <c r="X45" s="61" t="n">
        <f aca="false">W45*Z$32*0.5</f>
        <v>136.150589702306</v>
      </c>
      <c r="Y45" s="61" t="n">
        <f aca="false">IF($B45&gt;=Z$31,W45,IF(Z$33&gt;=$B45,0,IF(W45&gt;1,CHOOSE(Z$34,Z$29/(Z$31-Z$33),-PMT(Z$32/2,Z$31-$B44,W45,0)-X45,Z$29*$AR45),0)))</f>
        <v>78.2919805469088</v>
      </c>
      <c r="Z45" s="833" t="n">
        <f aca="false">W45-Y45</f>
        <v>2016.33247641165</v>
      </c>
      <c r="AA45" s="61"/>
      <c r="AB45" s="64"/>
      <c r="AC45" s="61"/>
      <c r="AD45" s="64"/>
      <c r="AE45" s="945"/>
      <c r="AG45" s="968" t="n">
        <f aca="false">8362.95238095238+250</f>
        <v>8612.95238095238</v>
      </c>
      <c r="AH45" s="89" t="n">
        <f aca="false">IF(AG$77=0,0,AG45/AG$77)</f>
        <v>0.0430647619047619</v>
      </c>
      <c r="AI45" s="969" t="n">
        <v>0</v>
      </c>
      <c r="AJ45" s="95" t="n">
        <f aca="false">IF(AI$77=0,0,AI45/AI$77)</f>
        <v>0</v>
      </c>
      <c r="AK45" s="969" t="n">
        <v>0</v>
      </c>
      <c r="AL45" s="95" t="n">
        <f aca="false">IF(AK$77=0,0,AK45/AK$77)</f>
        <v>0</v>
      </c>
      <c r="AM45" s="969" t="n">
        <v>0</v>
      </c>
      <c r="AN45" s="95" t="n">
        <f aca="false">IF(AM$77=0,0,AM45/AM$77)</f>
        <v>0</v>
      </c>
      <c r="AO45" s="969" t="n">
        <v>0</v>
      </c>
      <c r="AP45" s="95" t="n">
        <f aca="false">IF(AO$77=0,0,AO45/AO$77)</f>
        <v>0</v>
      </c>
      <c r="AQ45" s="969" t="n">
        <v>0</v>
      </c>
      <c r="AR45" s="89" t="n">
        <f aca="false">IF(AQ$77=0,0,AQ45/AQ$77)</f>
        <v>0</v>
      </c>
    </row>
    <row r="46" customFormat="false" ht="12.75" hidden="false" customHeight="false" outlineLevel="0" collapsed="false">
      <c r="A46" s="970" t="n">
        <f aca="false">A45</f>
        <v>2005</v>
      </c>
      <c r="B46" s="971" t="n">
        <f aca="false">B45+1</f>
        <v>9</v>
      </c>
      <c r="C46" s="972" t="n">
        <f aca="false">F45</f>
        <v>79192.7871177547</v>
      </c>
      <c r="D46" s="625" t="n">
        <f aca="false">C46*F$32*0.5</f>
        <v>4359.56293083239</v>
      </c>
      <c r="E46" s="692" t="n">
        <f aca="false">IF($B46&gt;=F$31,C46,IF(F$33&gt;=$B46,0,IF(C46&gt;1,CHOOSE(F$34,F$29/(F$31-F$33),-PMT(F$32/2,F$31-$B45,C46,0)-D46,F$29*$AH46),0)))*Assm!$X$90</f>
        <v>4462.00102706108</v>
      </c>
      <c r="F46" s="974" t="n">
        <f aca="false">C46-E46</f>
        <v>74730.7860906936</v>
      </c>
      <c r="G46" s="972" t="n">
        <f aca="false">J45</f>
        <v>0</v>
      </c>
      <c r="H46" s="625" t="n">
        <f aca="false">G46*J$32*0.5</f>
        <v>0</v>
      </c>
      <c r="I46" s="625" t="n">
        <f aca="false">IF($B46&gt;=J$31,G46,IF(J$33&gt;=$B46,0,IF(G46&gt;1,CHOOSE(J$34,J$29/(J$31-J$33),-PMT(J$32/2,J$31-$B45,G46,0)-H46,J$29*$AJ46),0)))</f>
        <v>0</v>
      </c>
      <c r="J46" s="974" t="n">
        <f aca="false">G46-I46</f>
        <v>0</v>
      </c>
      <c r="K46" s="972" t="n">
        <f aca="false">N45</f>
        <v>0</v>
      </c>
      <c r="L46" s="625" t="n">
        <f aca="false">K46*N$32*0.5</f>
        <v>0</v>
      </c>
      <c r="M46" s="625" t="n">
        <f aca="false">IF($B46&gt;=N$31,K46,IF(N$33&gt;=$B46,0,IF(K46&gt;1,CHOOSE(N$34,N$29/(N$31-N$33),-PMT(N$32/2,N$31-$B45,K46,0)-L46,N$29*$AL46),0)))</f>
        <v>0</v>
      </c>
      <c r="N46" s="974" t="n">
        <f aca="false">K46-M46</f>
        <v>0</v>
      </c>
      <c r="O46" s="972" t="n">
        <f aca="false">R45</f>
        <v>0</v>
      </c>
      <c r="P46" s="625" t="n">
        <f aca="false">O46*R$32*0.5</f>
        <v>0</v>
      </c>
      <c r="Q46" s="625" t="n">
        <f aca="false">IF($B46&gt;=R$31,O46,IF(R$33&gt;=$B46,0,IF(O46&gt;1,CHOOSE(R$34,R$29/(R$31-R$33),-PMT(R$32/2,R$31-$B45,O46,0)-P46,R$29*$AN46),0)))</f>
        <v>0</v>
      </c>
      <c r="R46" s="974" t="n">
        <f aca="false">O46-Q46</f>
        <v>0</v>
      </c>
      <c r="S46" s="972" t="n">
        <f aca="false">V45</f>
        <v>0</v>
      </c>
      <c r="T46" s="625" t="n">
        <f aca="false">S46*V$32*0.5</f>
        <v>0</v>
      </c>
      <c r="U46" s="625" t="n">
        <f aca="false">IF($B46&gt;=V$31,S46,IF(V$33&gt;=$B46,0,IF(S46&gt;1,CHOOSE(V$34,V$29/(V$31-V$33),-PMT(V$32/2,V$31-$B45,S46,0)-T46,V$29*$AP46),0)))</f>
        <v>0</v>
      </c>
      <c r="V46" s="974" t="n">
        <f aca="false">S46-U46</f>
        <v>0</v>
      </c>
      <c r="W46" s="972" t="n">
        <f aca="false">Z45</f>
        <v>2016.33247641165</v>
      </c>
      <c r="X46" s="625" t="n">
        <f aca="false">W46*Z$32*0.5</f>
        <v>131.061610966757</v>
      </c>
      <c r="Y46" s="625" t="n">
        <f aca="false">IF($B46&gt;=Z$31,W46,IF(Z$33&gt;=$B46,0,IF(W46&gt;1,CHOOSE(Z$34,Z$29/(Z$31-Z$33),-PMT(Z$32/2,Z$31-$B45,W46,0)-X46,Z$29*$AR46),0)))</f>
        <v>83.3809592824579</v>
      </c>
      <c r="Z46" s="974" t="n">
        <f aca="false">W46-Y46</f>
        <v>1932.95151712919</v>
      </c>
      <c r="AA46" s="625" t="n">
        <f aca="false">SUM(D45:D46,H45:H46,L45:L46,P45:P46,T45:T46)</f>
        <v>8941.28665758468</v>
      </c>
      <c r="AB46" s="975" t="n">
        <f aca="false">SUM(E45:E46,I45:I46,M45:M46,Q45:Q46,U45:U46)</f>
        <v>8497.61948155494</v>
      </c>
      <c r="AC46" s="625" t="n">
        <f aca="false">SUM(X45:X46)</f>
        <v>267.212200669063</v>
      </c>
      <c r="AD46" s="975" t="n">
        <f aca="false">SUM(Y45:Y46)</f>
        <v>161.672939829367</v>
      </c>
      <c r="AE46" s="976" t="n">
        <f aca="false">(C45+W45)*IF([1]RAROC!$B$103=1,VLOOKUP(A46,[2]!Guar_Fee_Table,2),IF([1]RAROC!$B$103=2,VLOOKUP(A46,[2]!Guar_Fee_Table,3),IF([1]RAROC!$B$103=3,VLOOKUP(A46,[2]!Guar_Fee_Table,4))))</f>
        <v>0</v>
      </c>
      <c r="AG46" s="968" t="n">
        <f aca="false">8362.95238095238+2660-1500</f>
        <v>9522.95238095238</v>
      </c>
      <c r="AH46" s="89" t="n">
        <f aca="false">IF(AG$77=0,0,AG46/AG$77)</f>
        <v>0.0476147619047619</v>
      </c>
      <c r="AI46" s="969" t="n">
        <v>0</v>
      </c>
      <c r="AJ46" s="95" t="n">
        <f aca="false">IF(AI$77=0,0,AI46/AI$77)</f>
        <v>0</v>
      </c>
      <c r="AK46" s="969" t="n">
        <v>0</v>
      </c>
      <c r="AL46" s="95" t="n">
        <f aca="false">IF(AK$77=0,0,AK46/AK$77)</f>
        <v>0</v>
      </c>
      <c r="AM46" s="969" t="n">
        <v>0</v>
      </c>
      <c r="AN46" s="95" t="n">
        <f aca="false">IF(AM$77=0,0,AM46/AM$77)</f>
        <v>0</v>
      </c>
      <c r="AO46" s="969" t="n">
        <v>0</v>
      </c>
      <c r="AP46" s="95" t="n">
        <f aca="false">IF(AO$77=0,0,AO46/AO$77)</f>
        <v>0</v>
      </c>
      <c r="AQ46" s="969" t="n">
        <v>0</v>
      </c>
      <c r="AR46" s="89" t="n">
        <f aca="false">IF(AQ$77=0,0,AQ46/AQ$77)</f>
        <v>0</v>
      </c>
    </row>
    <row r="47" customFormat="false" ht="12.75" hidden="false" customHeight="false" outlineLevel="0" collapsed="false">
      <c r="A47" s="259" t="n">
        <f aca="false">A45+1</f>
        <v>2006</v>
      </c>
      <c r="B47" s="965" t="n">
        <f aca="false">B46+1</f>
        <v>10</v>
      </c>
      <c r="C47" s="966" t="n">
        <f aca="false">F46</f>
        <v>74730.7860906936</v>
      </c>
      <c r="D47" s="61" t="n">
        <f aca="false">C47*F$32*0.5</f>
        <v>4113.92977429268</v>
      </c>
      <c r="E47" s="648" t="n">
        <f aca="false">IF($B47&gt;=F$31,C47,IF(F$33&gt;=$B47,0,IF(C47&gt;1,CHOOSE(F$34,F$29/(F$31-F$33),-PMT(F$32/2,F$31-$B46,C47,0)-D47,F$29*$AH47),0)))*Assm!$X$90</f>
        <v>4462.00102706108</v>
      </c>
      <c r="F47" s="833" t="n">
        <f aca="false">C47-E47</f>
        <v>70268.7850636325</v>
      </c>
      <c r="G47" s="966" t="n">
        <f aca="false">J46</f>
        <v>0</v>
      </c>
      <c r="H47" s="61" t="n">
        <f aca="false">G47*J$32*0.5</f>
        <v>0</v>
      </c>
      <c r="I47" s="61" t="n">
        <f aca="false">IF($B47&gt;=J$31,G47,IF(J$33&gt;=$B47,0,IF(G47&gt;1,CHOOSE(J$34,J$29/(J$31-J$33),-PMT(J$32/2,J$31-$B46,G47,0)-H47,J$29*$AJ47),0)))</f>
        <v>0</v>
      </c>
      <c r="J47" s="833" t="n">
        <f aca="false">G47-I47</f>
        <v>0</v>
      </c>
      <c r="K47" s="966" t="n">
        <f aca="false">N46</f>
        <v>0</v>
      </c>
      <c r="L47" s="61" t="n">
        <f aca="false">K47*N$32*0.5</f>
        <v>0</v>
      </c>
      <c r="M47" s="61" t="n">
        <f aca="false">IF($B47&gt;=N$31,K47,IF(N$33&gt;=$B47,0,IF(K47&gt;1,CHOOSE(N$34,N$29/(N$31-N$33),-PMT(N$32/2,N$31-$B46,K47,0)-L47,N$29*$AL47),0)))</f>
        <v>0</v>
      </c>
      <c r="N47" s="833" t="n">
        <f aca="false">K47-M47</f>
        <v>0</v>
      </c>
      <c r="O47" s="966" t="n">
        <f aca="false">R46</f>
        <v>0</v>
      </c>
      <c r="P47" s="61" t="n">
        <f aca="false">O47*R$32*0.5</f>
        <v>0</v>
      </c>
      <c r="Q47" s="61" t="n">
        <f aca="false">IF($B47&gt;=R$31,O47,IF(R$33&gt;=$B47,0,IF(O47&gt;1,CHOOSE(R$34,R$29/(R$31-R$33),-PMT(R$32/2,R$31-$B46,O47,0)-P47,R$29*$AN47),0)))</f>
        <v>0</v>
      </c>
      <c r="R47" s="833" t="n">
        <f aca="false">O47-Q47</f>
        <v>0</v>
      </c>
      <c r="S47" s="966" t="n">
        <f aca="false">V46</f>
        <v>0</v>
      </c>
      <c r="T47" s="61" t="n">
        <f aca="false">S47*V$32*0.5</f>
        <v>0</v>
      </c>
      <c r="U47" s="61" t="n">
        <f aca="false">IF($B47&gt;=V$31,S47,IF(V$33&gt;=$B47,0,IF(S47&gt;1,CHOOSE(V$34,V$29/(V$31-V$33),-PMT(V$32/2,V$31-$B46,S47,0)-T47,V$29*$AP47),0)))</f>
        <v>0</v>
      </c>
      <c r="V47" s="833" t="n">
        <f aca="false">S47-U47</f>
        <v>0</v>
      </c>
      <c r="W47" s="966" t="n">
        <f aca="false">Z46</f>
        <v>1932.95151712919</v>
      </c>
      <c r="X47" s="61" t="n">
        <f aca="false">W47*Z$32*0.5</f>
        <v>125.641848613397</v>
      </c>
      <c r="Y47" s="61" t="n">
        <f aca="false">IF($B47&gt;=Z$31,W47,IF(Z$33&gt;=$B47,0,IF(W47&gt;1,CHOOSE(Z$34,Z$29/(Z$31-Z$33),-PMT(Z$32/2,Z$31-$B46,W47,0)-X47,Z$29*$AR47),0)))</f>
        <v>88.8007216358176</v>
      </c>
      <c r="Z47" s="833" t="n">
        <f aca="false">W47-Y47</f>
        <v>1844.15079549337</v>
      </c>
      <c r="AA47" s="61"/>
      <c r="AB47" s="64"/>
      <c r="AC47" s="61"/>
      <c r="AD47" s="64"/>
      <c r="AE47" s="945"/>
      <c r="AG47" s="968" t="n">
        <f aca="false">8362.95238095238+2660-1500</f>
        <v>9522.95238095238</v>
      </c>
      <c r="AH47" s="89" t="n">
        <f aca="false">IF(AG$77=0,0,AG47/AG$77)</f>
        <v>0.0476147619047619</v>
      </c>
      <c r="AI47" s="969" t="n">
        <v>0</v>
      </c>
      <c r="AJ47" s="95" t="n">
        <f aca="false">IF(AI$77=0,0,AI47/AI$77)</f>
        <v>0</v>
      </c>
      <c r="AK47" s="969" t="n">
        <v>0</v>
      </c>
      <c r="AL47" s="95" t="n">
        <f aca="false">IF(AK$77=0,0,AK47/AK$77)</f>
        <v>0</v>
      </c>
      <c r="AM47" s="969" t="n">
        <v>0</v>
      </c>
      <c r="AN47" s="95" t="n">
        <f aca="false">IF(AM$77=0,0,AM47/AM$77)</f>
        <v>0</v>
      </c>
      <c r="AO47" s="969" t="n">
        <v>0</v>
      </c>
      <c r="AP47" s="95" t="n">
        <f aca="false">IF(AO$77=0,0,AO47/AO$77)</f>
        <v>0</v>
      </c>
      <c r="AQ47" s="969" t="n">
        <v>0</v>
      </c>
      <c r="AR47" s="89" t="n">
        <f aca="false">IF(AQ$77=0,0,AQ47/AQ$77)</f>
        <v>0</v>
      </c>
    </row>
    <row r="48" customFormat="false" ht="12.75" hidden="false" customHeight="false" outlineLevel="0" collapsed="false">
      <c r="A48" s="970" t="n">
        <f aca="false">A47</f>
        <v>2006</v>
      </c>
      <c r="B48" s="971" t="n">
        <f aca="false">B47+1</f>
        <v>11</v>
      </c>
      <c r="C48" s="972" t="n">
        <f aca="false">F47</f>
        <v>70268.7850636325</v>
      </c>
      <c r="D48" s="625" t="n">
        <f aca="false">C48*F$32*0.5</f>
        <v>3868.29661775297</v>
      </c>
      <c r="E48" s="692" t="n">
        <f aca="false">IF($B48&gt;=F$31,C48,IF(F$33&gt;=$B48,0,IF(C48&gt;1,CHOOSE(F$34,F$29/(F$31-F$33),-PMT(F$32/2,F$31-$B47,C48,0)-D48,F$29*$AH48),0)))*Assm!$X$90</f>
        <v>5164.82944338067</v>
      </c>
      <c r="F48" s="974" t="n">
        <f aca="false">C48-E48</f>
        <v>65103.9556202518</v>
      </c>
      <c r="G48" s="972" t="n">
        <f aca="false">J47</f>
        <v>0</v>
      </c>
      <c r="H48" s="625" t="n">
        <f aca="false">G48*J$32*0.5</f>
        <v>0</v>
      </c>
      <c r="I48" s="625" t="n">
        <f aca="false">IF($B48&gt;=J$31,G48,IF(J$33&gt;=$B48,0,IF(G48&gt;1,CHOOSE(J$34,J$29/(J$31-J$33),-PMT(J$32/2,J$31-$B47,G48,0)-H48,J$29*$AJ48),0)))</f>
        <v>0</v>
      </c>
      <c r="J48" s="974" t="n">
        <f aca="false">G48-I48</f>
        <v>0</v>
      </c>
      <c r="K48" s="972" t="n">
        <f aca="false">N47</f>
        <v>0</v>
      </c>
      <c r="L48" s="625" t="n">
        <f aca="false">K48*N$32*0.5</f>
        <v>0</v>
      </c>
      <c r="M48" s="625" t="n">
        <f aca="false">IF($B48&gt;=N$31,K48,IF(N$33&gt;=$B48,0,IF(K48&gt;1,CHOOSE(N$34,N$29/(N$31-N$33),-PMT(N$32/2,N$31-$B47,K48,0)-L48,N$29*$AL48),0)))</f>
        <v>0</v>
      </c>
      <c r="N48" s="974" t="n">
        <f aca="false">K48-M48</f>
        <v>0</v>
      </c>
      <c r="O48" s="972" t="n">
        <f aca="false">R47</f>
        <v>0</v>
      </c>
      <c r="P48" s="625" t="n">
        <f aca="false">O48*R$32*0.5</f>
        <v>0</v>
      </c>
      <c r="Q48" s="625" t="n">
        <f aca="false">IF($B48&gt;=R$31,O48,IF(R$33&gt;=$B48,0,IF(O48&gt;1,CHOOSE(R$34,R$29/(R$31-R$33),-PMT(R$32/2,R$31-$B47,O48,0)-P48,R$29*$AN48),0)))</f>
        <v>0</v>
      </c>
      <c r="R48" s="974" t="n">
        <f aca="false">O48-Q48</f>
        <v>0</v>
      </c>
      <c r="S48" s="972" t="n">
        <f aca="false">V47</f>
        <v>0</v>
      </c>
      <c r="T48" s="625" t="n">
        <f aca="false">S48*V$32*0.5</f>
        <v>0</v>
      </c>
      <c r="U48" s="625" t="n">
        <f aca="false">IF($B48&gt;=V$31,S48,IF(V$33&gt;=$B48,0,IF(S48&gt;1,CHOOSE(V$34,V$29/(V$31-V$33),-PMT(V$32/2,V$31-$B47,S48,0)-T48,V$29*$AP48),0)))</f>
        <v>0</v>
      </c>
      <c r="V48" s="974" t="n">
        <f aca="false">S48-U48</f>
        <v>0</v>
      </c>
      <c r="W48" s="972" t="n">
        <f aca="false">Z47</f>
        <v>1844.15079549337</v>
      </c>
      <c r="X48" s="625" t="n">
        <f aca="false">W48*Z$32*0.5</f>
        <v>119.869801707069</v>
      </c>
      <c r="Y48" s="625" t="n">
        <f aca="false">IF($B48&gt;=Z$31,W48,IF(Z$33&gt;=$B48,0,IF(W48&gt;1,CHOOSE(Z$34,Z$29/(Z$31-Z$33),-PMT(Z$32/2,Z$31-$B47,W48,0)-X48,Z$29*$AR48),0)))</f>
        <v>94.5727685421457</v>
      </c>
      <c r="Z48" s="974" t="n">
        <f aca="false">W48-Y48</f>
        <v>1749.57802695123</v>
      </c>
      <c r="AA48" s="625" t="n">
        <f aca="false">SUM(D47:D48,H47:H48,L47:L48,P47:P48,T47:T48)</f>
        <v>7982.22639204565</v>
      </c>
      <c r="AB48" s="975" t="n">
        <f aca="false">SUM(E47:E48,I47:I48,M47:M48,Q47:Q48,U47:U48)</f>
        <v>9626.83047044174</v>
      </c>
      <c r="AC48" s="625" t="n">
        <f aca="false">SUM(X47:X48)</f>
        <v>245.511650320467</v>
      </c>
      <c r="AD48" s="975" t="n">
        <f aca="false">SUM(Y47:Y48)</f>
        <v>183.373490177963</v>
      </c>
      <c r="AE48" s="976" t="n">
        <f aca="false">(C47+W47)*IF([1]RAROC!$B$103=1,VLOOKUP(A48,[2]!Guar_Fee_Table,2),IF([1]RAROC!$B$103=2,VLOOKUP(A48,[2]!Guar_Fee_Table,3),IF([1]RAROC!$B$103=3,VLOOKUP(A48,[2]!Guar_Fee_Table,4))))</f>
        <v>0</v>
      </c>
      <c r="AG48" s="968" t="n">
        <f aca="false">8362.95238095238+2660</f>
        <v>11022.9523809524</v>
      </c>
      <c r="AH48" s="89" t="n">
        <f aca="false">IF(AG$77=0,0,AG48/AG$77)</f>
        <v>0.0551147619047619</v>
      </c>
      <c r="AI48" s="969" t="n">
        <v>0</v>
      </c>
      <c r="AJ48" s="95" t="n">
        <f aca="false">IF(AI$77=0,0,AI48/AI$77)</f>
        <v>0</v>
      </c>
      <c r="AK48" s="969" t="n">
        <v>0</v>
      </c>
      <c r="AL48" s="95" t="n">
        <f aca="false">IF(AK$77=0,0,AK48/AK$77)</f>
        <v>0</v>
      </c>
      <c r="AM48" s="969" t="n">
        <v>0</v>
      </c>
      <c r="AN48" s="95" t="n">
        <f aca="false">IF(AM$77=0,0,AM48/AM$77)</f>
        <v>0</v>
      </c>
      <c r="AO48" s="969" t="n">
        <v>0</v>
      </c>
      <c r="AP48" s="95" t="n">
        <f aca="false">IF(AO$77=0,0,AO48/AO$77)</f>
        <v>0</v>
      </c>
      <c r="AQ48" s="969" t="n">
        <v>0</v>
      </c>
      <c r="AR48" s="89" t="n">
        <f aca="false">IF(AQ$77=0,0,AQ48/AQ$77)</f>
        <v>0</v>
      </c>
    </row>
    <row r="49" customFormat="false" ht="12.75" hidden="false" customHeight="false" outlineLevel="0" collapsed="false">
      <c r="A49" s="259" t="n">
        <f aca="false">A47+1</f>
        <v>2007</v>
      </c>
      <c r="B49" s="965" t="n">
        <f aca="false">B48+1</f>
        <v>12</v>
      </c>
      <c r="C49" s="966" t="n">
        <f aca="false">F48</f>
        <v>65103.9556202518</v>
      </c>
      <c r="D49" s="61" t="n">
        <f aca="false">C49*F$32*0.5</f>
        <v>3583.97275689486</v>
      </c>
      <c r="E49" s="648" t="n">
        <f aca="false">IF($B49&gt;=F$31,C49,IF(F$33&gt;=$B49,0,IF(C49&gt;1,CHOOSE(F$34,F$29/(F$31-F$33),-PMT(F$32/2,F$31-$B48,C49,0)-D49,F$29*$AH49),0)))*Assm!$X$90</f>
        <v>5164.82944338067</v>
      </c>
      <c r="F49" s="833" t="n">
        <f aca="false">C49-E49</f>
        <v>59939.1261768712</v>
      </c>
      <c r="G49" s="966" t="n">
        <f aca="false">J48</f>
        <v>0</v>
      </c>
      <c r="H49" s="61" t="n">
        <f aca="false">G49*J$32*0.5</f>
        <v>0</v>
      </c>
      <c r="I49" s="61" t="n">
        <f aca="false">IF($B49&gt;=J$31,G49,IF(J$33&gt;=$B49,0,IF(G49&gt;1,CHOOSE(J$34,J$29/(J$31-J$33),-PMT(J$32/2,J$31-$B48,G49,0)-H49,J$29*$AJ49),0)))</f>
        <v>0</v>
      </c>
      <c r="J49" s="833" t="n">
        <f aca="false">G49-I49</f>
        <v>0</v>
      </c>
      <c r="K49" s="966" t="n">
        <f aca="false">N48</f>
        <v>0</v>
      </c>
      <c r="L49" s="61" t="n">
        <f aca="false">K49*N$32*0.5</f>
        <v>0</v>
      </c>
      <c r="M49" s="61" t="n">
        <f aca="false">IF($B49&gt;=N$31,K49,IF(N$33&gt;=$B49,0,IF(K49&gt;1,CHOOSE(N$34,N$29/(N$31-N$33),-PMT(N$32/2,N$31-$B48,K49,0)-L49,N$29*$AL49),0)))</f>
        <v>0</v>
      </c>
      <c r="N49" s="833" t="n">
        <f aca="false">K49-M49</f>
        <v>0</v>
      </c>
      <c r="O49" s="966" t="n">
        <f aca="false">R48</f>
        <v>0</v>
      </c>
      <c r="P49" s="61" t="n">
        <f aca="false">O49*R$32*0.5</f>
        <v>0</v>
      </c>
      <c r="Q49" s="61" t="n">
        <f aca="false">IF($B49&gt;=R$31,O49,IF(R$33&gt;=$B49,0,IF(O49&gt;1,CHOOSE(R$34,R$29/(R$31-R$33),-PMT(R$32/2,R$31-$B48,O49,0)-P49,R$29*$AN49),0)))</f>
        <v>0</v>
      </c>
      <c r="R49" s="833" t="n">
        <f aca="false">O49-Q49</f>
        <v>0</v>
      </c>
      <c r="S49" s="966" t="n">
        <f aca="false">V48</f>
        <v>0</v>
      </c>
      <c r="T49" s="61" t="n">
        <f aca="false">S49*V$32*0.5</f>
        <v>0</v>
      </c>
      <c r="U49" s="61" t="n">
        <f aca="false">IF($B49&gt;=V$31,S49,IF(V$33&gt;=$B49,0,IF(S49&gt;1,CHOOSE(V$34,V$29/(V$31-V$33),-PMT(V$32/2,V$31-$B48,S49,0)-T49,V$29*$AP49),0)))</f>
        <v>0</v>
      </c>
      <c r="V49" s="833" t="n">
        <f aca="false">S49-U49</f>
        <v>0</v>
      </c>
      <c r="W49" s="966" t="n">
        <f aca="false">Z48</f>
        <v>1749.57802695123</v>
      </c>
      <c r="X49" s="61" t="n">
        <f aca="false">W49*Z$32*0.5</f>
        <v>113.72257175183</v>
      </c>
      <c r="Y49" s="61" t="n">
        <f aca="false">IF($B49&gt;=Z$31,W49,IF(Z$33&gt;=$B49,0,IF(W49&gt;1,CHOOSE(Z$34,Z$29/(Z$31-Z$33),-PMT(Z$32/2,Z$31-$B48,W49,0)-X49,Z$29*$AR49),0)))</f>
        <v>100.719998497385</v>
      </c>
      <c r="Z49" s="833" t="n">
        <f aca="false">W49-Y49</f>
        <v>1648.85802845384</v>
      </c>
      <c r="AA49" s="61"/>
      <c r="AB49" s="64"/>
      <c r="AC49" s="61"/>
      <c r="AD49" s="64"/>
      <c r="AE49" s="945"/>
      <c r="AG49" s="968" t="n">
        <f aca="false">8362.95238095238+2660</f>
        <v>11022.9523809524</v>
      </c>
      <c r="AH49" s="89" t="n">
        <f aca="false">IF(AG$77=0,0,AG49/AG$77)</f>
        <v>0.0551147619047619</v>
      </c>
      <c r="AI49" s="969" t="n">
        <v>0</v>
      </c>
      <c r="AJ49" s="95" t="n">
        <f aca="false">IF(AI$77=0,0,AI49/AI$77)</f>
        <v>0</v>
      </c>
      <c r="AK49" s="969" t="n">
        <v>0</v>
      </c>
      <c r="AL49" s="95" t="n">
        <f aca="false">IF(AK$77=0,0,AK49/AK$77)</f>
        <v>0</v>
      </c>
      <c r="AM49" s="969" t="n">
        <v>0</v>
      </c>
      <c r="AN49" s="95" t="n">
        <f aca="false">IF(AM$77=0,0,AM49/AM$77)</f>
        <v>0</v>
      </c>
      <c r="AO49" s="969" t="n">
        <v>0</v>
      </c>
      <c r="AP49" s="95" t="n">
        <f aca="false">IF(AO$77=0,0,AO49/AO$77)</f>
        <v>0</v>
      </c>
      <c r="AQ49" s="969" t="n">
        <v>0</v>
      </c>
      <c r="AR49" s="89" t="n">
        <f aca="false">IF(AQ$77=0,0,AQ49/AQ$77)</f>
        <v>0</v>
      </c>
    </row>
    <row r="50" customFormat="false" ht="12.75" hidden="false" customHeight="false" outlineLevel="0" collapsed="false">
      <c r="A50" s="970" t="n">
        <f aca="false">A49</f>
        <v>2007</v>
      </c>
      <c r="B50" s="971" t="n">
        <f aca="false">B49+1</f>
        <v>13</v>
      </c>
      <c r="C50" s="972" t="n">
        <f aca="false">F49</f>
        <v>59939.1261768712</v>
      </c>
      <c r="D50" s="625" t="n">
        <f aca="false">C50*F$32*0.5</f>
        <v>3299.64889603676</v>
      </c>
      <c r="E50" s="692" t="n">
        <f aca="false">IF($B50&gt;=F$31,C50,IF(F$33&gt;=$B50,0,IF(C50&gt;1,CHOOSE(F$34,F$29/(F$31-F$33),-PMT(F$32/2,F$31-$B49,C50,0)-D50,F$29*$AH50),0)))*Assm!$X$90</f>
        <v>5164.82944338067</v>
      </c>
      <c r="F50" s="974" t="n">
        <f aca="false">C50-E50</f>
        <v>54774.2967334905</v>
      </c>
      <c r="G50" s="972" t="n">
        <f aca="false">J49</f>
        <v>0</v>
      </c>
      <c r="H50" s="625" t="n">
        <f aca="false">G50*J$32*0.5</f>
        <v>0</v>
      </c>
      <c r="I50" s="625" t="n">
        <f aca="false">IF($B50&gt;=J$31,G50,IF(J$33&gt;=$B50,0,IF(G50&gt;1,CHOOSE(J$34,J$29/(J$31-J$33),-PMT(J$32/2,J$31-$B49,G50,0)-H50,J$29*$AJ50),0)))</f>
        <v>0</v>
      </c>
      <c r="J50" s="974" t="n">
        <f aca="false">G50-I50</f>
        <v>0</v>
      </c>
      <c r="K50" s="972" t="n">
        <f aca="false">N49</f>
        <v>0</v>
      </c>
      <c r="L50" s="625" t="n">
        <f aca="false">K50*N$32*0.5</f>
        <v>0</v>
      </c>
      <c r="M50" s="625" t="n">
        <f aca="false">IF($B50&gt;=N$31,K50,IF(N$33&gt;=$B50,0,IF(K50&gt;1,CHOOSE(N$34,N$29/(N$31-N$33),-PMT(N$32/2,N$31-$B49,K50,0)-L50,N$29*$AL50),0)))</f>
        <v>0</v>
      </c>
      <c r="N50" s="974" t="n">
        <f aca="false">K50-M50</f>
        <v>0</v>
      </c>
      <c r="O50" s="972" t="n">
        <f aca="false">R49</f>
        <v>0</v>
      </c>
      <c r="P50" s="625" t="n">
        <f aca="false">O50*R$32*0.5</f>
        <v>0</v>
      </c>
      <c r="Q50" s="625" t="n">
        <f aca="false">IF($B50&gt;=R$31,O50,IF(R$33&gt;=$B50,0,IF(O50&gt;1,CHOOSE(R$34,R$29/(R$31-R$33),-PMT(R$32/2,R$31-$B49,O50,0)-P50,R$29*$AN50),0)))</f>
        <v>0</v>
      </c>
      <c r="R50" s="974" t="n">
        <f aca="false">O50-Q50</f>
        <v>0</v>
      </c>
      <c r="S50" s="972" t="n">
        <f aca="false">V49</f>
        <v>0</v>
      </c>
      <c r="T50" s="625" t="n">
        <f aca="false">S50*V$32*0.5</f>
        <v>0</v>
      </c>
      <c r="U50" s="625" t="n">
        <f aca="false">IF($B50&gt;=V$31,S50,IF(V$33&gt;=$B50,0,IF(S50&gt;1,CHOOSE(V$34,V$29/(V$31-V$33),-PMT(V$32/2,V$31-$B49,S50,0)-T50,V$29*$AP50),0)))</f>
        <v>0</v>
      </c>
      <c r="V50" s="974" t="n">
        <f aca="false">S50-U50</f>
        <v>0</v>
      </c>
      <c r="W50" s="972" t="n">
        <f aca="false">Z49</f>
        <v>1648.85802845384</v>
      </c>
      <c r="X50" s="625" t="n">
        <f aca="false">W50*Z$32*0.5</f>
        <v>107.1757718495</v>
      </c>
      <c r="Y50" s="625" t="n">
        <f aca="false">IF($B50&gt;=Z$31,W50,IF(Z$33&gt;=$B50,0,IF(W50&gt;1,CHOOSE(Z$34,Z$29/(Z$31-Z$33),-PMT(Z$32/2,Z$31-$B49,W50,0)-X50,Z$29*$AR50),0)))</f>
        <v>107.266798399715</v>
      </c>
      <c r="Z50" s="974" t="n">
        <f aca="false">W50-Y50</f>
        <v>1541.59123005413</v>
      </c>
      <c r="AA50" s="625" t="n">
        <f aca="false">SUM(D49:D50,H49:H50,L49:L50,P49:P50,T49:T50)</f>
        <v>6883.62165293162</v>
      </c>
      <c r="AB50" s="975" t="n">
        <f aca="false">SUM(E49:E50,I49:I50,M49:M50,Q49:Q50,U49:U50)</f>
        <v>10329.6588867613</v>
      </c>
      <c r="AC50" s="625" t="n">
        <f aca="false">SUM(X49:X50)</f>
        <v>220.89834360133</v>
      </c>
      <c r="AD50" s="975" t="n">
        <f aca="false">SUM(Y49:Y50)</f>
        <v>207.986796897101</v>
      </c>
      <c r="AE50" s="976" t="n">
        <f aca="false">(C49+W49)*IF([1]RAROC!$B$103=1,VLOOKUP(A50,[2]!Guar_Fee_Table,2),IF([1]RAROC!$B$103=2,VLOOKUP(A50,[2]!Guar_Fee_Table,3),IF([1]RAROC!$B$103=3,VLOOKUP(A50,[2]!Guar_Fee_Table,4))))</f>
        <v>0</v>
      </c>
      <c r="AG50" s="968" t="n">
        <f aca="false">8362.95238095238+2660</f>
        <v>11022.9523809524</v>
      </c>
      <c r="AH50" s="89" t="n">
        <f aca="false">IF(AG$77=0,0,AG50/AG$77)</f>
        <v>0.0551147619047619</v>
      </c>
      <c r="AI50" s="969" t="n">
        <v>0</v>
      </c>
      <c r="AJ50" s="95" t="n">
        <f aca="false">IF(AI$77=0,0,AI50/AI$77)</f>
        <v>0</v>
      </c>
      <c r="AK50" s="969" t="n">
        <v>0</v>
      </c>
      <c r="AL50" s="95" t="n">
        <f aca="false">IF(AK$77=0,0,AK50/AK$77)</f>
        <v>0</v>
      </c>
      <c r="AM50" s="969" t="n">
        <v>0</v>
      </c>
      <c r="AN50" s="95" t="n">
        <f aca="false">IF(AM$77=0,0,AM50/AM$77)</f>
        <v>0</v>
      </c>
      <c r="AO50" s="969" t="n">
        <v>0</v>
      </c>
      <c r="AP50" s="95" t="n">
        <f aca="false">IF(AO$77=0,0,AO50/AO$77)</f>
        <v>0</v>
      </c>
      <c r="AQ50" s="969" t="n">
        <v>0</v>
      </c>
      <c r="AR50" s="89" t="n">
        <f aca="false">IF(AQ$77=0,0,AQ50/AQ$77)</f>
        <v>0</v>
      </c>
    </row>
    <row r="51" customFormat="false" ht="12.75" hidden="false" customHeight="false" outlineLevel="0" collapsed="false">
      <c r="A51" s="259" t="n">
        <f aca="false">A49+1</f>
        <v>2008</v>
      </c>
      <c r="B51" s="965" t="n">
        <f aca="false">B50+1</f>
        <v>14</v>
      </c>
      <c r="C51" s="966" t="n">
        <f aca="false">F50</f>
        <v>54774.2967334905</v>
      </c>
      <c r="D51" s="61" t="n">
        <f aca="false">C51*F$32*0.5</f>
        <v>3015.32503517865</v>
      </c>
      <c r="E51" s="648" t="n">
        <f aca="false">IF($B51&gt;=F$31,C51,IF(F$33&gt;=$B51,0,IF(C51&gt;1,CHOOSE(F$34,F$29/(F$31-F$33),-PMT(F$32/2,F$31-$B50,C51,0)-D51,F$29*$AH51),0)))*Assm!$X$90</f>
        <v>5164.82944338067</v>
      </c>
      <c r="F51" s="833" t="n">
        <f aca="false">C51-E51</f>
        <v>49609.4672901098</v>
      </c>
      <c r="G51" s="966" t="n">
        <f aca="false">J50</f>
        <v>0</v>
      </c>
      <c r="H51" s="61" t="n">
        <f aca="false">G51*J$32*0.5</f>
        <v>0</v>
      </c>
      <c r="I51" s="61" t="n">
        <f aca="false">IF($B51&gt;=J$31,G51,IF(J$33&gt;=$B51,0,IF(G51&gt;1,CHOOSE(J$34,J$29/(J$31-J$33),-PMT(J$32/2,J$31-$B50,G51,0)-H51,J$29*$AJ51),0)))</f>
        <v>0</v>
      </c>
      <c r="J51" s="833" t="n">
        <f aca="false">G51-I51</f>
        <v>0</v>
      </c>
      <c r="K51" s="966" t="n">
        <f aca="false">N50</f>
        <v>0</v>
      </c>
      <c r="L51" s="61" t="n">
        <f aca="false">K51*N$32*0.5</f>
        <v>0</v>
      </c>
      <c r="M51" s="61" t="n">
        <f aca="false">IF($B51&gt;=N$31,K51,IF(N$33&gt;=$B51,0,IF(K51&gt;1,CHOOSE(N$34,N$29/(N$31-N$33),-PMT(N$32/2,N$31-$B50,K51,0)-L51,N$29*$AL51),0)))</f>
        <v>0</v>
      </c>
      <c r="N51" s="833" t="n">
        <f aca="false">K51-M51</f>
        <v>0</v>
      </c>
      <c r="O51" s="966" t="n">
        <f aca="false">R50</f>
        <v>0</v>
      </c>
      <c r="P51" s="61" t="n">
        <f aca="false">O51*R$32*0.5</f>
        <v>0</v>
      </c>
      <c r="Q51" s="61" t="n">
        <f aca="false">IF($B51&gt;=R$31,O51,IF(R$33&gt;=$B51,0,IF(O51&gt;1,CHOOSE(R$34,R$29/(R$31-R$33),-PMT(R$32/2,R$31-$B50,O51,0)-P51,R$29*$AN51),0)))</f>
        <v>0</v>
      </c>
      <c r="R51" s="833" t="n">
        <f aca="false">O51-Q51</f>
        <v>0</v>
      </c>
      <c r="S51" s="966" t="n">
        <f aca="false">V50</f>
        <v>0</v>
      </c>
      <c r="T51" s="61" t="n">
        <f aca="false">S51*V$32*0.5</f>
        <v>0</v>
      </c>
      <c r="U51" s="61" t="n">
        <f aca="false">IF($B51&gt;=V$31,S51,IF(V$33&gt;=$B51,0,IF(S51&gt;1,CHOOSE(V$34,V$29/(V$31-V$33),-PMT(V$32/2,V$31-$B50,S51,0)-T51,V$29*$AP51),0)))</f>
        <v>0</v>
      </c>
      <c r="V51" s="833" t="n">
        <f aca="false">S51-U51</f>
        <v>0</v>
      </c>
      <c r="W51" s="966" t="n">
        <f aca="false">Z50</f>
        <v>1541.59123005413</v>
      </c>
      <c r="X51" s="61" t="n">
        <f aca="false">W51*Z$32*0.5</f>
        <v>100.203429953518</v>
      </c>
      <c r="Y51" s="61" t="n">
        <f aca="false">IF($B51&gt;=Z$31,W51,IF(Z$33&gt;=$B51,0,IF(W51&gt;1,CHOOSE(Z$34,Z$29/(Z$31-Z$33),-PMT(Z$32/2,Z$31-$B50,W51,0)-X51,Z$29*$AR51),0)))</f>
        <v>114.239140295697</v>
      </c>
      <c r="Z51" s="833" t="n">
        <f aca="false">W51-Y51</f>
        <v>1427.35208975843</v>
      </c>
      <c r="AA51" s="61"/>
      <c r="AB51" s="64"/>
      <c r="AC51" s="61"/>
      <c r="AD51" s="64"/>
      <c r="AE51" s="945"/>
      <c r="AG51" s="968" t="n">
        <f aca="false">8362.95238095238+2660</f>
        <v>11022.9523809524</v>
      </c>
      <c r="AH51" s="89" t="n">
        <f aca="false">IF(AG$77=0,0,AG51/AG$77)</f>
        <v>0.0551147619047619</v>
      </c>
      <c r="AI51" s="969" t="n">
        <v>0</v>
      </c>
      <c r="AJ51" s="95" t="n">
        <f aca="false">IF(AI$77=0,0,AI51/AI$77)</f>
        <v>0</v>
      </c>
      <c r="AK51" s="969" t="n">
        <v>0</v>
      </c>
      <c r="AL51" s="95" t="n">
        <f aca="false">IF(AK$77=0,0,AK51/AK$77)</f>
        <v>0</v>
      </c>
      <c r="AM51" s="969" t="n">
        <v>0</v>
      </c>
      <c r="AN51" s="95" t="n">
        <f aca="false">IF(AM$77=0,0,AM51/AM$77)</f>
        <v>0</v>
      </c>
      <c r="AO51" s="969" t="n">
        <v>0</v>
      </c>
      <c r="AP51" s="95" t="n">
        <f aca="false">IF(AO$77=0,0,AO51/AO$77)</f>
        <v>0</v>
      </c>
      <c r="AQ51" s="969" t="n">
        <v>0</v>
      </c>
      <c r="AR51" s="89" t="n">
        <f aca="false">IF(AQ$77=0,0,AQ51/AQ$77)</f>
        <v>0</v>
      </c>
    </row>
    <row r="52" customFormat="false" ht="12.75" hidden="false" customHeight="false" outlineLevel="0" collapsed="false">
      <c r="A52" s="970" t="n">
        <f aca="false">A51</f>
        <v>2008</v>
      </c>
      <c r="B52" s="971" t="n">
        <f aca="false">B51+1</f>
        <v>15</v>
      </c>
      <c r="C52" s="972" t="n">
        <f aca="false">F51</f>
        <v>49609.4672901098</v>
      </c>
      <c r="D52" s="625" t="n">
        <f aca="false">C52*F$32*0.5</f>
        <v>2731.00117432055</v>
      </c>
      <c r="E52" s="692" t="n">
        <f aca="false">IF($B52&gt;=F$31,C52,IF(F$33&gt;=$B52,0,IF(C52&gt;1,CHOOSE(F$34,F$29/(F$31-F$33),-PMT(F$32/2,F$31-$B51,C52,0)-D52,F$29*$AH52),0)))*Assm!$X$90</f>
        <v>2672.13132683386</v>
      </c>
      <c r="F52" s="974" t="n">
        <f aca="false">C52-E52</f>
        <v>46937.335963276</v>
      </c>
      <c r="G52" s="972" t="n">
        <f aca="false">J51</f>
        <v>0</v>
      </c>
      <c r="H52" s="625" t="n">
        <f aca="false">G52*J$32*0.5</f>
        <v>0</v>
      </c>
      <c r="I52" s="625" t="n">
        <f aca="false">IF($B52&gt;=J$31,G52,IF(J$33&gt;=$B52,0,IF(G52&gt;1,CHOOSE(J$34,J$29/(J$31-J$33),-PMT(J$32/2,J$31-$B51,G52,0)-H52,J$29*$AJ52),0)))</f>
        <v>0</v>
      </c>
      <c r="J52" s="974" t="n">
        <f aca="false">G52-I52</f>
        <v>0</v>
      </c>
      <c r="K52" s="972" t="n">
        <f aca="false">N51</f>
        <v>0</v>
      </c>
      <c r="L52" s="625" t="n">
        <f aca="false">K52*N$32*0.5</f>
        <v>0</v>
      </c>
      <c r="M52" s="625" t="n">
        <f aca="false">IF($B52&gt;=N$31,K52,IF(N$33&gt;=$B52,0,IF(K52&gt;1,CHOOSE(N$34,N$29/(N$31-N$33),-PMT(N$32/2,N$31-$B51,K52,0)-L52,N$29*$AL52),0)))</f>
        <v>0</v>
      </c>
      <c r="N52" s="974" t="n">
        <f aca="false">K52-M52</f>
        <v>0</v>
      </c>
      <c r="O52" s="972" t="n">
        <f aca="false">R51</f>
        <v>0</v>
      </c>
      <c r="P52" s="625" t="n">
        <f aca="false">O52*R$32*0.5</f>
        <v>0</v>
      </c>
      <c r="Q52" s="625" t="n">
        <f aca="false">IF($B52&gt;=R$31,O52,IF(R$33&gt;=$B52,0,IF(O52&gt;1,CHOOSE(R$34,R$29/(R$31-R$33),-PMT(R$32/2,R$31-$B51,O52,0)-P52,R$29*$AN52),0)))</f>
        <v>0</v>
      </c>
      <c r="R52" s="974" t="n">
        <f aca="false">O52-Q52</f>
        <v>0</v>
      </c>
      <c r="S52" s="972" t="n">
        <f aca="false">V51</f>
        <v>0</v>
      </c>
      <c r="T52" s="625" t="n">
        <f aca="false">S52*V$32*0.5</f>
        <v>0</v>
      </c>
      <c r="U52" s="625" t="n">
        <f aca="false">IF($B52&gt;=V$31,S52,IF(V$33&gt;=$B52,0,IF(S52&gt;1,CHOOSE(V$34,V$29/(V$31-V$33),-PMT(V$32/2,V$31-$B51,S52,0)-T52,V$29*$AP52),0)))</f>
        <v>0</v>
      </c>
      <c r="V52" s="974" t="n">
        <f aca="false">S52-U52</f>
        <v>0</v>
      </c>
      <c r="W52" s="972" t="n">
        <f aca="false">Z51</f>
        <v>1427.35208975843</v>
      </c>
      <c r="X52" s="625" t="n">
        <f aca="false">W52*Z$32*0.5</f>
        <v>92.777885834298</v>
      </c>
      <c r="Y52" s="625" t="n">
        <f aca="false">IF($B52&gt;=Z$31,W52,IF(Z$33&gt;=$B52,0,IF(W52&gt;1,CHOOSE(Z$34,Z$29/(Z$31-Z$33),-PMT(Z$32/2,Z$31-$B51,W52,0)-X52,Z$29*$AR52),0)))</f>
        <v>121.664684414917</v>
      </c>
      <c r="Z52" s="974" t="n">
        <f aca="false">W52-Y52</f>
        <v>1305.68740534351</v>
      </c>
      <c r="AA52" s="625" t="n">
        <f aca="false">SUM(D51:D52,H51:H52,L51:L52,P51:P52,T51:T52)</f>
        <v>5746.3262094992</v>
      </c>
      <c r="AB52" s="975" t="n">
        <f aca="false">SUM(E51:E52,I51:I52,M51:M52,Q51:Q52,U51:U52)</f>
        <v>7836.96077021452</v>
      </c>
      <c r="AC52" s="625" t="n">
        <f aca="false">SUM(X51:X52)</f>
        <v>192.981315787816</v>
      </c>
      <c r="AD52" s="975" t="n">
        <f aca="false">SUM(Y51:Y52)</f>
        <v>235.903824710614</v>
      </c>
      <c r="AE52" s="976" t="n">
        <f aca="false">(C51+W51)*IF([1]RAROC!$B$103=1,VLOOKUP(A52,[2]!Guar_Fee_Table,2),IF([1]RAROC!$B$103=2,VLOOKUP(A52,[2]!Guar_Fee_Table,3),IF([1]RAROC!$B$103=3,VLOOKUP(A52,[2]!Guar_Fee_Table,4))))</f>
        <v>0</v>
      </c>
      <c r="AG52" s="968" t="n">
        <f aca="false">8362.95238095238-2660</f>
        <v>5702.95238095238</v>
      </c>
      <c r="AH52" s="89" t="n">
        <f aca="false">IF(AG$77=0,0,AG52/AG$77)</f>
        <v>0.0285147619047619</v>
      </c>
      <c r="AI52" s="969" t="n">
        <v>0</v>
      </c>
      <c r="AJ52" s="95" t="n">
        <f aca="false">IF(AI$77=0,0,AI52/AI$77)</f>
        <v>0</v>
      </c>
      <c r="AK52" s="969" t="n">
        <v>0</v>
      </c>
      <c r="AL52" s="95" t="n">
        <f aca="false">IF(AK$77=0,0,AK52/AK$77)</f>
        <v>0</v>
      </c>
      <c r="AM52" s="969" t="n">
        <v>0</v>
      </c>
      <c r="AN52" s="95" t="n">
        <f aca="false">IF(AM$77=0,0,AM52/AM$77)</f>
        <v>0</v>
      </c>
      <c r="AO52" s="969" t="n">
        <v>0</v>
      </c>
      <c r="AP52" s="95" t="n">
        <f aca="false">IF(AO$77=0,0,AO52/AO$77)</f>
        <v>0</v>
      </c>
      <c r="AQ52" s="969" t="n">
        <v>0</v>
      </c>
      <c r="AR52" s="89" t="n">
        <f aca="false">IF(AQ$77=0,0,AQ52/AQ$77)</f>
        <v>0</v>
      </c>
    </row>
    <row r="53" customFormat="false" ht="12.75" hidden="false" customHeight="false" outlineLevel="0" collapsed="false">
      <c r="A53" s="259" t="n">
        <f aca="false">A51+1</f>
        <v>2009</v>
      </c>
      <c r="B53" s="965" t="n">
        <f aca="false">B52+1</f>
        <v>16</v>
      </c>
      <c r="C53" s="966" t="n">
        <f aca="false">F52</f>
        <v>46937.335963276</v>
      </c>
      <c r="D53" s="61" t="n">
        <f aca="false">C53*F$32*0.5</f>
        <v>2583.90034477834</v>
      </c>
      <c r="E53" s="648" t="n">
        <f aca="false">IF($B53&gt;=F$31,C53,IF(F$33&gt;=$B53,0,IF(C53&gt;1,CHOOSE(F$34,F$29/(F$31-F$33),-PMT(F$32/2,F$31-$B52,C53,0)-D53,F$29*$AH53),0)))*Assm!$X$90</f>
        <v>2672.13132683386</v>
      </c>
      <c r="F53" s="833" t="n">
        <f aca="false">C53-E53</f>
        <v>44265.2046364421</v>
      </c>
      <c r="G53" s="966" t="n">
        <f aca="false">J52</f>
        <v>0</v>
      </c>
      <c r="H53" s="61" t="n">
        <f aca="false">G53*J$32*0.5</f>
        <v>0</v>
      </c>
      <c r="I53" s="61" t="n">
        <f aca="false">IF($B53&gt;=J$31,G53,IF(J$33&gt;=$B53,0,IF(G53&gt;1,CHOOSE(J$34,J$29/(J$31-J$33),-PMT(J$32/2,J$31-$B52,G53,0)-H53,J$29*$AJ53),0)))</f>
        <v>0</v>
      </c>
      <c r="J53" s="833" t="n">
        <f aca="false">G53-I53</f>
        <v>0</v>
      </c>
      <c r="K53" s="966" t="n">
        <f aca="false">N52</f>
        <v>0</v>
      </c>
      <c r="L53" s="61" t="n">
        <f aca="false">K53*N$32*0.5</f>
        <v>0</v>
      </c>
      <c r="M53" s="61" t="n">
        <f aca="false">IF($B53&gt;=N$31,K53,IF(N$33&gt;=$B53,0,IF(K53&gt;1,CHOOSE(N$34,N$29/(N$31-N$33),-PMT(N$32/2,N$31-$B52,K53,0)-L53,N$29*$AL53),0)))</f>
        <v>0</v>
      </c>
      <c r="N53" s="833" t="n">
        <f aca="false">K53-M53</f>
        <v>0</v>
      </c>
      <c r="O53" s="966" t="n">
        <f aca="false">R52</f>
        <v>0</v>
      </c>
      <c r="P53" s="61" t="n">
        <f aca="false">O53*R$32*0.5</f>
        <v>0</v>
      </c>
      <c r="Q53" s="61" t="n">
        <f aca="false">IF($B53&gt;=R$31,O53,IF(R$33&gt;=$B53,0,IF(O53&gt;1,CHOOSE(R$34,R$29/(R$31-R$33),-PMT(R$32/2,R$31-$B52,O53,0)-P53,R$29*$AN53),0)))</f>
        <v>0</v>
      </c>
      <c r="R53" s="833" t="n">
        <f aca="false">O53-Q53</f>
        <v>0</v>
      </c>
      <c r="S53" s="966" t="n">
        <f aca="false">V52</f>
        <v>0</v>
      </c>
      <c r="T53" s="61" t="n">
        <f aca="false">S53*V$32*0.5</f>
        <v>0</v>
      </c>
      <c r="U53" s="61" t="n">
        <f aca="false">IF($B53&gt;=V$31,S53,IF(V$33&gt;=$B53,0,IF(S53&gt;1,CHOOSE(V$34,V$29/(V$31-V$33),-PMT(V$32/2,V$31-$B52,S53,0)-T53,V$29*$AP53),0)))</f>
        <v>0</v>
      </c>
      <c r="V53" s="833" t="n">
        <f aca="false">S53-U53</f>
        <v>0</v>
      </c>
      <c r="W53" s="966" t="n">
        <f aca="false">Z52</f>
        <v>1305.68740534351</v>
      </c>
      <c r="X53" s="61" t="n">
        <f aca="false">W53*Z$32*0.5</f>
        <v>84.8696813473284</v>
      </c>
      <c r="Y53" s="61" t="n">
        <f aca="false">IF($B53&gt;=Z$31,W53,IF(Z$33&gt;=$B53,0,IF(W53&gt;1,CHOOSE(Z$34,Z$29/(Z$31-Z$33),-PMT(Z$32/2,Z$31-$B52,W53,0)-X53,Z$29*$AR53),0)))</f>
        <v>129.572888901887</v>
      </c>
      <c r="Z53" s="833" t="n">
        <f aca="false">W53-Y53</f>
        <v>1176.11451644163</v>
      </c>
      <c r="AA53" s="61"/>
      <c r="AB53" s="64"/>
      <c r="AC53" s="61"/>
      <c r="AD53" s="64"/>
      <c r="AE53" s="945"/>
      <c r="AG53" s="968" t="n">
        <f aca="false">8362.95238095238-2660</f>
        <v>5702.95238095238</v>
      </c>
      <c r="AH53" s="89" t="n">
        <f aca="false">IF(AG$77=0,0,AG53/AG$77)</f>
        <v>0.0285147619047619</v>
      </c>
      <c r="AI53" s="969" t="n">
        <v>0</v>
      </c>
      <c r="AJ53" s="95" t="n">
        <f aca="false">IF(AI$77=0,0,AI53/AI$77)</f>
        <v>0</v>
      </c>
      <c r="AK53" s="969" t="n">
        <v>0</v>
      </c>
      <c r="AL53" s="95" t="n">
        <f aca="false">IF(AK$77=0,0,AK53/AK$77)</f>
        <v>0</v>
      </c>
      <c r="AM53" s="969" t="n">
        <v>0</v>
      </c>
      <c r="AN53" s="95" t="n">
        <f aca="false">IF(AM$77=0,0,AM53/AM$77)</f>
        <v>0</v>
      </c>
      <c r="AO53" s="969" t="n">
        <v>0</v>
      </c>
      <c r="AP53" s="95" t="n">
        <f aca="false">IF(AO$77=0,0,AO53/AO$77)</f>
        <v>0</v>
      </c>
      <c r="AQ53" s="969" t="n">
        <v>0</v>
      </c>
      <c r="AR53" s="89" t="n">
        <f aca="false">IF(AQ$77=0,0,AQ53/AQ$77)</f>
        <v>0</v>
      </c>
    </row>
    <row r="54" customFormat="false" ht="12.75" hidden="false" customHeight="false" outlineLevel="0" collapsed="false">
      <c r="A54" s="970" t="n">
        <f aca="false">A53</f>
        <v>2009</v>
      </c>
      <c r="B54" s="971" t="n">
        <f aca="false">B53+1</f>
        <v>17</v>
      </c>
      <c r="C54" s="972" t="n">
        <f aca="false">F53</f>
        <v>44265.2046364421</v>
      </c>
      <c r="D54" s="625" t="n">
        <f aca="false">C54*F$32*0.5</f>
        <v>2436.79951523614</v>
      </c>
      <c r="E54" s="692" t="n">
        <f aca="false">IF($B54&gt;=F$31,C54,IF(F$33&gt;=$B54,0,IF(C54&gt;1,CHOOSE(F$34,F$29/(F$31-F$33),-PMT(F$32/2,F$31-$B53,C54,0)-D54,F$29*$AH54),0)))*Assm!$X$90</f>
        <v>2672.13132683386</v>
      </c>
      <c r="F54" s="974" t="n">
        <f aca="false">C54-E54</f>
        <v>41593.0733096083</v>
      </c>
      <c r="G54" s="972" t="n">
        <f aca="false">J53</f>
        <v>0</v>
      </c>
      <c r="H54" s="625" t="n">
        <f aca="false">G54*J$32*0.5</f>
        <v>0</v>
      </c>
      <c r="I54" s="625" t="n">
        <f aca="false">IF($B54&gt;=J$31,G54,IF(J$33&gt;=$B54,0,IF(G54&gt;1,CHOOSE(J$34,J$29/(J$31-J$33),-PMT(J$32/2,J$31-$B53,G54,0)-H54,J$29*$AJ54),0)))</f>
        <v>0</v>
      </c>
      <c r="J54" s="974" t="n">
        <f aca="false">G54-I54</f>
        <v>0</v>
      </c>
      <c r="K54" s="972" t="n">
        <f aca="false">N53</f>
        <v>0</v>
      </c>
      <c r="L54" s="625" t="n">
        <f aca="false">K54*N$32*0.5</f>
        <v>0</v>
      </c>
      <c r="M54" s="625" t="n">
        <f aca="false">IF($B54&gt;=N$31,K54,IF(N$33&gt;=$B54,0,IF(K54&gt;1,CHOOSE(N$34,N$29/(N$31-N$33),-PMT(N$32/2,N$31-$B53,K54,0)-L54,N$29*$AL54),0)))</f>
        <v>0</v>
      </c>
      <c r="N54" s="974" t="n">
        <f aca="false">K54-M54</f>
        <v>0</v>
      </c>
      <c r="O54" s="972" t="n">
        <f aca="false">R53</f>
        <v>0</v>
      </c>
      <c r="P54" s="625" t="n">
        <f aca="false">O54*R$32*0.5</f>
        <v>0</v>
      </c>
      <c r="Q54" s="625" t="n">
        <f aca="false">IF($B54&gt;=R$31,O54,IF(R$33&gt;=$B54,0,IF(O54&gt;1,CHOOSE(R$34,R$29/(R$31-R$33),-PMT(R$32/2,R$31-$B53,O54,0)-P54,R$29*$AN54),0)))</f>
        <v>0</v>
      </c>
      <c r="R54" s="974" t="n">
        <f aca="false">O54-Q54</f>
        <v>0</v>
      </c>
      <c r="S54" s="972" t="n">
        <f aca="false">V53</f>
        <v>0</v>
      </c>
      <c r="T54" s="625" t="n">
        <f aca="false">S54*V$32*0.5</f>
        <v>0</v>
      </c>
      <c r="U54" s="625" t="n">
        <f aca="false">IF($B54&gt;=V$31,S54,IF(V$33&gt;=$B54,0,IF(S54&gt;1,CHOOSE(V$34,V$29/(V$31-V$33),-PMT(V$32/2,V$31-$B53,S54,0)-T54,V$29*$AP54),0)))</f>
        <v>0</v>
      </c>
      <c r="V54" s="974" t="n">
        <f aca="false">S54-U54</f>
        <v>0</v>
      </c>
      <c r="W54" s="972" t="n">
        <f aca="false">Z53</f>
        <v>1176.11451644163</v>
      </c>
      <c r="X54" s="625" t="n">
        <f aca="false">W54*Z$32*0.5</f>
        <v>76.4474435687058</v>
      </c>
      <c r="Y54" s="625" t="n">
        <f aca="false">IF($B54&gt;=Z$31,W54,IF(Z$33&gt;=$B54,0,IF(W54&gt;1,CHOOSE(Z$34,Z$29/(Z$31-Z$33),-PMT(Z$32/2,Z$31-$B53,W54,0)-X54,Z$29*$AR54),0)))</f>
        <v>137.995126680509</v>
      </c>
      <c r="Z54" s="974" t="n">
        <f aca="false">W54-Y54</f>
        <v>1038.11938976112</v>
      </c>
      <c r="AA54" s="625" t="n">
        <f aca="false">SUM(D53:D54,H53:H54,L53:L54,P53:P54,T53:T54)</f>
        <v>5020.69986001448</v>
      </c>
      <c r="AB54" s="975" t="n">
        <f aca="false">SUM(E53:E54,I53:I54,M53:M54,Q53:Q54,U53:U54)</f>
        <v>5344.26265366772</v>
      </c>
      <c r="AC54" s="625" t="n">
        <f aca="false">SUM(X53:X54)</f>
        <v>161.317124916034</v>
      </c>
      <c r="AD54" s="975" t="n">
        <f aca="false">SUM(Y53:Y54)</f>
        <v>267.568015582396</v>
      </c>
      <c r="AE54" s="976" t="n">
        <f aca="false">(C53+W53)*IF([1]RAROC!$B$103=1,VLOOKUP(A54,[2]!Guar_Fee_Table,2),IF([1]RAROC!$B$103=2,VLOOKUP(A54,[2]!Guar_Fee_Table,3),IF([1]RAROC!$B$103=3,VLOOKUP(A54,[2]!Guar_Fee_Table,4))))</f>
        <v>0</v>
      </c>
      <c r="AG54" s="968" t="n">
        <f aca="false">8362.95238095238-2660</f>
        <v>5702.95238095238</v>
      </c>
      <c r="AH54" s="89" t="n">
        <f aca="false">IF(AG$77=0,0,AG54/AG$77)</f>
        <v>0.0285147619047619</v>
      </c>
      <c r="AI54" s="969" t="n">
        <v>0</v>
      </c>
      <c r="AJ54" s="95" t="n">
        <f aca="false">IF(AI$77=0,0,AI54/AI$77)</f>
        <v>0</v>
      </c>
      <c r="AK54" s="969" t="n">
        <v>0</v>
      </c>
      <c r="AL54" s="95" t="n">
        <f aca="false">IF(AK$77=0,0,AK54/AK$77)</f>
        <v>0</v>
      </c>
      <c r="AM54" s="969" t="n">
        <v>0</v>
      </c>
      <c r="AN54" s="95" t="n">
        <f aca="false">IF(AM$77=0,0,AM54/AM$77)</f>
        <v>0</v>
      </c>
      <c r="AO54" s="969" t="n">
        <v>0</v>
      </c>
      <c r="AP54" s="95" t="n">
        <f aca="false">IF(AO$77=0,0,AO54/AO$77)</f>
        <v>0</v>
      </c>
      <c r="AQ54" s="969" t="n">
        <v>0</v>
      </c>
      <c r="AR54" s="89" t="n">
        <f aca="false">IF(AQ$77=0,0,AQ54/AQ$77)</f>
        <v>0</v>
      </c>
    </row>
    <row r="55" customFormat="false" ht="12.75" hidden="false" customHeight="false" outlineLevel="0" collapsed="false">
      <c r="A55" s="259" t="n">
        <f aca="false">A53+1</f>
        <v>2010</v>
      </c>
      <c r="B55" s="965" t="n">
        <f aca="false">B54+1</f>
        <v>18</v>
      </c>
      <c r="C55" s="966" t="n">
        <f aca="false">F54</f>
        <v>41593.0733096083</v>
      </c>
      <c r="D55" s="61" t="n">
        <f aca="false">C55*F$32*0.5</f>
        <v>2289.69868569393</v>
      </c>
      <c r="E55" s="648" t="n">
        <f aca="false">IF($B55&gt;=F$31,C55,IF(F$33&gt;=$B55,0,IF(C55&gt;1,CHOOSE(F$34,F$29/(F$31-F$33),-PMT(F$32/2,F$31-$B54,C55,0)-D55,F$29*$AH55),0)))*Assm!$X$90</f>
        <v>2672.13132683386</v>
      </c>
      <c r="F55" s="833" t="n">
        <f aca="false">C55-E55</f>
        <v>38920.9419827744</v>
      </c>
      <c r="G55" s="966" t="n">
        <f aca="false">J54</f>
        <v>0</v>
      </c>
      <c r="H55" s="61" t="n">
        <f aca="false">G55*J$32*0.5</f>
        <v>0</v>
      </c>
      <c r="I55" s="61" t="n">
        <f aca="false">IF($B55&gt;=J$31,G55,IF(J$33&gt;=$B55,0,IF(G55&gt;1,CHOOSE(J$34,J$29/(J$31-J$33),-PMT(J$32/2,J$31-$B54,G55,0)-H55,J$29*$AJ55),0)))</f>
        <v>0</v>
      </c>
      <c r="J55" s="833" t="n">
        <f aca="false">G55-I55</f>
        <v>0</v>
      </c>
      <c r="K55" s="966" t="n">
        <f aca="false">N54</f>
        <v>0</v>
      </c>
      <c r="L55" s="61" t="n">
        <f aca="false">K55*N$32*0.5</f>
        <v>0</v>
      </c>
      <c r="M55" s="61" t="n">
        <f aca="false">IF($B55&gt;=N$31,K55,IF(N$33&gt;=$B55,0,IF(K55&gt;1,CHOOSE(N$34,N$29/(N$31-N$33),-PMT(N$32/2,N$31-$B54,K55,0)-L55,N$29*$AL55),0)))</f>
        <v>0</v>
      </c>
      <c r="N55" s="833" t="n">
        <f aca="false">K55-M55</f>
        <v>0</v>
      </c>
      <c r="O55" s="966" t="n">
        <f aca="false">R54</f>
        <v>0</v>
      </c>
      <c r="P55" s="61" t="n">
        <f aca="false">O55*R$32*0.5</f>
        <v>0</v>
      </c>
      <c r="Q55" s="61" t="n">
        <f aca="false">IF($B55&gt;=R$31,O55,IF(R$33&gt;=$B55,0,IF(O55&gt;1,CHOOSE(R$34,R$29/(R$31-R$33),-PMT(R$32/2,R$31-$B54,O55,0)-P55,R$29*$AN55),0)))</f>
        <v>0</v>
      </c>
      <c r="R55" s="833" t="n">
        <f aca="false">O55-Q55</f>
        <v>0</v>
      </c>
      <c r="S55" s="966" t="n">
        <f aca="false">V54</f>
        <v>0</v>
      </c>
      <c r="T55" s="61" t="n">
        <f aca="false">S55*V$32*0.5</f>
        <v>0</v>
      </c>
      <c r="U55" s="61" t="n">
        <f aca="false">IF($B55&gt;=V$31,S55,IF(V$33&gt;=$B55,0,IF(S55&gt;1,CHOOSE(V$34,V$29/(V$31-V$33),-PMT(V$32/2,V$31-$B54,S55,0)-T55,V$29*$AP55),0)))</f>
        <v>0</v>
      </c>
      <c r="V55" s="833" t="n">
        <f aca="false">S55-U55</f>
        <v>0</v>
      </c>
      <c r="W55" s="966" t="n">
        <f aca="false">Z54</f>
        <v>1038.11938976112</v>
      </c>
      <c r="X55" s="61" t="n">
        <f aca="false">W55*Z$32*0.5</f>
        <v>67.4777603344727</v>
      </c>
      <c r="Y55" s="61" t="n">
        <f aca="false">IF($B55&gt;=Z$31,W55,IF(Z$33&gt;=$B55,0,IF(W55&gt;1,CHOOSE(Z$34,Z$29/(Z$31-Z$33),-PMT(Z$32/2,Z$31-$B54,W55,0)-X55,Z$29*$AR55),0)))</f>
        <v>146.964809914742</v>
      </c>
      <c r="Z55" s="833" t="n">
        <f aca="false">W55-Y55</f>
        <v>891.154579846375</v>
      </c>
      <c r="AA55" s="61"/>
      <c r="AB55" s="64"/>
      <c r="AC55" s="61"/>
      <c r="AD55" s="64"/>
      <c r="AE55" s="945"/>
      <c r="AG55" s="968" t="n">
        <f aca="false">8362.95238095238-2660</f>
        <v>5702.95238095238</v>
      </c>
      <c r="AH55" s="89" t="n">
        <f aca="false">IF(AG$77=0,0,AG55/AG$77)</f>
        <v>0.0285147619047619</v>
      </c>
      <c r="AI55" s="969" t="n">
        <v>0</v>
      </c>
      <c r="AJ55" s="95" t="n">
        <f aca="false">IF(AI$77=0,0,AI55/AI$77)</f>
        <v>0</v>
      </c>
      <c r="AK55" s="969" t="n">
        <v>0</v>
      </c>
      <c r="AL55" s="95" t="n">
        <f aca="false">IF(AK$77=0,0,AK55/AK$77)</f>
        <v>0</v>
      </c>
      <c r="AM55" s="969" t="n">
        <v>0</v>
      </c>
      <c r="AN55" s="95" t="n">
        <f aca="false">IF(AM$77=0,0,AM55/AM$77)</f>
        <v>0</v>
      </c>
      <c r="AO55" s="969" t="n">
        <v>0</v>
      </c>
      <c r="AP55" s="95" t="n">
        <f aca="false">IF(AO$77=0,0,AO55/AO$77)</f>
        <v>0</v>
      </c>
      <c r="AQ55" s="969" t="n">
        <v>0</v>
      </c>
      <c r="AR55" s="89" t="n">
        <f aca="false">IF(AQ$77=0,0,AQ55/AQ$77)</f>
        <v>0</v>
      </c>
    </row>
    <row r="56" customFormat="false" ht="12.75" hidden="false" customHeight="false" outlineLevel="0" collapsed="false">
      <c r="A56" s="970" t="n">
        <f aca="false">A55</f>
        <v>2010</v>
      </c>
      <c r="B56" s="971" t="n">
        <f aca="false">B55+1</f>
        <v>19</v>
      </c>
      <c r="C56" s="972" t="n">
        <f aca="false">F55</f>
        <v>38920.9419827744</v>
      </c>
      <c r="D56" s="625" t="n">
        <f aca="false">C56*F$32*0.5</f>
        <v>2142.59785615173</v>
      </c>
      <c r="E56" s="692" t="n">
        <f aca="false">IF($B56&gt;=F$31,C56,IF(F$33&gt;=$B56,0,IF(C56&gt;1,CHOOSE(F$34,F$29/(F$31-F$33),-PMT(F$32/2,F$31-$B55,C56,0)-D56,F$29*$AH56),0)))*Assm!$X$90</f>
        <v>2672.13132683386</v>
      </c>
      <c r="F56" s="974" t="n">
        <f aca="false">C56-E56</f>
        <v>36248.8106559405</v>
      </c>
      <c r="G56" s="972" t="n">
        <f aca="false">J55</f>
        <v>0</v>
      </c>
      <c r="H56" s="625" t="n">
        <f aca="false">G56*J$32*0.5</f>
        <v>0</v>
      </c>
      <c r="I56" s="625" t="n">
        <f aca="false">IF($B56&gt;=J$31,G56,IF(J$33&gt;=$B56,0,IF(G56&gt;1,CHOOSE(J$34,J$29/(J$31-J$33),-PMT(J$32/2,J$31-$B55,G56,0)-H56,J$29*$AJ56),0)))</f>
        <v>0</v>
      </c>
      <c r="J56" s="974" t="n">
        <f aca="false">G56-I56</f>
        <v>0</v>
      </c>
      <c r="K56" s="972" t="n">
        <f aca="false">N55</f>
        <v>0</v>
      </c>
      <c r="L56" s="625" t="n">
        <f aca="false">K56*N$32*0.5</f>
        <v>0</v>
      </c>
      <c r="M56" s="625" t="n">
        <f aca="false">IF($B56&gt;=N$31,K56,IF(N$33&gt;=$B56,0,IF(K56&gt;1,CHOOSE(N$34,N$29/(N$31-N$33),-PMT(N$32/2,N$31-$B55,K56,0)-L56,N$29*$AL56),0)))</f>
        <v>0</v>
      </c>
      <c r="N56" s="974" t="n">
        <f aca="false">K56-M56</f>
        <v>0</v>
      </c>
      <c r="O56" s="972" t="n">
        <f aca="false">R55</f>
        <v>0</v>
      </c>
      <c r="P56" s="625" t="n">
        <f aca="false">O56*R$32*0.5</f>
        <v>0</v>
      </c>
      <c r="Q56" s="625" t="n">
        <f aca="false">IF($B56&gt;=R$31,O56,IF(R$33&gt;=$B56,0,IF(O56&gt;1,CHOOSE(R$34,R$29/(R$31-R$33),-PMT(R$32/2,R$31-$B55,O56,0)-P56,R$29*$AN56),0)))</f>
        <v>0</v>
      </c>
      <c r="R56" s="974" t="n">
        <f aca="false">O56-Q56</f>
        <v>0</v>
      </c>
      <c r="S56" s="972" t="n">
        <f aca="false">V55</f>
        <v>0</v>
      </c>
      <c r="T56" s="625" t="n">
        <f aca="false">S56*V$32*0.5</f>
        <v>0</v>
      </c>
      <c r="U56" s="625" t="n">
        <f aca="false">IF($B56&gt;=V$31,S56,IF(V$33&gt;=$B56,0,IF(S56&gt;1,CHOOSE(V$34,V$29/(V$31-V$33),-PMT(V$32/2,V$31-$B55,S56,0)-T56,V$29*$AP56),0)))</f>
        <v>0</v>
      </c>
      <c r="V56" s="974" t="n">
        <f aca="false">S56-U56</f>
        <v>0</v>
      </c>
      <c r="W56" s="972" t="n">
        <f aca="false">Z55</f>
        <v>891.154579846375</v>
      </c>
      <c r="X56" s="625" t="n">
        <f aca="false">W56*Z$32*0.5</f>
        <v>57.9250476900144</v>
      </c>
      <c r="Y56" s="625" t="n">
        <f aca="false">IF($B56&gt;=Z$31,W56,IF(Z$33&gt;=$B56,0,IF(W56&gt;1,CHOOSE(Z$34,Z$29/(Z$31-Z$33),-PMT(Z$32/2,Z$31-$B55,W56,0)-X56,Z$29*$AR56),0)))</f>
        <v>156.517522559201</v>
      </c>
      <c r="Z56" s="974" t="n">
        <f aca="false">W56-Y56</f>
        <v>734.637057287175</v>
      </c>
      <c r="AA56" s="625" t="n">
        <f aca="false">SUM(D55:D56,H55:H56,L55:L56,P55:P56,T55:T56)</f>
        <v>4432.29654184567</v>
      </c>
      <c r="AB56" s="975" t="n">
        <f aca="false">SUM(E55:E56,I55:I56,M55:M56,Q55:Q56,U55:U56)</f>
        <v>5344.26265366772</v>
      </c>
      <c r="AC56" s="625" t="n">
        <f aca="false">SUM(X55:X56)</f>
        <v>125.402808024487</v>
      </c>
      <c r="AD56" s="975" t="n">
        <f aca="false">SUM(Y55:Y56)</f>
        <v>303.482332473943</v>
      </c>
      <c r="AE56" s="976" t="n">
        <f aca="false">(C55+W55)*IF([1]RAROC!$B$103=1,VLOOKUP(A56,[2]!Guar_Fee_Table,2),IF([1]RAROC!$B$103=2,VLOOKUP(A56,[2]!Guar_Fee_Table,3),IF([1]RAROC!$B$103=3,VLOOKUP(A56,[2]!Guar_Fee_Table,4))))</f>
        <v>0</v>
      </c>
      <c r="AG56" s="968" t="n">
        <f aca="false">8362.95238095238-2660</f>
        <v>5702.95238095238</v>
      </c>
      <c r="AH56" s="89" t="n">
        <f aca="false">IF(AG$77=0,0,AG56/AG$77)</f>
        <v>0.0285147619047619</v>
      </c>
      <c r="AI56" s="969" t="n">
        <v>0</v>
      </c>
      <c r="AJ56" s="95" t="n">
        <f aca="false">IF(AI$77=0,0,AI56/AI$77)</f>
        <v>0</v>
      </c>
      <c r="AK56" s="969" t="n">
        <v>0</v>
      </c>
      <c r="AL56" s="95" t="n">
        <f aca="false">IF(AK$77=0,0,AK56/AK$77)</f>
        <v>0</v>
      </c>
      <c r="AM56" s="969" t="n">
        <v>0</v>
      </c>
      <c r="AN56" s="95" t="n">
        <f aca="false">IF(AM$77=0,0,AM56/AM$77)</f>
        <v>0</v>
      </c>
      <c r="AO56" s="969" t="n">
        <v>0</v>
      </c>
      <c r="AP56" s="95" t="n">
        <f aca="false">IF(AO$77=0,0,AO56/AO$77)</f>
        <v>0</v>
      </c>
      <c r="AQ56" s="969" t="n">
        <v>0</v>
      </c>
      <c r="AR56" s="89" t="n">
        <f aca="false">IF(AQ$77=0,0,AQ56/AQ$77)</f>
        <v>0</v>
      </c>
    </row>
    <row r="57" customFormat="false" ht="12.75" hidden="false" customHeight="false" outlineLevel="0" collapsed="false">
      <c r="A57" s="259" t="n">
        <f aca="false">A55+1</f>
        <v>2011</v>
      </c>
      <c r="B57" s="965" t="n">
        <f aca="false">B56+1</f>
        <v>20</v>
      </c>
      <c r="C57" s="966" t="n">
        <f aca="false">F56</f>
        <v>36248.8106559405</v>
      </c>
      <c r="D57" s="61" t="n">
        <f aca="false">C57*F$32*0.5</f>
        <v>1995.49702660953</v>
      </c>
      <c r="E57" s="648" t="n">
        <f aca="false">IF($B57&gt;=F$31,C57,IF(F$33&gt;=$B57,0,IF(C57&gt;1,CHOOSE(F$34,F$29/(F$31-F$33),-PMT(F$32/2,F$31-$B56,C57,0)-D57,F$29*$AH57),0)))*Assm!$X$90</f>
        <v>2672.13132683386</v>
      </c>
      <c r="F57" s="833" t="n">
        <f aca="false">C57-E57</f>
        <v>33576.6793291067</v>
      </c>
      <c r="G57" s="966" t="n">
        <f aca="false">J56</f>
        <v>0</v>
      </c>
      <c r="H57" s="61" t="n">
        <f aca="false">G57*J$32*0.5</f>
        <v>0</v>
      </c>
      <c r="I57" s="61" t="n">
        <f aca="false">IF($B57&gt;=J$31,G57,IF(J$33&gt;=$B57,0,IF(G57&gt;1,CHOOSE(J$34,J$29/(J$31-J$33),-PMT(J$32/2,J$31-$B56,G57,0)-H57,J$29*$AJ57),0)))</f>
        <v>0</v>
      </c>
      <c r="J57" s="833" t="n">
        <f aca="false">G57-I57</f>
        <v>0</v>
      </c>
      <c r="K57" s="966" t="n">
        <f aca="false">N56</f>
        <v>0</v>
      </c>
      <c r="L57" s="61" t="n">
        <f aca="false">K57*N$32*0.5</f>
        <v>0</v>
      </c>
      <c r="M57" s="61" t="n">
        <f aca="false">IF($B57&gt;=N$31,K57,IF(N$33&gt;=$B57,0,IF(K57&gt;1,CHOOSE(N$34,N$29/(N$31-N$33),-PMT(N$32/2,N$31-$B56,K57,0)-L57,N$29*$AL57),0)))</f>
        <v>0</v>
      </c>
      <c r="N57" s="833" t="n">
        <f aca="false">K57-M57</f>
        <v>0</v>
      </c>
      <c r="O57" s="966" t="n">
        <f aca="false">R56</f>
        <v>0</v>
      </c>
      <c r="P57" s="61" t="n">
        <f aca="false">O57*R$32*0.5</f>
        <v>0</v>
      </c>
      <c r="Q57" s="61" t="n">
        <f aca="false">IF($B57&gt;=R$31,O57,IF(R$33&gt;=$B57,0,IF(O57&gt;1,CHOOSE(R$34,R$29/(R$31-R$33),-PMT(R$32/2,R$31-$B56,O57,0)-P57,R$29*$AN57),0)))</f>
        <v>0</v>
      </c>
      <c r="R57" s="833" t="n">
        <f aca="false">O57-Q57</f>
        <v>0</v>
      </c>
      <c r="S57" s="966" t="n">
        <f aca="false">V56</f>
        <v>0</v>
      </c>
      <c r="T57" s="61" t="n">
        <f aca="false">S57*V$32*0.5</f>
        <v>0</v>
      </c>
      <c r="U57" s="61" t="n">
        <f aca="false">IF($B57&gt;=V$31,S57,IF(V$33&gt;=$B57,0,IF(S57&gt;1,CHOOSE(V$34,V$29/(V$31-V$33),-PMT(V$32/2,V$31-$B56,S57,0)-T57,V$29*$AP57),0)))</f>
        <v>0</v>
      </c>
      <c r="V57" s="833" t="n">
        <f aca="false">S57-U57</f>
        <v>0</v>
      </c>
      <c r="W57" s="966" t="n">
        <f aca="false">Z56</f>
        <v>734.637057287175</v>
      </c>
      <c r="X57" s="61" t="n">
        <f aca="false">W57*Z$32*0.5</f>
        <v>47.7514087236664</v>
      </c>
      <c r="Y57" s="61" t="n">
        <f aca="false">IF($B57&gt;=Z$31,W57,IF(Z$33&gt;=$B57,0,IF(W57&gt;1,CHOOSE(Z$34,Z$29/(Z$31-Z$33),-PMT(Z$32/2,Z$31-$B56,W57,0)-X57,Z$29*$AR57),0)))</f>
        <v>166.691161525549</v>
      </c>
      <c r="Z57" s="833" t="n">
        <f aca="false">W57-Y57</f>
        <v>567.945895761626</v>
      </c>
      <c r="AA57" s="61"/>
      <c r="AB57" s="64"/>
      <c r="AC57" s="61"/>
      <c r="AD57" s="64"/>
      <c r="AE57" s="945"/>
      <c r="AG57" s="968" t="n">
        <f aca="false">8362.95238095238-2660</f>
        <v>5702.95238095238</v>
      </c>
      <c r="AH57" s="89" t="n">
        <f aca="false">IF(AG$77=0,0,AG57/AG$77)</f>
        <v>0.0285147619047619</v>
      </c>
      <c r="AI57" s="969" t="n">
        <v>0</v>
      </c>
      <c r="AJ57" s="95" t="n">
        <f aca="false">IF(AI$77=0,0,AI57/AI$77)</f>
        <v>0</v>
      </c>
      <c r="AK57" s="969" t="n">
        <v>0</v>
      </c>
      <c r="AL57" s="95" t="n">
        <f aca="false">IF(AK$77=0,0,AK57/AK$77)</f>
        <v>0</v>
      </c>
      <c r="AM57" s="969" t="n">
        <v>0</v>
      </c>
      <c r="AN57" s="95" t="n">
        <f aca="false">IF(AM$77=0,0,AM57/AM$77)</f>
        <v>0</v>
      </c>
      <c r="AO57" s="969" t="n">
        <v>0</v>
      </c>
      <c r="AP57" s="95" t="n">
        <f aca="false">IF(AO$77=0,0,AO57/AO$77)</f>
        <v>0</v>
      </c>
      <c r="AQ57" s="969" t="n">
        <v>0</v>
      </c>
      <c r="AR57" s="89" t="n">
        <f aca="false">IF(AQ$77=0,0,AQ57/AQ$77)</f>
        <v>0</v>
      </c>
    </row>
    <row r="58" customFormat="false" ht="12.75" hidden="false" customHeight="false" outlineLevel="0" collapsed="false">
      <c r="A58" s="970" t="n">
        <f aca="false">A57</f>
        <v>2011</v>
      </c>
      <c r="B58" s="971" t="n">
        <f aca="false">B57+1</f>
        <v>21</v>
      </c>
      <c r="C58" s="972" t="n">
        <f aca="false">F57</f>
        <v>33576.6793291067</v>
      </c>
      <c r="D58" s="625" t="n">
        <f aca="false">C58*F$32*0.5</f>
        <v>1848.39619706732</v>
      </c>
      <c r="E58" s="692" t="n">
        <f aca="false">IF($B58&gt;=F$31,C58,IF(F$33&gt;=$B58,0,IF(C58&gt;1,CHOOSE(F$34,F$29/(F$31-F$33),-PMT(F$32/2,F$31-$B57,C58,0)-D58,F$29*$AH58),0)))*Assm!$X$90</f>
        <v>3918.48038510726</v>
      </c>
      <c r="F58" s="974" t="n">
        <f aca="false">C58-E58</f>
        <v>29658.1989439994</v>
      </c>
      <c r="G58" s="972" t="n">
        <f aca="false">J57</f>
        <v>0</v>
      </c>
      <c r="H58" s="625" t="n">
        <f aca="false">G58*J$32*0.5</f>
        <v>0</v>
      </c>
      <c r="I58" s="625" t="n">
        <f aca="false">IF($B58&gt;=J$31,G58,IF(J$33&gt;=$B58,0,IF(G58&gt;1,CHOOSE(J$34,J$29/(J$31-J$33),-PMT(J$32/2,J$31-$B57,G58,0)-H58,J$29*$AJ58),0)))</f>
        <v>0</v>
      </c>
      <c r="J58" s="974" t="n">
        <f aca="false">G58-I58</f>
        <v>0</v>
      </c>
      <c r="K58" s="972" t="n">
        <f aca="false">N57</f>
        <v>0</v>
      </c>
      <c r="L58" s="625" t="n">
        <f aca="false">K58*N$32*0.5</f>
        <v>0</v>
      </c>
      <c r="M58" s="625" t="n">
        <f aca="false">IF($B58&gt;=N$31,K58,IF(N$33&gt;=$B58,0,IF(K58&gt;1,CHOOSE(N$34,N$29/(N$31-N$33),-PMT(N$32/2,N$31-$B57,K58,0)-L58,N$29*$AL58),0)))</f>
        <v>0</v>
      </c>
      <c r="N58" s="974" t="n">
        <f aca="false">K58-M58</f>
        <v>0</v>
      </c>
      <c r="O58" s="972" t="n">
        <f aca="false">R57</f>
        <v>0</v>
      </c>
      <c r="P58" s="625" t="n">
        <f aca="false">O58*R$32*0.5</f>
        <v>0</v>
      </c>
      <c r="Q58" s="625" t="n">
        <f aca="false">IF($B58&gt;=R$31,O58,IF(R$33&gt;=$B58,0,IF(O58&gt;1,CHOOSE(R$34,R$29/(R$31-R$33),-PMT(R$32/2,R$31-$B57,O58,0)-P58,R$29*$AN58),0)))</f>
        <v>0</v>
      </c>
      <c r="R58" s="974" t="n">
        <f aca="false">O58-Q58</f>
        <v>0</v>
      </c>
      <c r="S58" s="972" t="n">
        <f aca="false">V57</f>
        <v>0</v>
      </c>
      <c r="T58" s="625" t="n">
        <f aca="false">S58*V$32*0.5</f>
        <v>0</v>
      </c>
      <c r="U58" s="625" t="n">
        <f aca="false">IF($B58&gt;=V$31,S58,IF(V$33&gt;=$B58,0,IF(S58&gt;1,CHOOSE(V$34,V$29/(V$31-V$33),-PMT(V$32/2,V$31-$B57,S58,0)-T58,V$29*$AP58),0)))</f>
        <v>0</v>
      </c>
      <c r="V58" s="974" t="n">
        <f aca="false">S58-U58</f>
        <v>0</v>
      </c>
      <c r="W58" s="972" t="n">
        <f aca="false">Z57</f>
        <v>567.945895761626</v>
      </c>
      <c r="X58" s="625" t="n">
        <f aca="false">W58*Z$32*0.5</f>
        <v>36.9164832245057</v>
      </c>
      <c r="Y58" s="625" t="n">
        <f aca="false">IF($B58&gt;=Z$31,W58,IF(Z$33&gt;=$B58,0,IF(W58&gt;1,CHOOSE(Z$34,Z$29/(Z$31-Z$33),-PMT(Z$32/2,Z$31-$B57,W58,0)-X58,Z$29*$AR58),0)))</f>
        <v>177.526087024709</v>
      </c>
      <c r="Z58" s="974" t="n">
        <f aca="false">W58-Y58</f>
        <v>390.419808736917</v>
      </c>
      <c r="AA58" s="625" t="n">
        <f aca="false">SUM(D57:D58,H57:H58,L57:L58,P57:P58,T57:T58)</f>
        <v>3843.89322367685</v>
      </c>
      <c r="AB58" s="975" t="n">
        <f aca="false">SUM(E57:E58,I57:I58,M57:M58,Q57:Q58,U57:U58)</f>
        <v>6590.61171194112</v>
      </c>
      <c r="AC58" s="625" t="n">
        <f aca="false">SUM(X57:X58)</f>
        <v>84.667891948172</v>
      </c>
      <c r="AD58" s="975" t="n">
        <f aca="false">SUM(Y57:Y58)</f>
        <v>344.217248550258</v>
      </c>
      <c r="AE58" s="976" t="n">
        <f aca="false">(C57+W57)*IF([1]RAROC!$B$103=1,VLOOKUP(A58,[2]!Guar_Fee_Table,2),IF([1]RAROC!$B$103=2,VLOOKUP(A58,[2]!Guar_Fee_Table,3),IF([1]RAROC!$B$103=3,VLOOKUP(A58,[2]!Guar_Fee_Table,4))))</f>
        <v>0</v>
      </c>
      <c r="AG58" s="968" t="n">
        <v>8362.95238095238</v>
      </c>
      <c r="AH58" s="89" t="n">
        <f aca="false">IF(AG$77=0,0,AG58/AG$77)</f>
        <v>0.0418147619047619</v>
      </c>
      <c r="AI58" s="969" t="n">
        <v>0</v>
      </c>
      <c r="AJ58" s="95" t="n">
        <f aca="false">IF(AI$77=0,0,AI58/AI$77)</f>
        <v>0</v>
      </c>
      <c r="AK58" s="969" t="n">
        <v>0</v>
      </c>
      <c r="AL58" s="95" t="n">
        <f aca="false">IF(AK$77=0,0,AK58/AK$77)</f>
        <v>0</v>
      </c>
      <c r="AM58" s="969" t="n">
        <v>0</v>
      </c>
      <c r="AN58" s="95" t="n">
        <f aca="false">IF(AM$77=0,0,AM58/AM$77)</f>
        <v>0</v>
      </c>
      <c r="AO58" s="969" t="n">
        <v>0</v>
      </c>
      <c r="AP58" s="95" t="n">
        <f aca="false">IF(AO$77=0,0,AO58/AO$77)</f>
        <v>0</v>
      </c>
      <c r="AQ58" s="969" t="n">
        <v>0</v>
      </c>
      <c r="AR58" s="89" t="n">
        <f aca="false">IF(AQ$77=0,0,AQ58/AQ$77)</f>
        <v>0</v>
      </c>
    </row>
    <row r="59" customFormat="false" ht="12.75" hidden="false" customHeight="false" outlineLevel="0" collapsed="false">
      <c r="A59" s="259" t="n">
        <f aca="false">A57+1</f>
        <v>2012</v>
      </c>
      <c r="B59" s="965" t="n">
        <f aca="false">B58+1</f>
        <v>22</v>
      </c>
      <c r="C59" s="966" t="n">
        <f aca="false">F58</f>
        <v>29658.1989439994</v>
      </c>
      <c r="D59" s="61" t="n">
        <f aca="false">C59*F$32*0.5</f>
        <v>1632.68385186717</v>
      </c>
      <c r="E59" s="648" t="n">
        <f aca="false">IF($B59&gt;=F$31,C59,IF(F$33&gt;=$B59,0,IF(C59&gt;1,CHOOSE(F$34,F$29/(F$31-F$33),-PMT(F$32/2,F$31-$B58,C59,0)-D59,F$29*$AH59),0)))*Assm!$X$90</f>
        <v>3918.48038510726</v>
      </c>
      <c r="F59" s="833" t="n">
        <f aca="false">C59-E59</f>
        <v>25739.7185588922</v>
      </c>
      <c r="G59" s="966" t="n">
        <f aca="false">J58</f>
        <v>0</v>
      </c>
      <c r="H59" s="61" t="n">
        <f aca="false">G59*J$32*0.5</f>
        <v>0</v>
      </c>
      <c r="I59" s="61" t="n">
        <f aca="false">IF($B59&gt;=J$31,G59,IF(J$33&gt;=$B59,0,IF(G59&gt;1,CHOOSE(J$34,J$29/(J$31-J$33),-PMT(J$32/2,J$31-$B58,G59,0)-H59,J$29*$AJ59),0)))</f>
        <v>0</v>
      </c>
      <c r="J59" s="833" t="n">
        <f aca="false">G59-I59</f>
        <v>0</v>
      </c>
      <c r="K59" s="966" t="n">
        <f aca="false">N58</f>
        <v>0</v>
      </c>
      <c r="L59" s="61" t="n">
        <f aca="false">K59*N$32*0.5</f>
        <v>0</v>
      </c>
      <c r="M59" s="61" t="n">
        <f aca="false">IF($B59&gt;=N$31,K59,IF(N$33&gt;=$B59,0,IF(K59&gt;1,CHOOSE(N$34,N$29/(N$31-N$33),-PMT(N$32/2,N$31-$B58,K59,0)-L59,N$29*$AL59),0)))</f>
        <v>0</v>
      </c>
      <c r="N59" s="833" t="n">
        <f aca="false">K59-M59</f>
        <v>0</v>
      </c>
      <c r="O59" s="966" t="n">
        <f aca="false">R58</f>
        <v>0</v>
      </c>
      <c r="P59" s="61" t="n">
        <f aca="false">O59*R$32*0.5</f>
        <v>0</v>
      </c>
      <c r="Q59" s="61" t="n">
        <f aca="false">IF($B59&gt;=R$31,O59,IF(R$33&gt;=$B59,0,IF(O59&gt;1,CHOOSE(R$34,R$29/(R$31-R$33),-PMT(R$32/2,R$31-$B58,O59,0)-P59,R$29*$AN59),0)))</f>
        <v>0</v>
      </c>
      <c r="R59" s="833" t="n">
        <f aca="false">O59-Q59</f>
        <v>0</v>
      </c>
      <c r="S59" s="966" t="n">
        <f aca="false">V58</f>
        <v>0</v>
      </c>
      <c r="T59" s="61" t="n">
        <f aca="false">S59*V$32*0.5</f>
        <v>0</v>
      </c>
      <c r="U59" s="61" t="n">
        <f aca="false">IF($B59&gt;=V$31,S59,IF(V$33&gt;=$B59,0,IF(S59&gt;1,CHOOSE(V$34,V$29/(V$31-V$33),-PMT(V$32/2,V$31-$B58,S59,0)-T59,V$29*$AP59),0)))</f>
        <v>0</v>
      </c>
      <c r="V59" s="833" t="n">
        <f aca="false">S59-U59</f>
        <v>0</v>
      </c>
      <c r="W59" s="966" t="n">
        <f aca="false">Z58</f>
        <v>390.419808736917</v>
      </c>
      <c r="X59" s="61" t="n">
        <f aca="false">W59*Z$32*0.5</f>
        <v>25.3772875678996</v>
      </c>
      <c r="Y59" s="61" t="n">
        <f aca="false">IF($B59&gt;=Z$31,W59,IF(Z$33&gt;=$B59,0,IF(W59&gt;1,CHOOSE(Z$34,Z$29/(Z$31-Z$33),-PMT(Z$32/2,Z$31-$B58,W59,0)-X59,Z$29*$AR59),0)))</f>
        <v>189.065282681315</v>
      </c>
      <c r="Z59" s="833" t="n">
        <f aca="false">W59-Y59</f>
        <v>201.354526055601</v>
      </c>
      <c r="AA59" s="61"/>
      <c r="AB59" s="64"/>
      <c r="AC59" s="61"/>
      <c r="AD59" s="64"/>
      <c r="AE59" s="976"/>
      <c r="AG59" s="968" t="n">
        <v>8362.95238095238</v>
      </c>
      <c r="AH59" s="89" t="n">
        <f aca="false">IF(AG$77=0,0,AG59/AG$77)</f>
        <v>0.0418147619047619</v>
      </c>
      <c r="AI59" s="969" t="n">
        <v>0</v>
      </c>
      <c r="AJ59" s="95" t="n">
        <f aca="false">IF(AI$77=0,0,AI59/AI$77)</f>
        <v>0</v>
      </c>
      <c r="AK59" s="969" t="n">
        <v>0</v>
      </c>
      <c r="AL59" s="95" t="n">
        <f aca="false">IF(AK$77=0,0,AK59/AK$77)</f>
        <v>0</v>
      </c>
      <c r="AM59" s="969" t="n">
        <v>0</v>
      </c>
      <c r="AN59" s="95" t="n">
        <f aca="false">IF(AM$77=0,0,AM59/AM$77)</f>
        <v>0</v>
      </c>
      <c r="AO59" s="969" t="n">
        <v>0</v>
      </c>
      <c r="AP59" s="95" t="n">
        <f aca="false">IF(AO$77=0,0,AO59/AO$77)</f>
        <v>0</v>
      </c>
      <c r="AQ59" s="969" t="n">
        <v>0</v>
      </c>
      <c r="AR59" s="89" t="n">
        <f aca="false">IF(AQ$77=0,0,AQ59/AQ$77)</f>
        <v>0</v>
      </c>
    </row>
    <row r="60" customFormat="false" ht="12.75" hidden="false" customHeight="false" outlineLevel="0" collapsed="false">
      <c r="A60" s="970" t="n">
        <f aca="false">A59</f>
        <v>2012</v>
      </c>
      <c r="B60" s="971" t="n">
        <f aca="false">B59+1</f>
        <v>23</v>
      </c>
      <c r="C60" s="972" t="n">
        <f aca="false">F59</f>
        <v>25739.7185588922</v>
      </c>
      <c r="D60" s="625" t="n">
        <f aca="false">C60*F$32*0.5</f>
        <v>1416.97150666701</v>
      </c>
      <c r="E60" s="692" t="n">
        <f aca="false">IF($B60&gt;=F$31,C60,IF(F$33&gt;=$B60,0,IF(C60&gt;1,CHOOSE(F$34,F$29/(F$31-F$33),-PMT(F$32/2,F$31-$B59,C60,0)-D60,F$29*$AH60),0)))*Assm!$X$90</f>
        <v>3918.48038510726</v>
      </c>
      <c r="F60" s="974" t="n">
        <f aca="false">C60-E60</f>
        <v>21821.2381737849</v>
      </c>
      <c r="G60" s="972" t="n">
        <f aca="false">J59</f>
        <v>0</v>
      </c>
      <c r="H60" s="625" t="n">
        <f aca="false">G60*J$32*0.5</f>
        <v>0</v>
      </c>
      <c r="I60" s="625" t="n">
        <f aca="false">IF($B60&gt;=J$31,G60,IF(J$33&gt;=$B60,0,IF(G60&gt;1,CHOOSE(J$34,J$29/(J$31-J$33),-PMT(J$32/2,J$31-$B59,G60,0)-H60,J$29*$AJ60),0)))</f>
        <v>0</v>
      </c>
      <c r="J60" s="974" t="n">
        <f aca="false">G60-I60</f>
        <v>0</v>
      </c>
      <c r="K60" s="972" t="n">
        <f aca="false">N59</f>
        <v>0</v>
      </c>
      <c r="L60" s="625" t="n">
        <f aca="false">K60*N$32*0.5</f>
        <v>0</v>
      </c>
      <c r="M60" s="625" t="n">
        <f aca="false">IF($B60&gt;=N$31,K60,IF(N$33&gt;=$B60,0,IF(K60&gt;1,CHOOSE(N$34,N$29/(N$31-N$33),-PMT(N$32/2,N$31-$B59,K60,0)-L60,N$29*$AL60),0)))</f>
        <v>0</v>
      </c>
      <c r="N60" s="974" t="n">
        <f aca="false">K60-M60</f>
        <v>0</v>
      </c>
      <c r="O60" s="972" t="n">
        <f aca="false">R59</f>
        <v>0</v>
      </c>
      <c r="P60" s="625" t="n">
        <f aca="false">O60*R$32*0.5</f>
        <v>0</v>
      </c>
      <c r="Q60" s="625" t="n">
        <f aca="false">IF($B60&gt;=R$31,O60,IF(R$33&gt;=$B60,0,IF(O60&gt;1,CHOOSE(R$34,R$29/(R$31-R$33),-PMT(R$32/2,R$31-$B59,O60,0)-P60,R$29*$AN60),0)))</f>
        <v>0</v>
      </c>
      <c r="R60" s="974" t="n">
        <f aca="false">O60-Q60</f>
        <v>0</v>
      </c>
      <c r="S60" s="972" t="n">
        <f aca="false">V59</f>
        <v>0</v>
      </c>
      <c r="T60" s="625" t="n">
        <f aca="false">S60*V$32*0.5</f>
        <v>0</v>
      </c>
      <c r="U60" s="625" t="n">
        <f aca="false">IF($B60&gt;=V$31,S60,IF(V$33&gt;=$B60,0,IF(S60&gt;1,CHOOSE(V$34,V$29/(V$31-V$33),-PMT(V$32/2,V$31-$B59,S60,0)-T60,V$29*$AP60),0)))</f>
        <v>0</v>
      </c>
      <c r="V60" s="974" t="n">
        <f aca="false">S60-U60</f>
        <v>0</v>
      </c>
      <c r="W60" s="972" t="n">
        <f aca="false">Z59</f>
        <v>201.354526055601</v>
      </c>
      <c r="X60" s="625" t="n">
        <f aca="false">W60*Z$32*0.5</f>
        <v>13.0880441936141</v>
      </c>
      <c r="Y60" s="625" t="n">
        <f aca="false">IF($B60&gt;=Z$31,W60,IF(Z$33&gt;=$B60,0,IF(W60&gt;1,CHOOSE(Z$34,Z$29/(Z$31-Z$33),-PMT(Z$32/2,Z$31-$B59,W60,0)-X60,Z$29*$AR60),0)))</f>
        <v>201.354526055601</v>
      </c>
      <c r="Z60" s="974" t="n">
        <f aca="false">W60-Y60</f>
        <v>0</v>
      </c>
      <c r="AA60" s="625" t="n">
        <f aca="false">SUM(D59:D60,H59:H60,L59:L60,P59:P60,T59:T60)</f>
        <v>3049.65535853418</v>
      </c>
      <c r="AB60" s="975" t="n">
        <f aca="false">SUM(E59:E60,I59:I60,M59:M60,Q59:Q60,U59:U60)</f>
        <v>7836.96077021453</v>
      </c>
      <c r="AC60" s="625" t="n">
        <f aca="false">SUM(X59:X60)</f>
        <v>38.4653317615136</v>
      </c>
      <c r="AD60" s="975" t="n">
        <f aca="false">SUM(Y59:Y60)</f>
        <v>390.419808736917</v>
      </c>
      <c r="AE60" s="976" t="n">
        <f aca="false">(C59+W59)*IF([1]RAROC!$B$103=1,VLOOKUP(A60,[2]!Guar_Fee_Table,2),IF([1]RAROC!$B$103=2,VLOOKUP(A60,[2]!Guar_Fee_Table,3),IF([1]RAROC!$B$103=3,VLOOKUP(A60,[2]!Guar_Fee_Table,4))))</f>
        <v>0</v>
      </c>
      <c r="AG60" s="968" t="n">
        <v>8362.95238095238</v>
      </c>
      <c r="AH60" s="89" t="n">
        <f aca="false">IF(AG$77=0,0,AG60/AG$77)</f>
        <v>0.0418147619047619</v>
      </c>
      <c r="AI60" s="969" t="n">
        <v>0</v>
      </c>
      <c r="AJ60" s="95" t="n">
        <f aca="false">IF(AI$77=0,0,AI60/AI$77)</f>
        <v>0</v>
      </c>
      <c r="AK60" s="969" t="n">
        <v>0</v>
      </c>
      <c r="AL60" s="95" t="n">
        <f aca="false">IF(AK$77=0,0,AK60/AK$77)</f>
        <v>0</v>
      </c>
      <c r="AM60" s="969" t="n">
        <v>0</v>
      </c>
      <c r="AN60" s="95" t="n">
        <f aca="false">IF(AM$77=0,0,AM60/AM$77)</f>
        <v>0</v>
      </c>
      <c r="AO60" s="969" t="n">
        <v>0</v>
      </c>
      <c r="AP60" s="95" t="n">
        <f aca="false">IF(AO$77=0,0,AO60/AO$77)</f>
        <v>0</v>
      </c>
      <c r="AQ60" s="969" t="n">
        <v>0</v>
      </c>
      <c r="AR60" s="89" t="n">
        <f aca="false">IF(AQ$77=0,0,AQ60/AQ$77)</f>
        <v>0</v>
      </c>
    </row>
    <row r="61" customFormat="false" ht="12.75" hidden="false" customHeight="false" outlineLevel="0" collapsed="false">
      <c r="A61" s="259" t="n">
        <f aca="false">A59+1</f>
        <v>2013</v>
      </c>
      <c r="B61" s="965" t="n">
        <f aca="false">B60+1</f>
        <v>24</v>
      </c>
      <c r="C61" s="966" t="n">
        <f aca="false">F60</f>
        <v>21821.2381737849</v>
      </c>
      <c r="D61" s="61" t="n">
        <f aca="false">C61*F$32*0.5</f>
        <v>1201.25916146686</v>
      </c>
      <c r="E61" s="648" t="n">
        <f aca="false">IF($B61&gt;=F$31,C61,IF(F$33&gt;=$B61,0,IF(C61&gt;1,CHOOSE(F$34,F$29/(F$31-F$33),-PMT(F$32/2,F$31-$B60,C61,0)-D61,F$29*$AH61),0)))*Assm!$X$90</f>
        <v>3918.48038510726</v>
      </c>
      <c r="F61" s="833" t="n">
        <f aca="false">C61-E61</f>
        <v>17902.7577886776</v>
      </c>
      <c r="G61" s="966" t="n">
        <f aca="false">J60</f>
        <v>0</v>
      </c>
      <c r="H61" s="61" t="n">
        <f aca="false">G61*J$32*0.5</f>
        <v>0</v>
      </c>
      <c r="I61" s="61" t="n">
        <f aca="false">IF($B61&gt;=J$31,G61,IF(J$33&gt;=$B61,0,IF(G61&gt;1,CHOOSE(J$34,J$29/(J$31-J$33),-PMT(J$32/2,J$31-$B60,G61,0)-H61,J$29*$AJ61),0)))</f>
        <v>0</v>
      </c>
      <c r="J61" s="833" t="n">
        <f aca="false">G61-I61</f>
        <v>0</v>
      </c>
      <c r="K61" s="966" t="n">
        <f aca="false">N60</f>
        <v>0</v>
      </c>
      <c r="L61" s="61" t="n">
        <f aca="false">K61*N$32*0.5</f>
        <v>0</v>
      </c>
      <c r="M61" s="61" t="n">
        <f aca="false">IF($B61&gt;=N$31,K61,IF(N$33&gt;=$B61,0,IF(K61&gt;1,CHOOSE(N$34,N$29/(N$31-N$33),-PMT(N$32/2,N$31-$B60,K61,0)-L61,N$29*$AL61),0)))</f>
        <v>0</v>
      </c>
      <c r="N61" s="833" t="n">
        <f aca="false">K61-M61</f>
        <v>0</v>
      </c>
      <c r="O61" s="966" t="n">
        <f aca="false">R60</f>
        <v>0</v>
      </c>
      <c r="P61" s="61" t="n">
        <f aca="false">O61*R$32*0.5</f>
        <v>0</v>
      </c>
      <c r="Q61" s="61" t="n">
        <f aca="false">IF($B61&gt;=R$31,O61,IF(R$33&gt;=$B61,0,IF(O61&gt;1,CHOOSE(R$34,R$29/(R$31-R$33),-PMT(R$32/2,R$31-$B60,O61,0)-P61,R$29*$AN61),0)))</f>
        <v>0</v>
      </c>
      <c r="R61" s="833" t="n">
        <f aca="false">O61-Q61</f>
        <v>0</v>
      </c>
      <c r="S61" s="966" t="n">
        <f aca="false">V60</f>
        <v>0</v>
      </c>
      <c r="T61" s="61" t="n">
        <f aca="false">S61*V$32*0.5</f>
        <v>0</v>
      </c>
      <c r="U61" s="61" t="n">
        <f aca="false">IF($B61&gt;=V$31,S61,IF(V$33&gt;=$B61,0,IF(S61&gt;1,CHOOSE(V$34,V$29/(V$31-V$33),-PMT(V$32/2,V$31-$B60,S61,0)-T61,V$29*$AP61),0)))</f>
        <v>0</v>
      </c>
      <c r="V61" s="833" t="n">
        <f aca="false">S61-U61</f>
        <v>0</v>
      </c>
      <c r="W61" s="966" t="n">
        <f aca="false">Z60</f>
        <v>0</v>
      </c>
      <c r="X61" s="61" t="n">
        <f aca="false">W61*Z$32*0.5</f>
        <v>0</v>
      </c>
      <c r="Y61" s="61" t="n">
        <f aca="false">IF($B61&gt;=Z$31,W61,IF(Z$33&gt;=$B61,0,IF(W61&gt;1,CHOOSE(Z$34,Z$29/(Z$31-Z$33),-PMT(Z$32/2,Z$31-$B60,W61,0)-X61,Z$29*$AR61),0)))</f>
        <v>0</v>
      </c>
      <c r="Z61" s="833" t="n">
        <f aca="false">W61-Y61</f>
        <v>0</v>
      </c>
      <c r="AA61" s="61"/>
      <c r="AB61" s="64"/>
      <c r="AC61" s="61"/>
      <c r="AD61" s="64"/>
      <c r="AE61" s="976"/>
      <c r="AG61" s="968" t="n">
        <v>8362.95238095238</v>
      </c>
      <c r="AH61" s="89" t="n">
        <f aca="false">IF(AG$77=0,0,AG61/AG$77)</f>
        <v>0.0418147619047619</v>
      </c>
      <c r="AI61" s="969" t="n">
        <v>0</v>
      </c>
      <c r="AJ61" s="95" t="n">
        <f aca="false">IF(AI$77=0,0,AI61/AI$77)</f>
        <v>0</v>
      </c>
      <c r="AK61" s="969" t="n">
        <v>0</v>
      </c>
      <c r="AL61" s="95" t="n">
        <f aca="false">IF(AK$77=0,0,AK61/AK$77)</f>
        <v>0</v>
      </c>
      <c r="AM61" s="969" t="n">
        <v>0</v>
      </c>
      <c r="AN61" s="95" t="n">
        <f aca="false">IF(AM$77=0,0,AM61/AM$77)</f>
        <v>0</v>
      </c>
      <c r="AO61" s="969" t="n">
        <v>0</v>
      </c>
      <c r="AP61" s="95" t="n">
        <f aca="false">IF(AO$77=0,0,AO61/AO$77)</f>
        <v>0</v>
      </c>
      <c r="AQ61" s="969" t="n">
        <v>0</v>
      </c>
      <c r="AR61" s="89" t="n">
        <f aca="false">IF(AQ$77=0,0,AQ61/AQ$77)</f>
        <v>0</v>
      </c>
    </row>
    <row r="62" customFormat="false" ht="12.75" hidden="false" customHeight="false" outlineLevel="0" collapsed="false">
      <c r="A62" s="970" t="n">
        <f aca="false">A61</f>
        <v>2013</v>
      </c>
      <c r="B62" s="971" t="n">
        <f aca="false">B61+1</f>
        <v>25</v>
      </c>
      <c r="C62" s="972" t="n">
        <f aca="false">F61</f>
        <v>17902.7577886776</v>
      </c>
      <c r="D62" s="625" t="n">
        <f aca="false">C62*F$32*0.5</f>
        <v>985.546816266703</v>
      </c>
      <c r="E62" s="692" t="n">
        <f aca="false">IF($B62&gt;=F$31,C62,IF(F$33&gt;=$B62,0,IF(C62&gt;1,CHOOSE(F$34,F$29/(F$31-F$33),-PMT(F$32/2,F$31-$B61,C62,0)-D62,F$29*$AH62),0)))*Assm!$X$90</f>
        <v>3918.48038510726</v>
      </c>
      <c r="F62" s="974" t="n">
        <f aca="false">C62-E62</f>
        <v>13984.2774035704</v>
      </c>
      <c r="G62" s="972" t="n">
        <f aca="false">J61</f>
        <v>0</v>
      </c>
      <c r="H62" s="625" t="n">
        <f aca="false">G62*J$32*0.5</f>
        <v>0</v>
      </c>
      <c r="I62" s="625" t="n">
        <f aca="false">IF($B62&gt;=J$31,G62,IF(J$33&gt;=$B62,0,IF(G62&gt;1,CHOOSE(J$34,J$29/(J$31-J$33),-PMT(J$32/2,J$31-$B61,G62,0)-H62,J$29*$AJ62),0)))</f>
        <v>0</v>
      </c>
      <c r="J62" s="974" t="n">
        <f aca="false">G62-I62</f>
        <v>0</v>
      </c>
      <c r="K62" s="972" t="n">
        <f aca="false">N61</f>
        <v>0</v>
      </c>
      <c r="L62" s="625" t="n">
        <f aca="false">K62*N$32*0.5</f>
        <v>0</v>
      </c>
      <c r="M62" s="625" t="n">
        <f aca="false">IF($B62&gt;=N$31,K62,IF(N$33&gt;=$B62,0,IF(K62&gt;1,CHOOSE(N$34,N$29/(N$31-N$33),-PMT(N$32/2,N$31-$B61,K62,0)-L62,N$29*$AL62),0)))</f>
        <v>0</v>
      </c>
      <c r="N62" s="974" t="n">
        <f aca="false">K62-M62</f>
        <v>0</v>
      </c>
      <c r="O62" s="972" t="n">
        <f aca="false">R61</f>
        <v>0</v>
      </c>
      <c r="P62" s="625" t="n">
        <f aca="false">O62*R$32*0.5</f>
        <v>0</v>
      </c>
      <c r="Q62" s="625" t="n">
        <f aca="false">IF($B62&gt;=R$31,O62,IF(R$33&gt;=$B62,0,IF(O62&gt;1,CHOOSE(R$34,R$29/(R$31-R$33),-PMT(R$32/2,R$31-$B61,O62,0)-P62,R$29*$AN62),0)))</f>
        <v>0</v>
      </c>
      <c r="R62" s="974" t="n">
        <f aca="false">O62-Q62</f>
        <v>0</v>
      </c>
      <c r="S62" s="972" t="n">
        <f aca="false">V61</f>
        <v>0</v>
      </c>
      <c r="T62" s="625" t="n">
        <f aca="false">S62*V$32*0.5</f>
        <v>0</v>
      </c>
      <c r="U62" s="625" t="n">
        <f aca="false">IF($B62&gt;=V$31,S62,IF(V$33&gt;=$B62,0,IF(S62&gt;1,CHOOSE(V$34,V$29/(V$31-V$33),-PMT(V$32/2,V$31-$B61,S62,0)-T62,V$29*$AP62),0)))</f>
        <v>0</v>
      </c>
      <c r="V62" s="974" t="n">
        <f aca="false">S62-U62</f>
        <v>0</v>
      </c>
      <c r="W62" s="972" t="n">
        <f aca="false">Z61</f>
        <v>0</v>
      </c>
      <c r="X62" s="625" t="n">
        <f aca="false">W62*Z$32*0.5</f>
        <v>0</v>
      </c>
      <c r="Y62" s="625" t="n">
        <f aca="false">IF($B62&gt;=Z$31,W62,IF(Z$33&gt;=$B62,0,IF(W62&gt;1,CHOOSE(Z$34,Z$29/(Z$31-Z$33),-PMT(Z$32/2,Z$31-$B61,W62,0)-X62,Z$29*$AR62),0)))</f>
        <v>0</v>
      </c>
      <c r="Z62" s="974" t="n">
        <f aca="false">W62-Y62</f>
        <v>0</v>
      </c>
      <c r="AA62" s="625" t="n">
        <f aca="false">SUM(D61:D62,H61:H62,L61:L62,P61:P62,T61:T62)</f>
        <v>2186.80597773356</v>
      </c>
      <c r="AB62" s="975" t="n">
        <f aca="false">SUM(E61:E62,I61:I62,M61:M62,Q61:Q62,U61:U62)</f>
        <v>7836.96077021453</v>
      </c>
      <c r="AC62" s="625" t="n">
        <f aca="false">SUM(X61:X62)</f>
        <v>0</v>
      </c>
      <c r="AD62" s="975" t="n">
        <f aca="false">SUM(Y61:Y62)</f>
        <v>0</v>
      </c>
      <c r="AE62" s="976" t="n">
        <f aca="false">(C61+W61)*IF([1]RAROC!$B$103=1,VLOOKUP(A62,[2]!Guar_Fee_Table,2),IF([1]RAROC!$B$103=2,VLOOKUP(A62,[2]!Guar_Fee_Table,3),IF([1]RAROC!$B$103=3,VLOOKUP(A62,[2]!Guar_Fee_Table,4))))</f>
        <v>0</v>
      </c>
      <c r="AG62" s="968" t="n">
        <v>8362.95238095238</v>
      </c>
      <c r="AH62" s="89" t="n">
        <f aca="false">IF(AG$77=0,0,AG62/AG$77)</f>
        <v>0.0418147619047619</v>
      </c>
      <c r="AI62" s="969" t="n">
        <v>0</v>
      </c>
      <c r="AJ62" s="95" t="n">
        <f aca="false">IF(AI$77=0,0,AI62/AI$77)</f>
        <v>0</v>
      </c>
      <c r="AK62" s="969" t="n">
        <v>0</v>
      </c>
      <c r="AL62" s="95" t="n">
        <f aca="false">IF(AK$77=0,0,AK62/AK$77)</f>
        <v>0</v>
      </c>
      <c r="AM62" s="969" t="n">
        <v>0</v>
      </c>
      <c r="AN62" s="95" t="n">
        <f aca="false">IF(AM$77=0,0,AM62/AM$77)</f>
        <v>0</v>
      </c>
      <c r="AO62" s="969" t="n">
        <v>0</v>
      </c>
      <c r="AP62" s="95" t="n">
        <f aca="false">IF(AO$77=0,0,AO62/AO$77)</f>
        <v>0</v>
      </c>
      <c r="AQ62" s="969" t="n">
        <v>0</v>
      </c>
      <c r="AR62" s="89" t="n">
        <f aca="false">IF(AQ$77=0,0,AQ62/AQ$77)</f>
        <v>0</v>
      </c>
    </row>
    <row r="63" customFormat="false" ht="12.75" hidden="false" customHeight="false" outlineLevel="0" collapsed="false">
      <c r="A63" s="259" t="n">
        <f aca="false">A61+1</f>
        <v>2014</v>
      </c>
      <c r="B63" s="965" t="n">
        <f aca="false">B62+1</f>
        <v>26</v>
      </c>
      <c r="C63" s="966" t="n">
        <f aca="false">F62</f>
        <v>13984.2774035704</v>
      </c>
      <c r="D63" s="61" t="n">
        <f aca="false">C63*F$32*0.5</f>
        <v>769.834471066549</v>
      </c>
      <c r="E63" s="648" t="n">
        <f aca="false">IF($B63&gt;=F$31,C63,IF(F$33&gt;=$B63,0,IF(C63&gt;1,CHOOSE(F$34,F$29/(F$31-F$33),-PMT(F$32/2,F$31-$B62,C63,0)-D63,F$29*$AH63),0)))*Assm!$X$90</f>
        <v>3918.48038510726</v>
      </c>
      <c r="F63" s="833" t="n">
        <f aca="false">C63-E63</f>
        <v>10065.7970184631</v>
      </c>
      <c r="G63" s="966" t="n">
        <f aca="false">J62</f>
        <v>0</v>
      </c>
      <c r="H63" s="61" t="n">
        <f aca="false">G63*J$32*0.5</f>
        <v>0</v>
      </c>
      <c r="I63" s="61" t="n">
        <f aca="false">IF($B63&gt;=J$31,G63,IF(J$33&gt;=$B63,0,IF(G63&gt;1,CHOOSE(J$34,J$29/(J$31-J$33),-PMT(J$32/2,J$31-$B62,G63,0)-H63,J$29*$AJ63),0)))</f>
        <v>0</v>
      </c>
      <c r="J63" s="833" t="n">
        <f aca="false">G63-I63</f>
        <v>0</v>
      </c>
      <c r="K63" s="966" t="n">
        <f aca="false">N62</f>
        <v>0</v>
      </c>
      <c r="L63" s="61" t="n">
        <f aca="false">K63*N$32*0.5</f>
        <v>0</v>
      </c>
      <c r="M63" s="61" t="n">
        <f aca="false">IF($B63&gt;=N$31,K63,IF(N$33&gt;=$B63,0,IF(K63&gt;1,CHOOSE(N$34,N$29/(N$31-N$33),-PMT(N$32/2,N$31-$B62,K63,0)-L63,N$29*$AL63),0)))</f>
        <v>0</v>
      </c>
      <c r="N63" s="833" t="n">
        <f aca="false">K63-M63</f>
        <v>0</v>
      </c>
      <c r="O63" s="966" t="n">
        <f aca="false">R62</f>
        <v>0</v>
      </c>
      <c r="P63" s="61" t="n">
        <f aca="false">O63*R$32*0.5</f>
        <v>0</v>
      </c>
      <c r="Q63" s="61" t="n">
        <f aca="false">IF($B63&gt;=R$31,O63,IF(R$33&gt;=$B63,0,IF(O63&gt;1,CHOOSE(R$34,R$29/(R$31-R$33),-PMT(R$32/2,R$31-$B62,O63,0)-P63,R$29*$AN63),0)))</f>
        <v>0</v>
      </c>
      <c r="R63" s="833" t="n">
        <f aca="false">O63-Q63</f>
        <v>0</v>
      </c>
      <c r="S63" s="966" t="n">
        <f aca="false">V62</f>
        <v>0</v>
      </c>
      <c r="T63" s="61" t="n">
        <f aca="false">S63*V$32*0.5</f>
        <v>0</v>
      </c>
      <c r="U63" s="61" t="n">
        <f aca="false">IF($B63&gt;=V$31,S63,IF(V$33&gt;=$B63,0,IF(S63&gt;1,CHOOSE(V$34,V$29/(V$31-V$33),-PMT(V$32/2,V$31-$B62,S63,0)-T63,V$29*$AP63),0)))</f>
        <v>0</v>
      </c>
      <c r="V63" s="833" t="n">
        <f aca="false">S63-U63</f>
        <v>0</v>
      </c>
      <c r="W63" s="966" t="n">
        <f aca="false">Z62</f>
        <v>0</v>
      </c>
      <c r="X63" s="61" t="n">
        <f aca="false">W63*Z$32*0.5</f>
        <v>0</v>
      </c>
      <c r="Y63" s="61" t="n">
        <f aca="false">IF($B63&gt;=Z$31,W63,IF(Z$33&gt;=$B63,0,IF(W63&gt;1,CHOOSE(Z$34,Z$29/(Z$31-Z$33),-PMT(Z$32/2,Z$31-$B62,W63,0)-X63,Z$29*$AR63),0)))</f>
        <v>0</v>
      </c>
      <c r="Z63" s="833" t="n">
        <f aca="false">W63-Y63</f>
        <v>0</v>
      </c>
      <c r="AA63" s="61"/>
      <c r="AB63" s="64"/>
      <c r="AC63" s="61"/>
      <c r="AD63" s="64"/>
      <c r="AE63" s="945"/>
      <c r="AG63" s="968" t="n">
        <v>8362.95238095238</v>
      </c>
      <c r="AH63" s="89" t="n">
        <f aca="false">IF(AG$77=0,0,AG63/AG$77)</f>
        <v>0.0418147619047619</v>
      </c>
      <c r="AI63" s="969" t="n">
        <v>0</v>
      </c>
      <c r="AJ63" s="95" t="n">
        <f aca="false">IF(AI$77=0,0,AI63/AI$77)</f>
        <v>0</v>
      </c>
      <c r="AK63" s="969" t="n">
        <v>0</v>
      </c>
      <c r="AL63" s="95" t="n">
        <f aca="false">IF(AK$77=0,0,AK63/AK$77)</f>
        <v>0</v>
      </c>
      <c r="AM63" s="969" t="n">
        <v>0</v>
      </c>
      <c r="AN63" s="95" t="n">
        <f aca="false">IF(AM$77=0,0,AM63/AM$77)</f>
        <v>0</v>
      </c>
      <c r="AO63" s="969" t="n">
        <v>0</v>
      </c>
      <c r="AP63" s="95" t="n">
        <f aca="false">IF(AO$77=0,0,AO63/AO$77)</f>
        <v>0</v>
      </c>
      <c r="AQ63" s="969" t="n">
        <v>0</v>
      </c>
      <c r="AR63" s="89" t="n">
        <f aca="false">IF(AQ$77=0,0,AQ63/AQ$77)</f>
        <v>0</v>
      </c>
    </row>
    <row r="64" customFormat="false" ht="12.75" hidden="false" customHeight="false" outlineLevel="0" collapsed="false">
      <c r="A64" s="970" t="n">
        <f aca="false">A63</f>
        <v>2014</v>
      </c>
      <c r="B64" s="971" t="n">
        <f aca="false">B63+1</f>
        <v>27</v>
      </c>
      <c r="C64" s="972" t="n">
        <f aca="false">F63</f>
        <v>10065.7970184631</v>
      </c>
      <c r="D64" s="625" t="n">
        <f aca="false">C64*F$32*0.5</f>
        <v>554.122125866394</v>
      </c>
      <c r="E64" s="692" t="n">
        <f aca="false">IF($B64&gt;=F$31,C64,IF(F$33&gt;=$B64,0,IF(C64&gt;1,CHOOSE(F$34,F$29/(F$31-F$33),-PMT(F$32/2,F$31-$B63,C64,0)-D64,F$29*$AH64),0)))*Assm!$X$90</f>
        <v>4199.6117516351</v>
      </c>
      <c r="F64" s="974" t="n">
        <f aca="false">C64-E64</f>
        <v>5866.185266828</v>
      </c>
      <c r="G64" s="972" t="n">
        <f aca="false">J63</f>
        <v>0</v>
      </c>
      <c r="H64" s="625" t="n">
        <f aca="false">G64*J$32*0.5</f>
        <v>0</v>
      </c>
      <c r="I64" s="625" t="n">
        <f aca="false">IF($B64&gt;=J$31,G64,IF(J$33&gt;=$B64,0,IF(G64&gt;1,CHOOSE(J$34,J$29/(J$31-J$33),-PMT(J$32/2,J$31-$B63,G64,0)-H64,J$29*$AJ64),0)))</f>
        <v>0</v>
      </c>
      <c r="J64" s="974" t="n">
        <f aca="false">G64-I64</f>
        <v>0</v>
      </c>
      <c r="K64" s="972" t="n">
        <f aca="false">N63</f>
        <v>0</v>
      </c>
      <c r="L64" s="625" t="n">
        <f aca="false">K64*N$32*0.5</f>
        <v>0</v>
      </c>
      <c r="M64" s="625" t="n">
        <f aca="false">IF($B64&gt;=N$31,K64,IF(N$33&gt;=$B64,0,IF(K64&gt;1,CHOOSE(N$34,N$29/(N$31-N$33),-PMT(N$32/2,N$31-$B63,K64,0)-L64,N$29*$AL64),0)))</f>
        <v>0</v>
      </c>
      <c r="N64" s="974" t="n">
        <f aca="false">K64-M64</f>
        <v>0</v>
      </c>
      <c r="O64" s="972" t="n">
        <f aca="false">R63</f>
        <v>0</v>
      </c>
      <c r="P64" s="625" t="n">
        <f aca="false">O64*R$32*0.5</f>
        <v>0</v>
      </c>
      <c r="Q64" s="625" t="n">
        <f aca="false">IF($B64&gt;=R$31,O64,IF(R$33&gt;=$B64,0,IF(O64&gt;1,CHOOSE(R$34,R$29/(R$31-R$33),-PMT(R$32/2,R$31-$B63,O64,0)-P64,R$29*$AN64),0)))</f>
        <v>0</v>
      </c>
      <c r="R64" s="974" t="n">
        <f aca="false">O64-Q64</f>
        <v>0</v>
      </c>
      <c r="S64" s="972" t="n">
        <f aca="false">V63</f>
        <v>0</v>
      </c>
      <c r="T64" s="625" t="n">
        <f aca="false">S64*V$32*0.5</f>
        <v>0</v>
      </c>
      <c r="U64" s="625" t="n">
        <f aca="false">IF($B64&gt;=V$31,S64,IF(V$33&gt;=$B64,0,IF(S64&gt;1,CHOOSE(V$34,V$29/(V$31-V$33),-PMT(V$32/2,V$31-$B63,S64,0)-T64,V$29*$AP64),0)))</f>
        <v>0</v>
      </c>
      <c r="V64" s="974" t="n">
        <f aca="false">S64-U64</f>
        <v>0</v>
      </c>
      <c r="W64" s="972" t="n">
        <f aca="false">Z63</f>
        <v>0</v>
      </c>
      <c r="X64" s="625" t="n">
        <f aca="false">W64*Z$32*0.5</f>
        <v>0</v>
      </c>
      <c r="Y64" s="625" t="n">
        <f aca="false">IF($B64&gt;=Z$31,W64,IF(Z$33&gt;=$B64,0,IF(W64&gt;1,CHOOSE(Z$34,Z$29/(Z$31-Z$33),-PMT(Z$32/2,Z$31-$B63,W64,0)-X64,Z$29*$AR64),0)))</f>
        <v>0</v>
      </c>
      <c r="Z64" s="974" t="n">
        <f aca="false">W64-Y64</f>
        <v>0</v>
      </c>
      <c r="AA64" s="625" t="n">
        <f aca="false">SUM(D63:D64,H63:H64,L63:L64,P63:P64,T63:T64)</f>
        <v>1323.95659693294</v>
      </c>
      <c r="AB64" s="975" t="n">
        <f aca="false">SUM(E63:E64,I63:I64,M63:M64,Q63:Q64,U63:U64)</f>
        <v>8118.09213674236</v>
      </c>
      <c r="AC64" s="625" t="n">
        <f aca="false">SUM(X63:X64)</f>
        <v>0</v>
      </c>
      <c r="AD64" s="975" t="n">
        <f aca="false">SUM(Y63:Y64)</f>
        <v>0</v>
      </c>
      <c r="AE64" s="976" t="n">
        <f aca="false">(C63+W63)*IF([1]RAROC!$B$103=1,VLOOKUP(A64,[2]!Guar_Fee_Table,2),IF([1]RAROC!$B$103=2,VLOOKUP(A64,[2]!Guar_Fee_Table,3),IF([1]RAROC!$B$103=3,VLOOKUP(A64,[2]!Guar_Fee_Table,4))))</f>
        <v>0</v>
      </c>
      <c r="AG64" s="968" t="n">
        <f aca="false">8362.95238095238+200+400</f>
        <v>8962.95238095238</v>
      </c>
      <c r="AH64" s="89" t="n">
        <f aca="false">IF(AG$77=0,0,AG64/AG$77)</f>
        <v>0.0448147619047619</v>
      </c>
      <c r="AI64" s="969" t="n">
        <v>0</v>
      </c>
      <c r="AJ64" s="95" t="n">
        <f aca="false">IF(AI$77=0,0,AI64/AI$77)</f>
        <v>0</v>
      </c>
      <c r="AK64" s="969" t="n">
        <v>0</v>
      </c>
      <c r="AL64" s="95" t="n">
        <f aca="false">IF(AK$77=0,0,AK64/AK$77)</f>
        <v>0</v>
      </c>
      <c r="AM64" s="969" t="n">
        <v>0</v>
      </c>
      <c r="AN64" s="95" t="n">
        <f aca="false">IF(AM$77=0,0,AM64/AM$77)</f>
        <v>0</v>
      </c>
      <c r="AO64" s="969" t="n">
        <v>0</v>
      </c>
      <c r="AP64" s="95" t="n">
        <f aca="false">IF(AO$77=0,0,AO64/AO$77)</f>
        <v>0</v>
      </c>
      <c r="AQ64" s="969" t="n">
        <v>0</v>
      </c>
      <c r="AR64" s="89" t="n">
        <f aca="false">IF(AQ$77=0,0,AQ64/AQ$77)</f>
        <v>0</v>
      </c>
    </row>
    <row r="65" customFormat="false" ht="12.75" hidden="false" customHeight="false" outlineLevel="0" collapsed="false">
      <c r="A65" s="259" t="n">
        <f aca="false">A63+1</f>
        <v>2015</v>
      </c>
      <c r="B65" s="965" t="n">
        <f aca="false">B64+1</f>
        <v>28</v>
      </c>
      <c r="C65" s="966" t="n">
        <f aca="false">F64</f>
        <v>5866.185266828</v>
      </c>
      <c r="D65" s="61" t="n">
        <f aca="false">C65*F$32*0.5</f>
        <v>322.933498938882</v>
      </c>
      <c r="E65" s="61" t="n">
        <f aca="false">IF($B65&gt;=F$31,C65,IF(F$33&gt;=$B65,0,IF(C65&gt;1,CHOOSE(F$34,F$29/(F$31-F$33),-PMT(F$32/2,F$31-$B64,C65,0)-D65,F$29*$AH65),0)))*Assm!$X$90</f>
        <v>4410.46027653102</v>
      </c>
      <c r="F65" s="833" t="n">
        <f aca="false">C65-E65</f>
        <v>1455.72499029698</v>
      </c>
      <c r="G65" s="966" t="n">
        <f aca="false">J64</f>
        <v>0</v>
      </c>
      <c r="H65" s="61" t="n">
        <f aca="false">G65*J$32*0.5</f>
        <v>0</v>
      </c>
      <c r="I65" s="61" t="n">
        <f aca="false">IF($B65&gt;=J$31,G65,IF(J$33&gt;=$B65,0,IF(G65&gt;1,CHOOSE(J$34,J$29/(J$31-J$33),-PMT(J$32/2,J$31-$B64,G65,0)-H65,J$29*$AJ65),0)))</f>
        <v>0</v>
      </c>
      <c r="J65" s="833" t="n">
        <f aca="false">G65-I65</f>
        <v>0</v>
      </c>
      <c r="K65" s="966" t="n">
        <f aca="false">N64</f>
        <v>0</v>
      </c>
      <c r="L65" s="61" t="n">
        <f aca="false">K65*N$32*0.5</f>
        <v>0</v>
      </c>
      <c r="M65" s="61" t="n">
        <f aca="false">IF($B65&gt;=N$31,K65,IF(N$33&gt;=$B65,0,IF(K65&gt;1,CHOOSE(N$34,N$29/(N$31-N$33),-PMT(N$32/2,N$31-$B64,K65,0)-L65,N$29*$AL65),0)))</f>
        <v>0</v>
      </c>
      <c r="N65" s="833" t="n">
        <f aca="false">K65-M65</f>
        <v>0</v>
      </c>
      <c r="O65" s="966" t="n">
        <f aca="false">R64</f>
        <v>0</v>
      </c>
      <c r="P65" s="61" t="n">
        <f aca="false">O65*R$32*0.5</f>
        <v>0</v>
      </c>
      <c r="Q65" s="61" t="n">
        <f aca="false">IF($B65&gt;=R$31,O65,IF(R$33&gt;=$B65,0,IF(O65&gt;1,CHOOSE(R$34,R$29/(R$31-R$33),-PMT(R$32/2,R$31-$B64,O65,0)-P65,R$29*$AN65),0)))</f>
        <v>0</v>
      </c>
      <c r="R65" s="833" t="n">
        <f aca="false">O65-Q65</f>
        <v>0</v>
      </c>
      <c r="S65" s="966" t="n">
        <f aca="false">V64</f>
        <v>0</v>
      </c>
      <c r="T65" s="61" t="n">
        <f aca="false">S65*V$32*0.5</f>
        <v>0</v>
      </c>
      <c r="U65" s="61" t="n">
        <f aca="false">IF($B65&gt;=V$31,S65,IF(V$33&gt;=$B65,0,IF(S65&gt;1,CHOOSE(V$34,V$29/(V$31-V$33),-PMT(V$32/2,V$31-$B64,S65,0)-T65,V$29*$AP65),0)))</f>
        <v>0</v>
      </c>
      <c r="V65" s="833" t="n">
        <f aca="false">S65-U65</f>
        <v>0</v>
      </c>
      <c r="W65" s="966" t="n">
        <f aca="false">Z64</f>
        <v>0</v>
      </c>
      <c r="X65" s="61" t="n">
        <f aca="false">W65*Z$32*0.5</f>
        <v>0</v>
      </c>
      <c r="Y65" s="61" t="n">
        <f aca="false">IF($B65&gt;=Z$31,W65,IF(Z$33&gt;=$B65,0,IF(W65&gt;1,CHOOSE(Z$34,Z$29/(Z$31-Z$33),-PMT(Z$32/2,Z$31-$B64,W65,0)-X65,Z$29*$AR65),0)))</f>
        <v>0</v>
      </c>
      <c r="Z65" s="833" t="n">
        <f aca="false">W65-Y65</f>
        <v>0</v>
      </c>
      <c r="AA65" s="61"/>
      <c r="AB65" s="64"/>
      <c r="AC65" s="61"/>
      <c r="AD65" s="64"/>
      <c r="AE65" s="945"/>
      <c r="AG65" s="968" t="n">
        <v>9412.95238095248</v>
      </c>
      <c r="AH65" s="89" t="n">
        <f aca="false">IF(AG$77=0,0,AG65/AG$77)</f>
        <v>0.0470647619047624</v>
      </c>
      <c r="AI65" s="969" t="n">
        <v>0</v>
      </c>
      <c r="AJ65" s="95" t="n">
        <f aca="false">IF(AI$77=0,0,AI65/AI$77)</f>
        <v>0</v>
      </c>
      <c r="AK65" s="969" t="n">
        <v>0</v>
      </c>
      <c r="AL65" s="95" t="n">
        <f aca="false">IF(AK$77=0,0,AK65/AK$77)</f>
        <v>0</v>
      </c>
      <c r="AM65" s="969" t="n">
        <v>0</v>
      </c>
      <c r="AN65" s="95" t="n">
        <f aca="false">IF(AM$77=0,0,AM65/AM$77)</f>
        <v>0</v>
      </c>
      <c r="AO65" s="969" t="n">
        <v>0</v>
      </c>
      <c r="AP65" s="95" t="n">
        <f aca="false">IF(AO$77=0,0,AO65/AO$77)</f>
        <v>0</v>
      </c>
      <c r="AQ65" s="969" t="n">
        <v>0</v>
      </c>
      <c r="AR65" s="89" t="n">
        <f aca="false">IF(AQ$77=0,0,AQ65/AQ$77)</f>
        <v>0</v>
      </c>
    </row>
    <row r="66" customFormat="false" ht="12.75" hidden="false" customHeight="false" outlineLevel="0" collapsed="false">
      <c r="A66" s="970" t="n">
        <f aca="false">A65</f>
        <v>2015</v>
      </c>
      <c r="B66" s="971" t="n">
        <f aca="false">B65+1</f>
        <v>29</v>
      </c>
      <c r="C66" s="972" t="n">
        <f aca="false">F65</f>
        <v>1455.72499029698</v>
      </c>
      <c r="D66" s="625" t="n">
        <f aca="false">C66*F$32*0.5</f>
        <v>80.1376607158489</v>
      </c>
      <c r="E66" s="625" t="n">
        <f aca="false">IF($B66&gt;=F$31,C66,IF(F$33&gt;=$B66,0,IF(C66&gt;1,CHOOSE(F$34,F$29/(F$31-F$33),-PMT(F$32/2,F$31-$B65,C66,0)-D66,F$29*$AH66),0)))*Assm!$X$90</f>
        <v>1455.72499029698</v>
      </c>
      <c r="F66" s="974" t="n">
        <f aca="false">C66-E66</f>
        <v>0</v>
      </c>
      <c r="G66" s="972" t="n">
        <f aca="false">J65</f>
        <v>0</v>
      </c>
      <c r="H66" s="625" t="n">
        <f aca="false">G66*J$32*0.5</f>
        <v>0</v>
      </c>
      <c r="I66" s="625" t="n">
        <f aca="false">IF($B66&gt;=J$31,G66,IF(J$33&gt;=$B66,0,IF(G66&gt;1,CHOOSE(J$34,J$29/(J$31-J$33),-PMT(J$32/2,J$31-$B65,G66,0)-H66,J$29*$AJ66),0)))</f>
        <v>0</v>
      </c>
      <c r="J66" s="974" t="n">
        <f aca="false">G66-I66</f>
        <v>0</v>
      </c>
      <c r="K66" s="972" t="n">
        <f aca="false">N65</f>
        <v>0</v>
      </c>
      <c r="L66" s="625" t="n">
        <f aca="false">K66*N$32*0.5</f>
        <v>0</v>
      </c>
      <c r="M66" s="625" t="n">
        <f aca="false">IF($B66&gt;=N$31,K66,IF(N$33&gt;=$B66,0,IF(K66&gt;1,CHOOSE(N$34,N$29/(N$31-N$33),-PMT(N$32/2,N$31-$B65,K66,0)-L66,N$29*$AL66),0)))</f>
        <v>0</v>
      </c>
      <c r="N66" s="974" t="n">
        <f aca="false">K66-M66</f>
        <v>0</v>
      </c>
      <c r="O66" s="972" t="n">
        <f aca="false">R65</f>
        <v>0</v>
      </c>
      <c r="P66" s="625" t="n">
        <f aca="false">O66*R$32*0.5</f>
        <v>0</v>
      </c>
      <c r="Q66" s="625" t="n">
        <f aca="false">IF($B66&gt;=R$31,O66,IF(R$33&gt;=$B66,0,IF(O66&gt;1,CHOOSE(R$34,R$29/(R$31-R$33),-PMT(R$32/2,R$31-$B65,O66,0)-P66,R$29*$AN66),0)))</f>
        <v>0</v>
      </c>
      <c r="R66" s="974" t="n">
        <f aca="false">O66-Q66</f>
        <v>0</v>
      </c>
      <c r="S66" s="972" t="n">
        <f aca="false">V65</f>
        <v>0</v>
      </c>
      <c r="T66" s="625" t="n">
        <f aca="false">S66*V$32*0.5</f>
        <v>0</v>
      </c>
      <c r="U66" s="625" t="n">
        <f aca="false">IF($B66&gt;=V$31,S66,IF(V$33&gt;=$B66,0,IF(S66&gt;1,CHOOSE(V$34,V$29/(V$31-V$33),-PMT(V$32/2,V$31-$B65,S66,0)-T66,V$29*$AP66),0)))</f>
        <v>0</v>
      </c>
      <c r="V66" s="974" t="n">
        <f aca="false">S66-U66</f>
        <v>0</v>
      </c>
      <c r="W66" s="972" t="n">
        <f aca="false">Z65</f>
        <v>0</v>
      </c>
      <c r="X66" s="625" t="n">
        <f aca="false">W66*Z$32*0.5</f>
        <v>0</v>
      </c>
      <c r="Y66" s="625" t="n">
        <f aca="false">IF($B66&gt;=Z$31,W66,IF(Z$33&gt;=$B66,0,IF(W66&gt;1,CHOOSE(Z$34,Z$29/(Z$31-Z$33),-PMT(Z$32/2,Z$31-$B65,W66,0)-X66,Z$29*$AR66),0)))</f>
        <v>0</v>
      </c>
      <c r="Z66" s="974" t="n">
        <f aca="false">W66-Y66</f>
        <v>0</v>
      </c>
      <c r="AA66" s="625" t="n">
        <f aca="false">SUM(D65:D66,H65:H66,L65:L66,P65:P66,T65:T66)</f>
        <v>403.071159654731</v>
      </c>
      <c r="AB66" s="975" t="n">
        <f aca="false">SUM(E65:E66,I65:I66,M65:M66,Q65:Q66,U65:U66)</f>
        <v>5866.185266828</v>
      </c>
      <c r="AC66" s="625" t="n">
        <f aca="false">SUM(X65:X66)</f>
        <v>0</v>
      </c>
      <c r="AD66" s="975" t="n">
        <f aca="false">SUM(Y65:Y66)</f>
        <v>0</v>
      </c>
      <c r="AE66" s="976" t="n">
        <f aca="false">(C65+W65)*IF([1]RAROC!$B$103=1,VLOOKUP(A66,[2]!Guar_Fee_Table,2),IF([1]RAROC!$B$103=2,VLOOKUP(A66,[2]!Guar_Fee_Table,3),IF([1]RAROC!$B$103=3,VLOOKUP(A66,[2]!Guar_Fee_Table,4))))</f>
        <v>0</v>
      </c>
      <c r="AG66" s="968" t="n">
        <v>0</v>
      </c>
      <c r="AH66" s="89" t="n">
        <f aca="false">IF(AG$77=0,0,AG66/AG$77)</f>
        <v>0</v>
      </c>
      <c r="AI66" s="969" t="n">
        <v>0</v>
      </c>
      <c r="AJ66" s="95" t="n">
        <f aca="false">IF(AI$77=0,0,AI66/AI$77)</f>
        <v>0</v>
      </c>
      <c r="AK66" s="969" t="n">
        <v>0</v>
      </c>
      <c r="AL66" s="95" t="n">
        <f aca="false">IF(AK$77=0,0,AK66/AK$77)</f>
        <v>0</v>
      </c>
      <c r="AM66" s="969" t="n">
        <v>0</v>
      </c>
      <c r="AN66" s="95" t="n">
        <f aca="false">IF(AM$77=0,0,AM66/AM$77)</f>
        <v>0</v>
      </c>
      <c r="AO66" s="969" t="n">
        <v>0</v>
      </c>
      <c r="AP66" s="95" t="n">
        <f aca="false">IF(AO$77=0,0,AO66/AO$77)</f>
        <v>0</v>
      </c>
      <c r="AQ66" s="969" t="n">
        <v>0</v>
      </c>
      <c r="AR66" s="89" t="n">
        <f aca="false">IF(AQ$77=0,0,AQ66/AQ$77)</f>
        <v>0</v>
      </c>
    </row>
    <row r="67" customFormat="false" ht="12.75" hidden="false" customHeight="false" outlineLevel="0" collapsed="false">
      <c r="A67" s="259" t="n">
        <f aca="false">A65+1</f>
        <v>2016</v>
      </c>
      <c r="B67" s="965" t="n">
        <f aca="false">B66+1</f>
        <v>30</v>
      </c>
      <c r="C67" s="966" t="n">
        <f aca="false">F66</f>
        <v>0</v>
      </c>
      <c r="D67" s="61" t="n">
        <f aca="false">C67*F$32*0.5</f>
        <v>0</v>
      </c>
      <c r="E67" s="61" t="n">
        <f aca="false">IF($B67&gt;=F$31,C67,IF(F$33&gt;=$B67,0,IF(C67&gt;1,CHOOSE(F$34,F$29/(F$31-F$33),-PMT(F$32/2,F$31-$B66,C67,0)-D67,F$29*$AH67),0)))*Assm!$X$90</f>
        <v>0</v>
      </c>
      <c r="F67" s="833" t="n">
        <f aca="false">C67-E67</f>
        <v>0</v>
      </c>
      <c r="G67" s="966" t="n">
        <f aca="false">J66</f>
        <v>0</v>
      </c>
      <c r="H67" s="61" t="n">
        <f aca="false">G67*J$32*0.5</f>
        <v>0</v>
      </c>
      <c r="I67" s="61" t="n">
        <f aca="false">IF($B67&gt;=J$31,G67,IF(J$33&gt;=$B67,0,IF(G67&gt;1,CHOOSE(J$34,J$29/(J$31-J$33),-PMT(J$32/2,J$31-$B66,G67,0)-H67,J$29*$AJ67),0)))</f>
        <v>0</v>
      </c>
      <c r="J67" s="833" t="n">
        <f aca="false">G67-I67</f>
        <v>0</v>
      </c>
      <c r="K67" s="966" t="n">
        <f aca="false">N66</f>
        <v>0</v>
      </c>
      <c r="L67" s="61" t="n">
        <f aca="false">K67*N$32*0.5</f>
        <v>0</v>
      </c>
      <c r="M67" s="61" t="n">
        <f aca="false">IF($B67&gt;=N$31,K67,IF(N$33&gt;=$B67,0,IF(K67&gt;1,CHOOSE(N$34,N$29/(N$31-N$33),-PMT(N$32/2,N$31-$B66,K67,0)-L67,N$29*$AL67),0)))</f>
        <v>0</v>
      </c>
      <c r="N67" s="833" t="n">
        <f aca="false">K67-M67</f>
        <v>0</v>
      </c>
      <c r="O67" s="966" t="n">
        <f aca="false">R66</f>
        <v>0</v>
      </c>
      <c r="P67" s="61" t="n">
        <f aca="false">O67*R$32*0.5</f>
        <v>0</v>
      </c>
      <c r="Q67" s="61" t="n">
        <f aca="false">IF($B67&gt;=R$31,O67,IF(R$33&gt;=$B67,0,IF(O67&gt;1,CHOOSE(R$34,R$29/(R$31-R$33),-PMT(R$32/2,R$31-$B66,O67,0)-P67,R$29*$AN67),0)))</f>
        <v>0</v>
      </c>
      <c r="R67" s="833" t="n">
        <f aca="false">O67-Q67</f>
        <v>0</v>
      </c>
      <c r="S67" s="966" t="n">
        <f aca="false">V66</f>
        <v>0</v>
      </c>
      <c r="T67" s="61" t="n">
        <f aca="false">S67*V$32*0.5</f>
        <v>0</v>
      </c>
      <c r="U67" s="61" t="n">
        <f aca="false">IF($B67&gt;=V$31,S67,IF(V$33&gt;=$B67,0,IF(S67&gt;1,CHOOSE(V$34,V$29/(V$31-V$33),-PMT(V$32/2,V$31-$B66,S67,0)-T67,V$29*$AP67),0)))</f>
        <v>0</v>
      </c>
      <c r="V67" s="833" t="n">
        <f aca="false">S67-U67</f>
        <v>0</v>
      </c>
      <c r="W67" s="966" t="n">
        <f aca="false">Z66</f>
        <v>0</v>
      </c>
      <c r="X67" s="61" t="n">
        <f aca="false">W67*Z$32*0.5</f>
        <v>0</v>
      </c>
      <c r="Y67" s="61" t="n">
        <f aca="false">IF($B67&gt;=Z$31,W67,IF(Z$33&gt;=$B67,0,IF(W67&gt;1,CHOOSE(Z$34,Z$29/(Z$31-Z$33),-PMT(Z$32/2,Z$31-$B66,W67,0)-X67,Z$29*$AR67),0)))</f>
        <v>0</v>
      </c>
      <c r="Z67" s="833" t="n">
        <f aca="false">W67-Y67</f>
        <v>0</v>
      </c>
      <c r="AA67" s="61"/>
      <c r="AB67" s="64"/>
      <c r="AC67" s="61"/>
      <c r="AD67" s="64"/>
      <c r="AE67" s="945"/>
      <c r="AG67" s="968" t="n">
        <v>0</v>
      </c>
      <c r="AH67" s="89" t="n">
        <f aca="false">IF(AG$77=0,0,AG67/AG$77)</f>
        <v>0</v>
      </c>
      <c r="AI67" s="969" t="n">
        <v>0</v>
      </c>
      <c r="AJ67" s="95" t="n">
        <f aca="false">IF(AI$77=0,0,AI67/AI$77)</f>
        <v>0</v>
      </c>
      <c r="AK67" s="969" t="n">
        <v>0</v>
      </c>
      <c r="AL67" s="95" t="n">
        <f aca="false">IF(AK$77=0,0,AK67/AK$77)</f>
        <v>0</v>
      </c>
      <c r="AM67" s="969" t="n">
        <v>0</v>
      </c>
      <c r="AN67" s="95" t="n">
        <f aca="false">IF(AM$77=0,0,AM67/AM$77)</f>
        <v>0</v>
      </c>
      <c r="AO67" s="969" t="n">
        <v>0</v>
      </c>
      <c r="AP67" s="95" t="n">
        <f aca="false">IF(AO$77=0,0,AO67/AO$77)</f>
        <v>0</v>
      </c>
      <c r="AQ67" s="969" t="n">
        <v>0</v>
      </c>
      <c r="AR67" s="89" t="n">
        <f aca="false">IF(AQ$77=0,0,AQ67/AQ$77)</f>
        <v>0</v>
      </c>
    </row>
    <row r="68" customFormat="false" ht="12.75" hidden="false" customHeight="false" outlineLevel="0" collapsed="false">
      <c r="A68" s="970" t="n">
        <f aca="false">A67</f>
        <v>2016</v>
      </c>
      <c r="B68" s="971" t="n">
        <f aca="false">B67+1</f>
        <v>31</v>
      </c>
      <c r="C68" s="972" t="n">
        <f aca="false">F67</f>
        <v>0</v>
      </c>
      <c r="D68" s="625" t="n">
        <f aca="false">C68*F$32*0.5</f>
        <v>0</v>
      </c>
      <c r="E68" s="625" t="n">
        <f aca="false">IF($B68&gt;=F$31,C68,IF(F$33&gt;=$B68,0,IF(C68&gt;1,CHOOSE(F$34,F$29/(F$31-F$33),-PMT(F$32/2,F$31-$B67,C68,0)-D68,F$29*$AH68),0)))*Assm!$X$90</f>
        <v>0</v>
      </c>
      <c r="F68" s="974" t="n">
        <f aca="false">C68-E68</f>
        <v>0</v>
      </c>
      <c r="G68" s="972" t="n">
        <f aca="false">J67</f>
        <v>0</v>
      </c>
      <c r="H68" s="625" t="n">
        <f aca="false">G68*J$32*0.5</f>
        <v>0</v>
      </c>
      <c r="I68" s="625" t="n">
        <f aca="false">IF($B68&gt;=J$31,G68,IF(J$33&gt;=$B68,0,IF(G68&gt;1,CHOOSE(J$34,J$29/(J$31-J$33),-PMT(J$32/2,J$31-$B67,G68,0)-H68,J$29*$AJ68),0)))</f>
        <v>0</v>
      </c>
      <c r="J68" s="974" t="n">
        <f aca="false">G68-I68</f>
        <v>0</v>
      </c>
      <c r="K68" s="972" t="n">
        <f aca="false">N67</f>
        <v>0</v>
      </c>
      <c r="L68" s="625" t="n">
        <f aca="false">K68*N$32*0.5</f>
        <v>0</v>
      </c>
      <c r="M68" s="625" t="n">
        <f aca="false">IF($B68&gt;=N$31,K68,IF(N$33&gt;=$B68,0,IF(K68&gt;1,CHOOSE(N$34,N$29/(N$31-N$33),-PMT(N$32/2,N$31-$B67,K68,0)-L68,N$29*$AL68),0)))</f>
        <v>0</v>
      </c>
      <c r="N68" s="974" t="n">
        <f aca="false">K68-M68</f>
        <v>0</v>
      </c>
      <c r="O68" s="972" t="n">
        <f aca="false">R67</f>
        <v>0</v>
      </c>
      <c r="P68" s="625" t="n">
        <f aca="false">O68*R$32*0.5</f>
        <v>0</v>
      </c>
      <c r="Q68" s="625" t="n">
        <f aca="false">IF($B68&gt;=R$31,O68,IF(R$33&gt;=$B68,0,IF(O68&gt;1,CHOOSE(R$34,R$29/(R$31-R$33),-PMT(R$32/2,R$31-$B67,O68,0)-P68,R$29*$AN68),0)))</f>
        <v>0</v>
      </c>
      <c r="R68" s="974" t="n">
        <f aca="false">O68-Q68</f>
        <v>0</v>
      </c>
      <c r="S68" s="972" t="n">
        <f aca="false">V67</f>
        <v>0</v>
      </c>
      <c r="T68" s="625" t="n">
        <f aca="false">S68*V$32*0.5</f>
        <v>0</v>
      </c>
      <c r="U68" s="625" t="n">
        <f aca="false">IF($B68&gt;=V$31,S68,IF(V$33&gt;=$B68,0,IF(S68&gt;1,CHOOSE(V$34,V$29/(V$31-V$33),-PMT(V$32/2,V$31-$B67,S68,0)-T68,V$29*$AP68),0)))</f>
        <v>0</v>
      </c>
      <c r="V68" s="974" t="n">
        <f aca="false">S68-U68</f>
        <v>0</v>
      </c>
      <c r="W68" s="972" t="n">
        <f aca="false">Z67</f>
        <v>0</v>
      </c>
      <c r="X68" s="625" t="n">
        <f aca="false">W68*Z$32*0.5</f>
        <v>0</v>
      </c>
      <c r="Y68" s="625" t="n">
        <f aca="false">IF($B68&gt;=Z$31,W68,IF(Z$33&gt;=$B68,0,IF(W68&gt;1,CHOOSE(Z$34,Z$29/(Z$31-Z$33),-PMT(Z$32/2,Z$31-$B67,W68,0)-X68,Z$29*$AR68),0)))</f>
        <v>0</v>
      </c>
      <c r="Z68" s="974" t="n">
        <f aca="false">W68-Y68</f>
        <v>0</v>
      </c>
      <c r="AA68" s="625" t="n">
        <f aca="false">SUM(D67:D68,H67:H68,L67:L68,P67:P68,T67:T68)</f>
        <v>0</v>
      </c>
      <c r="AB68" s="975" t="n">
        <f aca="false">SUM(E67:E68,I67:I68,M67:M68,Q67:Q68,U67:U68)</f>
        <v>0</v>
      </c>
      <c r="AC68" s="625" t="n">
        <f aca="false">SUM(X67:X68)</f>
        <v>0</v>
      </c>
      <c r="AD68" s="975" t="n">
        <f aca="false">SUM(Y67:Y68)</f>
        <v>0</v>
      </c>
      <c r="AE68" s="976" t="n">
        <f aca="false">(C67+W67)*IF([1]RAROC!$B$103=1,VLOOKUP(A68,[2]!Guar_Fee_Table,2),IF([1]RAROC!$B$103=2,VLOOKUP(A68,[2]!Guar_Fee_Table,3),IF([1]RAROC!$B$103=3,VLOOKUP(A68,[2]!Guar_Fee_Table,4))))</f>
        <v>0</v>
      </c>
      <c r="AG68" s="968" t="n">
        <v>0</v>
      </c>
      <c r="AH68" s="89" t="n">
        <f aca="false">IF(AG$77=0,0,AG68/AG$77)</f>
        <v>0</v>
      </c>
      <c r="AI68" s="969" t="n">
        <v>0</v>
      </c>
      <c r="AJ68" s="95" t="n">
        <f aca="false">IF(AI$77=0,0,AI68/AI$77)</f>
        <v>0</v>
      </c>
      <c r="AK68" s="969" t="n">
        <v>0</v>
      </c>
      <c r="AL68" s="95" t="n">
        <f aca="false">IF(AK$77=0,0,AK68/AK$77)</f>
        <v>0</v>
      </c>
      <c r="AM68" s="969" t="n">
        <v>0</v>
      </c>
      <c r="AN68" s="95" t="n">
        <f aca="false">IF(AM$77=0,0,AM68/AM$77)</f>
        <v>0</v>
      </c>
      <c r="AO68" s="969" t="n">
        <v>0</v>
      </c>
      <c r="AP68" s="95" t="n">
        <f aca="false">IF(AO$77=0,0,AO68/AO$77)</f>
        <v>0</v>
      </c>
      <c r="AQ68" s="969" t="n">
        <v>0</v>
      </c>
      <c r="AR68" s="89" t="n">
        <f aca="false">IF(AQ$77=0,0,AQ68/AQ$77)</f>
        <v>0</v>
      </c>
    </row>
    <row r="69" customFormat="false" ht="12.75" hidden="false" customHeight="false" outlineLevel="0" collapsed="false">
      <c r="A69" s="259" t="n">
        <f aca="false">A67+1</f>
        <v>2017</v>
      </c>
      <c r="B69" s="965" t="n">
        <f aca="false">B68+1</f>
        <v>32</v>
      </c>
      <c r="C69" s="966" t="n">
        <f aca="false">F68</f>
        <v>0</v>
      </c>
      <c r="D69" s="61" t="n">
        <f aca="false">C69*F$32*0.5</f>
        <v>0</v>
      </c>
      <c r="E69" s="61" t="n">
        <f aca="false">IF($B69&gt;=F$31,C69,IF(F$33&gt;=$B69,0,IF(C69&gt;1,CHOOSE(F$34,F$29/(F$31-F$33),-PMT(F$32/2,F$31-$B68,C69,0)-D69,F$29*$AH69),0)))*Assm!$X$90</f>
        <v>0</v>
      </c>
      <c r="F69" s="833" t="n">
        <f aca="false">C69-E69</f>
        <v>0</v>
      </c>
      <c r="G69" s="966" t="n">
        <f aca="false">J68</f>
        <v>0</v>
      </c>
      <c r="H69" s="61" t="n">
        <f aca="false">G69*J$32*0.5</f>
        <v>0</v>
      </c>
      <c r="I69" s="61" t="n">
        <f aca="false">IF($B69&gt;=J$31,G69,IF(J$33&gt;=$B69,0,IF(G69&gt;1,CHOOSE(J$34,J$29/(J$31-J$33),-PMT(J$32/2,J$31-$B68,G69,0)-H69,J$29*$AJ69),0)))</f>
        <v>0</v>
      </c>
      <c r="J69" s="833" t="n">
        <f aca="false">G69-I69</f>
        <v>0</v>
      </c>
      <c r="K69" s="966" t="n">
        <f aca="false">N68</f>
        <v>0</v>
      </c>
      <c r="L69" s="61" t="n">
        <f aca="false">K69*N$32*0.5</f>
        <v>0</v>
      </c>
      <c r="M69" s="61" t="n">
        <f aca="false">IF($B69&gt;=N$31,K69,IF(N$33&gt;=$B69,0,IF(K69&gt;1,CHOOSE(N$34,N$29/(N$31-N$33),-PMT(N$32/2,N$31-$B68,K69,0)-L69,N$29*$AL69),0)))</f>
        <v>0</v>
      </c>
      <c r="N69" s="833" t="n">
        <f aca="false">K69-M69</f>
        <v>0</v>
      </c>
      <c r="O69" s="966" t="n">
        <f aca="false">R68</f>
        <v>0</v>
      </c>
      <c r="P69" s="61" t="n">
        <f aca="false">O69*R$32*0.5</f>
        <v>0</v>
      </c>
      <c r="Q69" s="61" t="n">
        <f aca="false">IF($B69&gt;=R$31,O69,IF(R$33&gt;=$B69,0,IF(O69&gt;1,CHOOSE(R$34,R$29/(R$31-R$33),-PMT(R$32/2,R$31-$B68,O69,0)-P69,R$29*$AN69),0)))</f>
        <v>0</v>
      </c>
      <c r="R69" s="833" t="n">
        <f aca="false">O69-Q69</f>
        <v>0</v>
      </c>
      <c r="S69" s="966" t="n">
        <f aca="false">V68</f>
        <v>0</v>
      </c>
      <c r="T69" s="61" t="n">
        <f aca="false">S69*V$32*0.5</f>
        <v>0</v>
      </c>
      <c r="U69" s="61" t="n">
        <f aca="false">IF($B69&gt;=V$31,S69,IF(V$33&gt;=$B69,0,IF(S69&gt;1,CHOOSE(V$34,V$29/(V$31-V$33),-PMT(V$32/2,V$31-$B68,S69,0)-T69,V$29*$AP69),0)))</f>
        <v>0</v>
      </c>
      <c r="V69" s="833" t="n">
        <f aca="false">S69-U69</f>
        <v>0</v>
      </c>
      <c r="W69" s="966" t="n">
        <f aca="false">Z68</f>
        <v>0</v>
      </c>
      <c r="X69" s="61" t="n">
        <f aca="false">W69*Z$32*0.5</f>
        <v>0</v>
      </c>
      <c r="Y69" s="61" t="n">
        <f aca="false">IF($B69&gt;=Z$31,W69,IF(Z$33&gt;=$B69,0,IF(W69&gt;1,CHOOSE(Z$34,Z$29/(Z$31-Z$33),-PMT(Z$32/2,Z$31-$B68,W69,0)-X69,Z$29*$AR69),0)))</f>
        <v>0</v>
      </c>
      <c r="Z69" s="833" t="n">
        <f aca="false">W69-Y69</f>
        <v>0</v>
      </c>
      <c r="AA69" s="61"/>
      <c r="AB69" s="64"/>
      <c r="AC69" s="61"/>
      <c r="AD69" s="64"/>
      <c r="AE69" s="945"/>
      <c r="AG69" s="968" t="n">
        <v>0</v>
      </c>
      <c r="AH69" s="89" t="n">
        <f aca="false">IF(AG$77=0,0,AG69/AG$77)</f>
        <v>0</v>
      </c>
      <c r="AI69" s="969" t="n">
        <v>0</v>
      </c>
      <c r="AJ69" s="95" t="n">
        <f aca="false">IF(AI$77=0,0,AI69/AI$77)</f>
        <v>0</v>
      </c>
      <c r="AK69" s="969" t="n">
        <v>0</v>
      </c>
      <c r="AL69" s="95" t="n">
        <f aca="false">IF(AK$77=0,0,AK69/AK$77)</f>
        <v>0</v>
      </c>
      <c r="AM69" s="969" t="n">
        <v>0</v>
      </c>
      <c r="AN69" s="95" t="n">
        <f aca="false">IF(AM$77=0,0,AM69/AM$77)</f>
        <v>0</v>
      </c>
      <c r="AO69" s="969" t="n">
        <v>0</v>
      </c>
      <c r="AP69" s="95" t="n">
        <f aca="false">IF(AO$77=0,0,AO69/AO$77)</f>
        <v>0</v>
      </c>
      <c r="AQ69" s="969" t="n">
        <v>0</v>
      </c>
      <c r="AR69" s="89" t="n">
        <f aca="false">IF(AQ$77=0,0,AQ69/AQ$77)</f>
        <v>0</v>
      </c>
    </row>
    <row r="70" customFormat="false" ht="12.75" hidden="false" customHeight="false" outlineLevel="0" collapsed="false">
      <c r="A70" s="970" t="n">
        <f aca="false">A69</f>
        <v>2017</v>
      </c>
      <c r="B70" s="971" t="n">
        <f aca="false">B69+1</f>
        <v>33</v>
      </c>
      <c r="C70" s="972" t="n">
        <f aca="false">F69</f>
        <v>0</v>
      </c>
      <c r="D70" s="625" t="n">
        <f aca="false">C70*F$32*0.5</f>
        <v>0</v>
      </c>
      <c r="E70" s="625" t="n">
        <f aca="false">IF($B70&gt;=F$31,C70,IF(F$33&gt;=$B70,0,IF(C70&gt;1,CHOOSE(F$34,F$29/(F$31-F$33),-PMT(F$32/2,F$31-$B69,C70,0)-D70,F$29*$AH70),0)))*Assm!$X$90</f>
        <v>0</v>
      </c>
      <c r="F70" s="974" t="n">
        <f aca="false">C70-E70</f>
        <v>0</v>
      </c>
      <c r="G70" s="972" t="n">
        <f aca="false">J69</f>
        <v>0</v>
      </c>
      <c r="H70" s="625" t="n">
        <f aca="false">G70*J$32*0.5</f>
        <v>0</v>
      </c>
      <c r="I70" s="625" t="n">
        <f aca="false">IF($B70&gt;=J$31,G70,IF(J$33&gt;=$B70,0,IF(G70&gt;1,CHOOSE(J$34,J$29/(J$31-J$33),-PMT(J$32/2,J$31-$B69,G70,0)-H70,J$29*$AJ70),0)))</f>
        <v>0</v>
      </c>
      <c r="J70" s="974" t="n">
        <f aca="false">G70-I70</f>
        <v>0</v>
      </c>
      <c r="K70" s="972" t="n">
        <f aca="false">N69</f>
        <v>0</v>
      </c>
      <c r="L70" s="625" t="n">
        <f aca="false">K70*N$32*0.5</f>
        <v>0</v>
      </c>
      <c r="M70" s="625" t="n">
        <f aca="false">IF($B70&gt;=N$31,K70,IF(N$33&gt;=$B70,0,IF(K70&gt;1,CHOOSE(N$34,N$29/(N$31-N$33),-PMT(N$32/2,N$31-$B69,K70,0)-L70,N$29*$AL70),0)))</f>
        <v>0</v>
      </c>
      <c r="N70" s="974" t="n">
        <f aca="false">K70-M70</f>
        <v>0</v>
      </c>
      <c r="O70" s="972" t="n">
        <f aca="false">R69</f>
        <v>0</v>
      </c>
      <c r="P70" s="625" t="n">
        <f aca="false">O70*R$32*0.5</f>
        <v>0</v>
      </c>
      <c r="Q70" s="625" t="n">
        <f aca="false">IF($B70&gt;=R$31,O70,IF(R$33&gt;=$B70,0,IF(O70&gt;1,CHOOSE(R$34,R$29/(R$31-R$33),-PMT(R$32/2,R$31-$B69,O70,0)-P70,R$29*$AN70),0)))</f>
        <v>0</v>
      </c>
      <c r="R70" s="974" t="n">
        <f aca="false">O70-Q70</f>
        <v>0</v>
      </c>
      <c r="S70" s="972" t="n">
        <f aca="false">V69</f>
        <v>0</v>
      </c>
      <c r="T70" s="625" t="n">
        <f aca="false">S70*V$32*0.5</f>
        <v>0</v>
      </c>
      <c r="U70" s="625" t="n">
        <f aca="false">IF($B70&gt;=V$31,S70,IF(V$33&gt;=$B70,0,IF(S70&gt;1,CHOOSE(V$34,V$29/(V$31-V$33),-PMT(V$32/2,V$31-$B69,S70,0)-T70,V$29*$AP70),0)))</f>
        <v>0</v>
      </c>
      <c r="V70" s="974" t="n">
        <f aca="false">S70-U70</f>
        <v>0</v>
      </c>
      <c r="W70" s="972" t="n">
        <f aca="false">Z69</f>
        <v>0</v>
      </c>
      <c r="X70" s="625" t="n">
        <f aca="false">W70*Z$32*0.5</f>
        <v>0</v>
      </c>
      <c r="Y70" s="625" t="n">
        <f aca="false">IF($B70&gt;=Z$31,W70,IF(Z$33&gt;=$B70,0,IF(W70&gt;1,CHOOSE(Z$34,Z$29/(Z$31-Z$33),-PMT(Z$32/2,Z$31-$B69,W70,0)-X70,Z$29*$AR70),0)))</f>
        <v>0</v>
      </c>
      <c r="Z70" s="974" t="n">
        <f aca="false">W70-Y70</f>
        <v>0</v>
      </c>
      <c r="AA70" s="625" t="n">
        <f aca="false">SUM(D69:D70,H69:H70,L69:L70,P69:P70,T69:T70)</f>
        <v>0</v>
      </c>
      <c r="AB70" s="975" t="n">
        <f aca="false">SUM(E69:E70,I69:I70,M69:M70,Q69:Q70,U69:U70)</f>
        <v>0</v>
      </c>
      <c r="AC70" s="625" t="n">
        <f aca="false">SUM(X69:X70)</f>
        <v>0</v>
      </c>
      <c r="AD70" s="975" t="n">
        <f aca="false">SUM(Y69:Y70)</f>
        <v>0</v>
      </c>
      <c r="AE70" s="976" t="n">
        <f aca="false">(C69+W69)*IF([1]RAROC!$B$103=1,VLOOKUP(A70,[2]!Guar_Fee_Table,2),IF([1]RAROC!$B$103=2,VLOOKUP(A70,[2]!Guar_Fee_Table,3),IF([1]RAROC!$B$103=3,VLOOKUP(A70,[2]!Guar_Fee_Table,4))))</f>
        <v>0</v>
      </c>
      <c r="AG70" s="968" t="n">
        <v>0</v>
      </c>
      <c r="AH70" s="89" t="n">
        <f aca="false">IF(AG$77=0,0,AG70/AG$77)</f>
        <v>0</v>
      </c>
      <c r="AI70" s="969" t="n">
        <v>0</v>
      </c>
      <c r="AJ70" s="95" t="n">
        <f aca="false">IF(AI$77=0,0,AI70/AI$77)</f>
        <v>0</v>
      </c>
      <c r="AK70" s="969" t="n">
        <v>0</v>
      </c>
      <c r="AL70" s="95" t="n">
        <f aca="false">IF(AK$77=0,0,AK70/AK$77)</f>
        <v>0</v>
      </c>
      <c r="AM70" s="969" t="n">
        <v>0</v>
      </c>
      <c r="AN70" s="95" t="n">
        <f aca="false">IF(AM$77=0,0,AM70/AM$77)</f>
        <v>0</v>
      </c>
      <c r="AO70" s="969" t="n">
        <v>0</v>
      </c>
      <c r="AP70" s="95" t="n">
        <f aca="false">IF(AO$77=0,0,AO70/AO$77)</f>
        <v>0</v>
      </c>
      <c r="AQ70" s="969" t="n">
        <v>0</v>
      </c>
      <c r="AR70" s="89" t="n">
        <f aca="false">IF(AQ$77=0,0,AQ70/AQ$77)</f>
        <v>0</v>
      </c>
    </row>
    <row r="71" customFormat="false" ht="12.75" hidden="false" customHeight="false" outlineLevel="0" collapsed="false">
      <c r="A71" s="259" t="n">
        <f aca="false">A69+1</f>
        <v>2018</v>
      </c>
      <c r="B71" s="965" t="n">
        <f aca="false">B70+1</f>
        <v>34</v>
      </c>
      <c r="C71" s="966" t="n">
        <f aca="false">F70</f>
        <v>0</v>
      </c>
      <c r="D71" s="61" t="n">
        <f aca="false">C71*F$32*0.5</f>
        <v>0</v>
      </c>
      <c r="E71" s="61" t="n">
        <f aca="false">IF($B71&gt;=F$31,C71,IF(F$33&gt;=$B71,0,IF(C71&gt;1,CHOOSE(F$34,F$29/(F$31-F$33),-PMT(F$32/2,F$31-$B70,C71,0)-D71,F$29*$AH71),0)))*Assm!$X$90</f>
        <v>0</v>
      </c>
      <c r="F71" s="833" t="n">
        <f aca="false">C71-E71</f>
        <v>0</v>
      </c>
      <c r="G71" s="966" t="n">
        <f aca="false">J70</f>
        <v>0</v>
      </c>
      <c r="H71" s="61" t="n">
        <f aca="false">G71*J$32*0.5</f>
        <v>0</v>
      </c>
      <c r="I71" s="61" t="n">
        <f aca="false">IF($B71&gt;=J$31,G71,IF(J$33&gt;=$B71,0,IF(G71&gt;1,CHOOSE(J$34,J$29/(J$31-J$33),-PMT(J$32/2,J$31-$B70,G71,0)-H71,J$29*$AJ71),0)))</f>
        <v>0</v>
      </c>
      <c r="J71" s="833" t="n">
        <f aca="false">G71-I71</f>
        <v>0</v>
      </c>
      <c r="K71" s="966" t="n">
        <f aca="false">N70</f>
        <v>0</v>
      </c>
      <c r="L71" s="61" t="n">
        <f aca="false">K71*N$32*0.5</f>
        <v>0</v>
      </c>
      <c r="M71" s="61" t="n">
        <f aca="false">IF($B71&gt;=N$31,K71,IF(N$33&gt;=$B71,0,IF(K71&gt;1,CHOOSE(N$34,N$29/(N$31-N$33),-PMT(N$32/2,N$31-$B70,K71,0)-L71,N$29*$AL71),0)))</f>
        <v>0</v>
      </c>
      <c r="N71" s="833" t="n">
        <f aca="false">K71-M71</f>
        <v>0</v>
      </c>
      <c r="O71" s="966" t="n">
        <f aca="false">R70</f>
        <v>0</v>
      </c>
      <c r="P71" s="61" t="n">
        <f aca="false">O71*R$32*0.5</f>
        <v>0</v>
      </c>
      <c r="Q71" s="61" t="n">
        <f aca="false">IF($B71&gt;=R$31,O71,IF(R$33&gt;=$B71,0,IF(O71&gt;1,CHOOSE(R$34,R$29/(R$31-R$33),-PMT(R$32/2,R$31-$B70,O71,0)-P71,R$29*$AN71),0)))</f>
        <v>0</v>
      </c>
      <c r="R71" s="833" t="n">
        <f aca="false">O71-Q71</f>
        <v>0</v>
      </c>
      <c r="S71" s="966" t="n">
        <f aca="false">V70</f>
        <v>0</v>
      </c>
      <c r="T71" s="61" t="n">
        <f aca="false">S71*V$32*0.5</f>
        <v>0</v>
      </c>
      <c r="U71" s="61" t="n">
        <f aca="false">IF($B71&gt;=V$31,S71,IF(V$33&gt;=$B71,0,IF(S71&gt;1,CHOOSE(V$34,V$29/(V$31-V$33),-PMT(V$32/2,V$31-$B70,S71,0)-T71,V$29*$AP71),0)))</f>
        <v>0</v>
      </c>
      <c r="V71" s="833" t="n">
        <f aca="false">S71-U71</f>
        <v>0</v>
      </c>
      <c r="W71" s="966" t="n">
        <f aca="false">Z70</f>
        <v>0</v>
      </c>
      <c r="X71" s="61" t="n">
        <f aca="false">W71*Z$32*0.5</f>
        <v>0</v>
      </c>
      <c r="Y71" s="61" t="n">
        <f aca="false">IF($B71&gt;=Z$31,W71,IF(Z$33&gt;=$B71,0,IF(W71&gt;1,CHOOSE(Z$34,Z$29/(Z$31-Z$33),-PMT(Z$32/2,Z$31-$B70,W71,0)-X71,Z$29*$AR71),0)))</f>
        <v>0</v>
      </c>
      <c r="Z71" s="833" t="n">
        <f aca="false">W71-Y71</f>
        <v>0</v>
      </c>
      <c r="AA71" s="61"/>
      <c r="AB71" s="64"/>
      <c r="AC71" s="61"/>
      <c r="AD71" s="64"/>
      <c r="AE71" s="945"/>
      <c r="AG71" s="968" t="n">
        <v>0</v>
      </c>
      <c r="AH71" s="89" t="n">
        <f aca="false">IF(AG$77=0,0,AG71/AG$77)</f>
        <v>0</v>
      </c>
      <c r="AI71" s="969" t="n">
        <v>0</v>
      </c>
      <c r="AJ71" s="95" t="n">
        <f aca="false">IF(AI$77=0,0,AI71/AI$77)</f>
        <v>0</v>
      </c>
      <c r="AK71" s="969" t="n">
        <v>0</v>
      </c>
      <c r="AL71" s="95" t="n">
        <f aca="false">IF(AK$77=0,0,AK71/AK$77)</f>
        <v>0</v>
      </c>
      <c r="AM71" s="969" t="n">
        <v>0</v>
      </c>
      <c r="AN71" s="95" t="n">
        <f aca="false">IF(AM$77=0,0,AM71/AM$77)</f>
        <v>0</v>
      </c>
      <c r="AO71" s="969" t="n">
        <v>0</v>
      </c>
      <c r="AP71" s="95" t="n">
        <f aca="false">IF(AO$77=0,0,AO71/AO$77)</f>
        <v>0</v>
      </c>
      <c r="AQ71" s="969" t="n">
        <v>0</v>
      </c>
      <c r="AR71" s="89" t="n">
        <f aca="false">IF(AQ$77=0,0,AQ71/AQ$77)</f>
        <v>0</v>
      </c>
    </row>
    <row r="72" customFormat="false" ht="12.75" hidden="false" customHeight="false" outlineLevel="0" collapsed="false">
      <c r="A72" s="970" t="n">
        <f aca="false">A71</f>
        <v>2018</v>
      </c>
      <c r="B72" s="971" t="n">
        <f aca="false">B71+1</f>
        <v>35</v>
      </c>
      <c r="C72" s="972" t="n">
        <f aca="false">F71</f>
        <v>0</v>
      </c>
      <c r="D72" s="625" t="n">
        <f aca="false">C72*F$32*0.5</f>
        <v>0</v>
      </c>
      <c r="E72" s="625" t="n">
        <f aca="false">IF($B72&gt;=F$31,C72,IF(F$33&gt;=$B72,0,IF(C72&gt;1,CHOOSE(F$34,F$29/(F$31-F$33),-PMT(F$32/2,F$31-$B71,C72,0)-D72,F$29*$AH72),0)))*Assm!$X$90</f>
        <v>0</v>
      </c>
      <c r="F72" s="974" t="n">
        <f aca="false">C72-E72</f>
        <v>0</v>
      </c>
      <c r="G72" s="972" t="n">
        <f aca="false">J71</f>
        <v>0</v>
      </c>
      <c r="H72" s="625" t="n">
        <f aca="false">G72*J$32*0.5</f>
        <v>0</v>
      </c>
      <c r="I72" s="625" t="n">
        <f aca="false">IF($B72&gt;=J$31,G72,IF(J$33&gt;=$B72,0,IF(G72&gt;1,CHOOSE(J$34,J$29/(J$31-J$33),-PMT(J$32/2,J$31-$B71,G72,0)-H72,J$29*$AJ72),0)))</f>
        <v>0</v>
      </c>
      <c r="J72" s="974" t="n">
        <f aca="false">G72-I72</f>
        <v>0</v>
      </c>
      <c r="K72" s="972" t="n">
        <f aca="false">N71</f>
        <v>0</v>
      </c>
      <c r="L72" s="625" t="n">
        <f aca="false">K72*N$32*0.5</f>
        <v>0</v>
      </c>
      <c r="M72" s="625" t="n">
        <f aca="false">IF($B72&gt;=N$31,K72,IF(N$33&gt;=$B72,0,IF(K72&gt;1,CHOOSE(N$34,N$29/(N$31-N$33),-PMT(N$32/2,N$31-$B71,K72,0)-L72,N$29*$AL72),0)))</f>
        <v>0</v>
      </c>
      <c r="N72" s="974" t="n">
        <f aca="false">K72-M72</f>
        <v>0</v>
      </c>
      <c r="O72" s="972" t="n">
        <f aca="false">R71</f>
        <v>0</v>
      </c>
      <c r="P72" s="625" t="n">
        <f aca="false">O72*R$32*0.5</f>
        <v>0</v>
      </c>
      <c r="Q72" s="625" t="n">
        <f aca="false">IF($B72&gt;=R$31,O72,IF(R$33&gt;=$B72,0,IF(O72&gt;1,CHOOSE(R$34,R$29/(R$31-R$33),-PMT(R$32/2,R$31-$B71,O72,0)-P72,R$29*$AN72),0)))</f>
        <v>0</v>
      </c>
      <c r="R72" s="974" t="n">
        <f aca="false">O72-Q72</f>
        <v>0</v>
      </c>
      <c r="S72" s="972" t="n">
        <f aca="false">V71</f>
        <v>0</v>
      </c>
      <c r="T72" s="625" t="n">
        <f aca="false">S72*V$32*0.5</f>
        <v>0</v>
      </c>
      <c r="U72" s="625" t="n">
        <f aca="false">IF($B72&gt;=V$31,S72,IF(V$33&gt;=$B72,0,IF(S72&gt;1,CHOOSE(V$34,V$29/(V$31-V$33),-PMT(V$32/2,V$31-$B71,S72,0)-T72,V$29*$AP72),0)))</f>
        <v>0</v>
      </c>
      <c r="V72" s="974" t="n">
        <f aca="false">S72-U72</f>
        <v>0</v>
      </c>
      <c r="W72" s="972" t="n">
        <f aca="false">Z71</f>
        <v>0</v>
      </c>
      <c r="X72" s="625" t="n">
        <f aca="false">W72*Z$32*0.5</f>
        <v>0</v>
      </c>
      <c r="Y72" s="625" t="n">
        <f aca="false">IF($B72&gt;=Z$31,W72,IF(Z$33&gt;=$B72,0,IF(W72&gt;1,CHOOSE(Z$34,Z$29/(Z$31-Z$33),-PMT(Z$32/2,Z$31-$B71,W72,0)-X72,Z$29*$AR72),0)))</f>
        <v>0</v>
      </c>
      <c r="Z72" s="974" t="n">
        <f aca="false">W72-Y72</f>
        <v>0</v>
      </c>
      <c r="AA72" s="625" t="n">
        <f aca="false">SUM(D71:D72,H71:H72,L71:L72,P71:P72,T71:T72)</f>
        <v>0</v>
      </c>
      <c r="AB72" s="975" t="n">
        <f aca="false">SUM(E71:E72,I71:I72,M71:M72,Q71:Q72,U71:U72)</f>
        <v>0</v>
      </c>
      <c r="AC72" s="625" t="n">
        <f aca="false">SUM(X71:X72)</f>
        <v>0</v>
      </c>
      <c r="AD72" s="975" t="n">
        <f aca="false">SUM(Y71:Y72)</f>
        <v>0</v>
      </c>
      <c r="AE72" s="976" t="n">
        <f aca="false">(C71+W71)*IF([1]RAROC!$B$103=1,VLOOKUP(A72,[2]!Guar_Fee_Table,2),IF([1]RAROC!$B$103=2,VLOOKUP(A72,[2]!Guar_Fee_Table,3),IF([1]RAROC!$B$103=3,VLOOKUP(A72,[2]!Guar_Fee_Table,4))))</f>
        <v>0</v>
      </c>
      <c r="AG72" s="968" t="n">
        <v>0</v>
      </c>
      <c r="AH72" s="89" t="n">
        <f aca="false">IF(AG$77=0,0,AG72/AG$77)</f>
        <v>0</v>
      </c>
      <c r="AI72" s="969" t="n">
        <v>0</v>
      </c>
      <c r="AJ72" s="95" t="n">
        <f aca="false">IF(AI$77=0,0,AI72/AI$77)</f>
        <v>0</v>
      </c>
      <c r="AK72" s="969" t="n">
        <v>0</v>
      </c>
      <c r="AL72" s="95" t="n">
        <f aca="false">IF(AK$77=0,0,AK72/AK$77)</f>
        <v>0</v>
      </c>
      <c r="AM72" s="969" t="n">
        <v>0</v>
      </c>
      <c r="AN72" s="95" t="n">
        <f aca="false">IF(AM$77=0,0,AM72/AM$77)</f>
        <v>0</v>
      </c>
      <c r="AO72" s="969" t="n">
        <v>0</v>
      </c>
      <c r="AP72" s="95" t="n">
        <f aca="false">IF(AO$77=0,0,AO72/AO$77)</f>
        <v>0</v>
      </c>
      <c r="AQ72" s="969" t="n">
        <v>0</v>
      </c>
      <c r="AR72" s="89" t="n">
        <f aca="false">IF(AQ$77=0,0,AQ72/AQ$77)</f>
        <v>0</v>
      </c>
    </row>
    <row r="73" customFormat="false" ht="12.75" hidden="false" customHeight="false" outlineLevel="0" collapsed="false">
      <c r="A73" s="259" t="n">
        <f aca="false">A71+1</f>
        <v>2019</v>
      </c>
      <c r="B73" s="965" t="n">
        <f aca="false">B72+1</f>
        <v>36</v>
      </c>
      <c r="C73" s="966" t="n">
        <f aca="false">F72</f>
        <v>0</v>
      </c>
      <c r="D73" s="61" t="n">
        <f aca="false">C73*F$32*0.5</f>
        <v>0</v>
      </c>
      <c r="E73" s="61" t="n">
        <f aca="false">IF($B73&gt;=F$31,C73,IF(F$33&gt;=$B73,0,IF(C73&gt;1,CHOOSE(F$34,F$29/(F$31-F$33),-PMT(F$32/2,F$31-$B72,C73,0)-D73,F$29*$AH73),0)))*Assm!$X$90</f>
        <v>0</v>
      </c>
      <c r="F73" s="833" t="n">
        <f aca="false">C73-E73</f>
        <v>0</v>
      </c>
      <c r="G73" s="966" t="n">
        <f aca="false">J72</f>
        <v>0</v>
      </c>
      <c r="H73" s="61" t="n">
        <f aca="false">G73*J$32*0.5</f>
        <v>0</v>
      </c>
      <c r="I73" s="61" t="n">
        <f aca="false">IF($B73&gt;=J$31,G73,IF(J$33&gt;=$B73,0,IF(G73&gt;1,CHOOSE(J$34,J$29/(J$31-J$33),-PMT(J$32/2,J$31-$B72,G73,0)-H73,J$29*$AJ73),0)))</f>
        <v>0</v>
      </c>
      <c r="J73" s="833" t="n">
        <f aca="false">G73-I73</f>
        <v>0</v>
      </c>
      <c r="K73" s="966" t="n">
        <f aca="false">N72</f>
        <v>0</v>
      </c>
      <c r="L73" s="61" t="n">
        <f aca="false">K73*N$32*0.5</f>
        <v>0</v>
      </c>
      <c r="M73" s="61" t="n">
        <f aca="false">IF($B73&gt;=N$31,K73,IF(N$33&gt;=$B73,0,IF(K73&gt;1,CHOOSE(N$34,N$29/(N$31-N$33),-PMT(N$32/2,N$31-$B72,K73,0)-L73,N$29*$AL73),0)))</f>
        <v>0</v>
      </c>
      <c r="N73" s="833" t="n">
        <f aca="false">K73-M73</f>
        <v>0</v>
      </c>
      <c r="O73" s="966" t="n">
        <f aca="false">R72</f>
        <v>0</v>
      </c>
      <c r="P73" s="61" t="n">
        <f aca="false">O73*R$32*0.5</f>
        <v>0</v>
      </c>
      <c r="Q73" s="61" t="n">
        <f aca="false">IF($B73&gt;=R$31,O73,IF(R$33&gt;=$B73,0,IF(O73&gt;1,CHOOSE(R$34,R$29/(R$31-R$33),-PMT(R$32/2,R$31-$B72,O73,0)-P73,R$29*$AN73),0)))</f>
        <v>0</v>
      </c>
      <c r="R73" s="833" t="n">
        <f aca="false">O73-Q73</f>
        <v>0</v>
      </c>
      <c r="S73" s="966" t="n">
        <f aca="false">V72</f>
        <v>0</v>
      </c>
      <c r="T73" s="61" t="n">
        <f aca="false">S73*V$32*0.5</f>
        <v>0</v>
      </c>
      <c r="U73" s="61" t="n">
        <f aca="false">IF($B73&gt;=V$31,S73,IF(V$33&gt;=$B73,0,IF(S73&gt;1,CHOOSE(V$34,V$29/(V$31-V$33),-PMT(V$32/2,V$31-$B72,S73,0)-T73,V$29*$AP73),0)))</f>
        <v>0</v>
      </c>
      <c r="V73" s="833" t="n">
        <f aca="false">S73-U73</f>
        <v>0</v>
      </c>
      <c r="W73" s="966" t="n">
        <f aca="false">Z72</f>
        <v>0</v>
      </c>
      <c r="X73" s="61" t="n">
        <f aca="false">W73*Z$32*0.5</f>
        <v>0</v>
      </c>
      <c r="Y73" s="61" t="n">
        <f aca="false">IF($B73&gt;=Z$31,W73,IF(Z$33&gt;=$B73,0,IF(W73&gt;1,CHOOSE(Z$34,Z$29/(Z$31-Z$33),-PMT(Z$32/2,Z$31-$B72,W73,0)-X73,Z$29*$AR73),0)))</f>
        <v>0</v>
      </c>
      <c r="Z73" s="833" t="n">
        <f aca="false">W73-Y73</f>
        <v>0</v>
      </c>
      <c r="AA73" s="61"/>
      <c r="AB73" s="64"/>
      <c r="AC73" s="61"/>
      <c r="AD73" s="64"/>
      <c r="AE73" s="945"/>
      <c r="AG73" s="968" t="n">
        <v>0</v>
      </c>
      <c r="AH73" s="89" t="n">
        <f aca="false">IF(AG$77=0,0,AG73/AG$77)</f>
        <v>0</v>
      </c>
      <c r="AI73" s="969" t="n">
        <v>0</v>
      </c>
      <c r="AJ73" s="95" t="n">
        <f aca="false">IF(AI$77=0,0,AI73/AI$77)</f>
        <v>0</v>
      </c>
      <c r="AK73" s="969" t="n">
        <v>0</v>
      </c>
      <c r="AL73" s="95" t="n">
        <f aca="false">IF(AK$77=0,0,AK73/AK$77)</f>
        <v>0</v>
      </c>
      <c r="AM73" s="969" t="n">
        <v>0</v>
      </c>
      <c r="AN73" s="95" t="n">
        <f aca="false">IF(AM$77=0,0,AM73/AM$77)</f>
        <v>0</v>
      </c>
      <c r="AO73" s="969" t="n">
        <v>0</v>
      </c>
      <c r="AP73" s="95" t="n">
        <f aca="false">IF(AO$77=0,0,AO73/AO$77)</f>
        <v>0</v>
      </c>
      <c r="AQ73" s="969" t="n">
        <v>0</v>
      </c>
      <c r="AR73" s="89" t="n">
        <f aca="false">IF(AQ$77=0,0,AQ73/AQ$77)</f>
        <v>0</v>
      </c>
    </row>
    <row r="74" customFormat="false" ht="12.75" hidden="false" customHeight="false" outlineLevel="0" collapsed="false">
      <c r="A74" s="970" t="n">
        <f aca="false">A73</f>
        <v>2019</v>
      </c>
      <c r="B74" s="971" t="n">
        <f aca="false">B73+1</f>
        <v>37</v>
      </c>
      <c r="C74" s="972" t="n">
        <f aca="false">F73</f>
        <v>0</v>
      </c>
      <c r="D74" s="625" t="n">
        <f aca="false">C74*F$32*0.5</f>
        <v>0</v>
      </c>
      <c r="E74" s="625" t="n">
        <f aca="false">IF($B74&gt;=F$31,C74,IF(F$33&gt;=$B74,0,IF(C74&gt;1,CHOOSE(F$34,F$29/(F$31-F$33),-PMT(F$32/2,F$31-$B73,C74,0)-D74,F$29*$AH74),0)))*Assm!$X$90</f>
        <v>0</v>
      </c>
      <c r="F74" s="974" t="n">
        <f aca="false">C74-E74</f>
        <v>0</v>
      </c>
      <c r="G74" s="972" t="n">
        <f aca="false">J73</f>
        <v>0</v>
      </c>
      <c r="H74" s="625" t="n">
        <f aca="false">G74*J$32*0.5</f>
        <v>0</v>
      </c>
      <c r="I74" s="625" t="n">
        <f aca="false">IF($B74&gt;=J$31,G74,IF(J$33&gt;=$B74,0,IF(G74&gt;1,CHOOSE(J$34,J$29/(J$31-J$33),-PMT(J$32/2,J$31-$B73,G74,0)-H74,J$29*$AJ74),0)))</f>
        <v>0</v>
      </c>
      <c r="J74" s="974" t="n">
        <f aca="false">G74-I74</f>
        <v>0</v>
      </c>
      <c r="K74" s="972" t="n">
        <f aca="false">N73</f>
        <v>0</v>
      </c>
      <c r="L74" s="625" t="n">
        <f aca="false">K74*N$32*0.5</f>
        <v>0</v>
      </c>
      <c r="M74" s="625" t="n">
        <f aca="false">IF($B74&gt;=N$31,K74,IF(N$33&gt;=$B74,0,IF(K74&gt;1,CHOOSE(N$34,N$29/(N$31-N$33),-PMT(N$32/2,N$31-$B73,K74,0)-L74,N$29*$AL74),0)))</f>
        <v>0</v>
      </c>
      <c r="N74" s="974" t="n">
        <f aca="false">K74-M74</f>
        <v>0</v>
      </c>
      <c r="O74" s="972" t="n">
        <f aca="false">R73</f>
        <v>0</v>
      </c>
      <c r="P74" s="625" t="n">
        <f aca="false">O74*R$32*0.5</f>
        <v>0</v>
      </c>
      <c r="Q74" s="625" t="n">
        <f aca="false">IF($B74&gt;=R$31,O74,IF(R$33&gt;=$B74,0,IF(O74&gt;1,CHOOSE(R$34,R$29/(R$31-R$33),-PMT(R$32/2,R$31-$B73,O74,0)-P74,R$29*$AN74),0)))</f>
        <v>0</v>
      </c>
      <c r="R74" s="974" t="n">
        <f aca="false">O74-Q74</f>
        <v>0</v>
      </c>
      <c r="S74" s="972" t="n">
        <f aca="false">V73</f>
        <v>0</v>
      </c>
      <c r="T74" s="625" t="n">
        <f aca="false">S74*V$32*0.5</f>
        <v>0</v>
      </c>
      <c r="U74" s="625" t="n">
        <f aca="false">IF($B74&gt;=V$31,S74,IF(V$33&gt;=$B74,0,IF(S74&gt;1,CHOOSE(V$34,V$29/(V$31-V$33),-PMT(V$32/2,V$31-$B73,S74,0)-T74,V$29*$AP74),0)))</f>
        <v>0</v>
      </c>
      <c r="V74" s="974" t="n">
        <f aca="false">S74-U74</f>
        <v>0</v>
      </c>
      <c r="W74" s="972" t="n">
        <f aca="false">Z73</f>
        <v>0</v>
      </c>
      <c r="X74" s="625" t="n">
        <f aca="false">W74*Z$32*0.5</f>
        <v>0</v>
      </c>
      <c r="Y74" s="625" t="n">
        <f aca="false">IF($B74&gt;=Z$31,W74,IF(Z$33&gt;=$B74,0,IF(W74&gt;1,CHOOSE(Z$34,Z$29/(Z$31-Z$33),-PMT(Z$32/2,Z$31-$B73,W74,0)-X74,Z$29*$AR74),0)))</f>
        <v>0</v>
      </c>
      <c r="Z74" s="974" t="n">
        <f aca="false">W74-Y74</f>
        <v>0</v>
      </c>
      <c r="AA74" s="625" t="n">
        <f aca="false">SUM(D73:D74,H73:H74,L73:L74,P73:P74,T73:T74)</f>
        <v>0</v>
      </c>
      <c r="AB74" s="975" t="n">
        <f aca="false">SUM(E73:E74,I73:I74,M73:M74,Q73:Q74,U73:U74)</f>
        <v>0</v>
      </c>
      <c r="AC74" s="625" t="n">
        <f aca="false">SUM(X73:X74)</f>
        <v>0</v>
      </c>
      <c r="AD74" s="975" t="n">
        <f aca="false">SUM(Y73:Y74)</f>
        <v>0</v>
      </c>
      <c r="AE74" s="976" t="n">
        <f aca="false">(C73+W73)*IF([1]RAROC!$B$103=1,VLOOKUP(A74,[2]!Guar_Fee_Table,2),IF([1]RAROC!$B$103=2,VLOOKUP(A74,[2]!Guar_Fee_Table,3),IF([1]RAROC!$B$103=3,VLOOKUP(A74,[2]!Guar_Fee_Table,4))))</f>
        <v>0</v>
      </c>
      <c r="AG74" s="968" t="n">
        <v>0</v>
      </c>
      <c r="AH74" s="89" t="n">
        <f aca="false">IF(AG$77=0,0,AG74/AG$77)</f>
        <v>0</v>
      </c>
      <c r="AI74" s="969" t="n">
        <v>0</v>
      </c>
      <c r="AJ74" s="95" t="n">
        <f aca="false">IF(AI$77=0,0,AI74/AI$77)</f>
        <v>0</v>
      </c>
      <c r="AK74" s="969" t="n">
        <v>0</v>
      </c>
      <c r="AL74" s="95" t="n">
        <f aca="false">IF(AK$77=0,0,AK74/AK$77)</f>
        <v>0</v>
      </c>
      <c r="AM74" s="969" t="n">
        <v>0</v>
      </c>
      <c r="AN74" s="95" t="n">
        <f aca="false">IF(AM$77=0,0,AM74/AM$77)</f>
        <v>0</v>
      </c>
      <c r="AO74" s="969" t="n">
        <v>0</v>
      </c>
      <c r="AP74" s="95" t="n">
        <f aca="false">IF(AO$77=0,0,AO74/AO$77)</f>
        <v>0</v>
      </c>
      <c r="AQ74" s="969" t="n">
        <v>0</v>
      </c>
      <c r="AR74" s="89" t="n">
        <f aca="false">IF(AQ$77=0,0,AQ74/AQ$77)</f>
        <v>0</v>
      </c>
    </row>
    <row r="75" customFormat="false" ht="12.75" hidden="false" customHeight="false" outlineLevel="0" collapsed="false">
      <c r="A75" s="259" t="n">
        <f aca="false">A73+1</f>
        <v>2020</v>
      </c>
      <c r="B75" s="965" t="n">
        <f aca="false">B74+1</f>
        <v>38</v>
      </c>
      <c r="C75" s="966" t="n">
        <f aca="false">F74</f>
        <v>0</v>
      </c>
      <c r="D75" s="61" t="n">
        <f aca="false">C75*F$32*0.5</f>
        <v>0</v>
      </c>
      <c r="E75" s="61" t="n">
        <f aca="false">IF($B75&gt;=F$31,C75,IF(F$33&gt;=$B75,0,IF(C75&gt;1,CHOOSE(F$34,F$29/(F$31-F$33),-PMT(F$32/2,F$31-$B74,C75,0)-D75,F$29*$AH75),0)))*Assm!$X$90</f>
        <v>0</v>
      </c>
      <c r="F75" s="833" t="n">
        <f aca="false">C75-E75</f>
        <v>0</v>
      </c>
      <c r="G75" s="966" t="n">
        <f aca="false">J74</f>
        <v>0</v>
      </c>
      <c r="H75" s="61" t="n">
        <f aca="false">G75*J$32*0.5</f>
        <v>0</v>
      </c>
      <c r="I75" s="61" t="n">
        <f aca="false">IF($B75&gt;=J$31,G75,IF(J$33&gt;=$B75,0,IF(G75&gt;1,CHOOSE(J$34,J$29/(J$31-J$33),-PMT(J$32/2,J$31-$B74,G75,0)-H75,J$29*$AJ75),0)))</f>
        <v>0</v>
      </c>
      <c r="J75" s="833" t="n">
        <f aca="false">G75-I75</f>
        <v>0</v>
      </c>
      <c r="K75" s="966" t="n">
        <f aca="false">N74</f>
        <v>0</v>
      </c>
      <c r="L75" s="61" t="n">
        <f aca="false">K75*N$32*0.5</f>
        <v>0</v>
      </c>
      <c r="M75" s="61" t="n">
        <f aca="false">IF($B75&gt;=N$31,K75,IF(N$33&gt;=$B75,0,IF(K75&gt;1,CHOOSE(N$34,N$29/(N$31-N$33),-PMT(N$32/2,N$31-$B74,K75,0)-L75,N$29*$AL75),0)))</f>
        <v>0</v>
      </c>
      <c r="N75" s="833" t="n">
        <f aca="false">K75-M75</f>
        <v>0</v>
      </c>
      <c r="O75" s="966" t="n">
        <f aca="false">R74</f>
        <v>0</v>
      </c>
      <c r="P75" s="61" t="n">
        <f aca="false">O75*R$32*0.5</f>
        <v>0</v>
      </c>
      <c r="Q75" s="61" t="n">
        <f aca="false">IF($B75&gt;=R$31,O75,IF(R$33&gt;=$B75,0,IF(O75&gt;1,CHOOSE(R$34,R$29/(R$31-R$33),-PMT(R$32/2,R$31-$B74,O75,0)-P75,R$29*$AN75),0)))</f>
        <v>0</v>
      </c>
      <c r="R75" s="833" t="n">
        <f aca="false">O75-Q75</f>
        <v>0</v>
      </c>
      <c r="S75" s="966" t="n">
        <f aca="false">V74</f>
        <v>0</v>
      </c>
      <c r="T75" s="61" t="n">
        <f aca="false">S75*V$32*0.5</f>
        <v>0</v>
      </c>
      <c r="U75" s="61" t="n">
        <f aca="false">IF($B75&gt;=V$31,S75,IF(V$33&gt;=$B75,0,IF(S75&gt;1,CHOOSE(V$34,V$29/(V$31-V$33),-PMT(V$32/2,V$31-$B74,S75,0)-T75,V$29*$AP75),0)))</f>
        <v>0</v>
      </c>
      <c r="V75" s="833" t="n">
        <f aca="false">S75-U75</f>
        <v>0</v>
      </c>
      <c r="W75" s="966" t="n">
        <f aca="false">Z74</f>
        <v>0</v>
      </c>
      <c r="X75" s="61" t="n">
        <f aca="false">W75*Z$32*0.5</f>
        <v>0</v>
      </c>
      <c r="Y75" s="61" t="n">
        <f aca="false">IF($B75&gt;=Z$31,W75,IF(Z$33&gt;=$B75,0,IF(W75&gt;1,CHOOSE(Z$34,Z$29/(Z$31-Z$33),-PMT(Z$32/2,Z$31-$B74,W75,0)-X75,Z$29*$AR75),0)))</f>
        <v>0</v>
      </c>
      <c r="Z75" s="833" t="n">
        <f aca="false">W75-Y75</f>
        <v>0</v>
      </c>
      <c r="AA75" s="61"/>
      <c r="AB75" s="64"/>
      <c r="AC75" s="61"/>
      <c r="AD75" s="64"/>
      <c r="AE75" s="945"/>
      <c r="AG75" s="968" t="n">
        <v>0</v>
      </c>
      <c r="AH75" s="89" t="n">
        <f aca="false">IF(AG$77=0,0,AG75/AG$77)</f>
        <v>0</v>
      </c>
      <c r="AI75" s="969" t="n">
        <v>0</v>
      </c>
      <c r="AJ75" s="95" t="n">
        <f aca="false">IF(AI$77=0,0,AI75/AI$77)</f>
        <v>0</v>
      </c>
      <c r="AK75" s="969" t="n">
        <v>0</v>
      </c>
      <c r="AL75" s="95" t="n">
        <f aca="false">IF(AK$77=0,0,AK75/AK$77)</f>
        <v>0</v>
      </c>
      <c r="AM75" s="969" t="n">
        <v>0</v>
      </c>
      <c r="AN75" s="95" t="n">
        <f aca="false">IF(AM$77=0,0,AM75/AM$77)</f>
        <v>0</v>
      </c>
      <c r="AO75" s="969" t="n">
        <v>0</v>
      </c>
      <c r="AP75" s="95" t="n">
        <f aca="false">IF(AO$77=0,0,AO75/AO$77)</f>
        <v>0</v>
      </c>
      <c r="AQ75" s="969" t="n">
        <v>0</v>
      </c>
      <c r="AR75" s="89" t="n">
        <f aca="false">IF(AQ$77=0,0,AQ75/AQ$77)</f>
        <v>0</v>
      </c>
    </row>
    <row r="76" customFormat="false" ht="13.5" hidden="false" customHeight="false" outlineLevel="0" collapsed="false">
      <c r="A76" s="259" t="n">
        <f aca="false">A75</f>
        <v>2020</v>
      </c>
      <c r="B76" s="965" t="n">
        <f aca="false">B75+1</f>
        <v>39</v>
      </c>
      <c r="C76" s="966" t="n">
        <f aca="false">F75</f>
        <v>0</v>
      </c>
      <c r="D76" s="61" t="n">
        <f aca="false">C76*F$32*0.5</f>
        <v>0</v>
      </c>
      <c r="E76" s="61" t="n">
        <f aca="false">IF($B76&gt;=F$31,C76,IF(F$33&gt;=$B76,0,IF(C76&gt;1,CHOOSE(F$34,F$29/(F$31-F$33),-PMT(F$32/2,F$31-$B75,C76,0)-D76,F$29*$AH76),0)))*Assm!$X$90</f>
        <v>0</v>
      </c>
      <c r="F76" s="833" t="n">
        <f aca="false">C76-E76</f>
        <v>0</v>
      </c>
      <c r="G76" s="966" t="n">
        <f aca="false">J75</f>
        <v>0</v>
      </c>
      <c r="H76" s="61" t="n">
        <f aca="false">G76*J$32*0.5</f>
        <v>0</v>
      </c>
      <c r="I76" s="61" t="n">
        <f aca="false">IF($B76&gt;=J$31,G76,IF(J$33&gt;=$B76,0,IF(G76&gt;1,CHOOSE(J$34,J$29/(J$31-J$33),-PMT(J$32/2,J$31-$B75,G76,0)-H76,J$29*$AJ76),0)))</f>
        <v>0</v>
      </c>
      <c r="J76" s="833" t="n">
        <f aca="false">G76-I76</f>
        <v>0</v>
      </c>
      <c r="K76" s="966" t="n">
        <f aca="false">N75</f>
        <v>0</v>
      </c>
      <c r="L76" s="61" t="n">
        <f aca="false">K76*N$32*0.5</f>
        <v>0</v>
      </c>
      <c r="M76" s="61" t="n">
        <f aca="false">IF($B76&gt;=N$31,K76,IF(N$33&gt;=$B76,0,IF(K76&gt;1,CHOOSE(N$34,N$29/(N$31-N$33),-PMT(N$32/2,N$31-$B75,K76,0)-L76,N$29*$AL76),0)))</f>
        <v>0</v>
      </c>
      <c r="N76" s="833" t="n">
        <f aca="false">K76-M76</f>
        <v>0</v>
      </c>
      <c r="O76" s="966" t="n">
        <f aca="false">R75</f>
        <v>0</v>
      </c>
      <c r="P76" s="61" t="n">
        <f aca="false">O76*R$32*0.5</f>
        <v>0</v>
      </c>
      <c r="Q76" s="61" t="n">
        <f aca="false">IF($B76&gt;=R$31,O76,IF(R$33&gt;=$B76,0,IF(O76&gt;1,CHOOSE(R$34,R$29/(R$31-R$33),-PMT(R$32/2,R$31-$B75,O76,0)-P76,R$29*$AN76),0)))</f>
        <v>0</v>
      </c>
      <c r="R76" s="833" t="n">
        <f aca="false">O76-Q76</f>
        <v>0</v>
      </c>
      <c r="S76" s="966" t="n">
        <f aca="false">V75</f>
        <v>0</v>
      </c>
      <c r="T76" s="61" t="n">
        <f aca="false">S76*V$32*0.5</f>
        <v>0</v>
      </c>
      <c r="U76" s="61" t="n">
        <f aca="false">IF($B76&gt;=V$31,S76,IF(V$33&gt;=$B76,0,IF(S76&gt;1,CHOOSE(V$34,V$29/(V$31-V$33),-PMT(V$32/2,V$31-$B75,S76,0)-T76,V$29*$AP76),0)))</f>
        <v>0</v>
      </c>
      <c r="V76" s="833" t="n">
        <f aca="false">S76-U76</f>
        <v>0</v>
      </c>
      <c r="W76" s="966" t="n">
        <f aca="false">Z75</f>
        <v>0</v>
      </c>
      <c r="X76" s="61" t="n">
        <f aca="false">W76*Z$32*0.5</f>
        <v>0</v>
      </c>
      <c r="Y76" s="61" t="n">
        <f aca="false">IF($B76&gt;=Z$31,W76,IF(Z$33&gt;=$B76,0,IF(W76&gt;1,CHOOSE(Z$34,Z$29/(Z$31-Z$33),-PMT(Z$32/2,Z$31-$B75,W76,0)-X76,Z$29*$AR76),0)))</f>
        <v>0</v>
      </c>
      <c r="Z76" s="833" t="n">
        <f aca="false">W76-Y76</f>
        <v>0</v>
      </c>
      <c r="AA76" s="61" t="n">
        <f aca="false">SUM(D75:D76,H75:H76,L75:L76,P75:P76,T75:T76)</f>
        <v>0</v>
      </c>
      <c r="AB76" s="64" t="n">
        <f aca="false">SUM(E75:E76,I75:I76,M75:M76,Q75:Q76,U75:U76)</f>
        <v>0</v>
      </c>
      <c r="AC76" s="61" t="n">
        <f aca="false">SUM(X75:X76)</f>
        <v>0</v>
      </c>
      <c r="AD76" s="64" t="n">
        <f aca="false">SUM(Y75:Y76)</f>
        <v>0</v>
      </c>
      <c r="AE76" s="976" t="n">
        <f aca="false">(C75+W75)*IF([1]RAROC!$B$103=1,VLOOKUP(A76,[2]!Guar_Fee_Table,2),IF([1]RAROC!$B$103=2,VLOOKUP(A76,[2]!Guar_Fee_Table,3),IF([1]RAROC!$B$103=3,VLOOKUP(A76,[2]!Guar_Fee_Table,4))))</f>
        <v>0</v>
      </c>
      <c r="AG76" s="977" t="n">
        <v>0</v>
      </c>
      <c r="AH76" s="978" t="n">
        <f aca="false">IF(AG$77=0,0,AG76/AG$77)</f>
        <v>0</v>
      </c>
      <c r="AI76" s="979" t="n">
        <v>0</v>
      </c>
      <c r="AJ76" s="627" t="n">
        <f aca="false">IF(AI$77=0,0,AI76/AI$77)</f>
        <v>0</v>
      </c>
      <c r="AK76" s="979" t="n">
        <v>0</v>
      </c>
      <c r="AL76" s="627" t="n">
        <f aca="false">IF(AK$77=0,0,AK76/AK$77)</f>
        <v>0</v>
      </c>
      <c r="AM76" s="979" t="n">
        <v>0</v>
      </c>
      <c r="AN76" s="627" t="n">
        <f aca="false">IF(AM$77=0,0,AM76/AM$77)</f>
        <v>0</v>
      </c>
      <c r="AO76" s="979" t="n">
        <v>0</v>
      </c>
      <c r="AP76" s="627" t="n">
        <f aca="false">IF(AO$77=0,0,AO76/AO$77)</f>
        <v>0</v>
      </c>
      <c r="AQ76" s="979" t="n">
        <v>0</v>
      </c>
      <c r="AR76" s="978" t="n">
        <f aca="false">IF(AQ$77=0,0,AQ76/AQ$77)</f>
        <v>0</v>
      </c>
    </row>
    <row r="77" customFormat="false" ht="13.5" hidden="false" customHeight="false" outlineLevel="0" collapsed="false">
      <c r="A77" s="980" t="s">
        <v>942</v>
      </c>
      <c r="B77" s="980"/>
      <c r="C77" s="981"/>
      <c r="D77" s="982" t="n">
        <f aca="false">SUM(D37:D76)</f>
        <v>84204.9958276558</v>
      </c>
      <c r="E77" s="982" t="n">
        <f aca="false">SUM(E37:E76)</f>
        <v>93710.4555092785</v>
      </c>
      <c r="F77" s="983"/>
      <c r="G77" s="981"/>
      <c r="H77" s="982" t="n">
        <f aca="false">SUM(H37:H76)</f>
        <v>0</v>
      </c>
      <c r="I77" s="982" t="n">
        <f aca="false">SUM(I37:I76)</f>
        <v>0</v>
      </c>
      <c r="J77" s="983"/>
      <c r="K77" s="981"/>
      <c r="L77" s="982" t="n">
        <f aca="false">SUM(L37:L76)</f>
        <v>0</v>
      </c>
      <c r="M77" s="982" t="n">
        <f aca="false">SUM(M37:M76)</f>
        <v>0</v>
      </c>
      <c r="N77" s="983"/>
      <c r="O77" s="981"/>
      <c r="P77" s="982" t="n">
        <f aca="false">SUM(P37:P76)</f>
        <v>0</v>
      </c>
      <c r="Q77" s="982" t="n">
        <f aca="false">SUM(Q37:Q76)</f>
        <v>0</v>
      </c>
      <c r="R77" s="983"/>
      <c r="S77" s="981"/>
      <c r="T77" s="982" t="n">
        <f aca="false">SUM(T37:T76)</f>
        <v>0</v>
      </c>
      <c r="U77" s="982" t="n">
        <f aca="false">SUM(U37:U76)</f>
        <v>0</v>
      </c>
      <c r="V77" s="983"/>
      <c r="W77" s="981"/>
      <c r="X77" s="982" t="n">
        <f aca="false">SUM(X37:X76)</f>
        <v>2378.08821992377</v>
      </c>
      <c r="Y77" s="982" t="n">
        <f aca="false">SUM(Y37:Y76)</f>
        <v>2473.63699618568</v>
      </c>
      <c r="Z77" s="983"/>
      <c r="AA77" s="982" t="n">
        <f aca="false">SUM(AA37:AA76)</f>
        <v>84204.9958276558</v>
      </c>
      <c r="AB77" s="984" t="n">
        <f aca="false">SUM(AB37:AB76)</f>
        <v>93710.4555092785</v>
      </c>
      <c r="AC77" s="982" t="n">
        <f aca="false">SUM(AC37:AC76)</f>
        <v>2378.08821992377</v>
      </c>
      <c r="AD77" s="984" t="n">
        <f aca="false">SUM(AD37:AD76)</f>
        <v>2473.63699618568</v>
      </c>
      <c r="AE77" s="985"/>
      <c r="AG77" s="986" t="n">
        <f aca="false">SUM(AG37:AG76)</f>
        <v>200000</v>
      </c>
      <c r="AH77" s="89" t="n">
        <f aca="false">SUM(AH37:AH76)</f>
        <v>1</v>
      </c>
      <c r="AI77" s="966" t="n">
        <f aca="false">SUM(AI37:AI76)</f>
        <v>0</v>
      </c>
      <c r="AJ77" s="95" t="n">
        <f aca="false">SUM(AJ37:AJ76)</f>
        <v>0</v>
      </c>
      <c r="AK77" s="966" t="n">
        <f aca="false">SUM(AK37:AK76)</f>
        <v>0</v>
      </c>
      <c r="AL77" s="95" t="n">
        <f aca="false">SUM(AL37:AL76)</f>
        <v>0</v>
      </c>
      <c r="AM77" s="966" t="n">
        <f aca="false">SUM(AM37:AM76)</f>
        <v>0</v>
      </c>
      <c r="AN77" s="95" t="n">
        <f aca="false">SUM(AN37:AN76)</f>
        <v>0</v>
      </c>
      <c r="AO77" s="966" t="n">
        <f aca="false">SUM(AO37:AO76)</f>
        <v>0</v>
      </c>
      <c r="AP77" s="95" t="n">
        <f aca="false">SUM(AP37:AP76)</f>
        <v>0</v>
      </c>
      <c r="AQ77" s="966" t="n">
        <f aca="false">SUM(AQ37:AQ76)</f>
        <v>0</v>
      </c>
      <c r="AR77" s="89" t="n">
        <f aca="false">SUM(AR37:AR76)</f>
        <v>0</v>
      </c>
    </row>
    <row r="78" customFormat="false" ht="13.5" hidden="false" customHeight="false" outlineLevel="0" collapsed="false">
      <c r="AG78" s="49"/>
      <c r="AH78" s="987"/>
      <c r="AI78" s="988"/>
      <c r="AJ78" s="22"/>
      <c r="AK78" s="988"/>
      <c r="AL78" s="22"/>
      <c r="AM78" s="988"/>
      <c r="AN78" s="22"/>
      <c r="AO78" s="988"/>
      <c r="AP78" s="22"/>
      <c r="AQ78" s="988"/>
      <c r="AR78" s="120"/>
    </row>
    <row r="79" customFormat="false" ht="12.75" hidden="false" customHeight="false" outlineLevel="0" collapsed="false">
      <c r="B79" s="433" t="n">
        <f aca="false">A79+1</f>
        <v>1</v>
      </c>
      <c r="C79" s="433" t="n">
        <f aca="false">B79+1</f>
        <v>2</v>
      </c>
      <c r="D79" s="433" t="n">
        <f aca="false">C79+1</f>
        <v>3</v>
      </c>
      <c r="E79" s="433" t="n">
        <f aca="false">D79+1</f>
        <v>4</v>
      </c>
      <c r="F79" s="433" t="n">
        <f aca="false">E79+1</f>
        <v>5</v>
      </c>
      <c r="G79" s="433" t="n">
        <f aca="false">F79+1</f>
        <v>6</v>
      </c>
      <c r="H79" s="433" t="n">
        <f aca="false">G79+1</f>
        <v>7</v>
      </c>
      <c r="I79" s="433" t="n">
        <f aca="false">H79+1</f>
        <v>8</v>
      </c>
      <c r="J79" s="433" t="n">
        <f aca="false">I79+1</f>
        <v>9</v>
      </c>
      <c r="K79" s="433" t="n">
        <f aca="false">J79+1</f>
        <v>10</v>
      </c>
      <c r="L79" s="433" t="n">
        <f aca="false">K79+1</f>
        <v>11</v>
      </c>
      <c r="M79" s="433" t="n">
        <f aca="false">L79+1</f>
        <v>12</v>
      </c>
      <c r="N79" s="433" t="n">
        <f aca="false">M79+1</f>
        <v>13</v>
      </c>
      <c r="O79" s="433" t="n">
        <f aca="false">N79+1</f>
        <v>14</v>
      </c>
      <c r="P79" s="433" t="n">
        <f aca="false">O79+1</f>
        <v>15</v>
      </c>
      <c r="Q79" s="433" t="n">
        <f aca="false">P79+1</f>
        <v>16</v>
      </c>
      <c r="R79" s="433" t="n">
        <f aca="false">Q79+1</f>
        <v>17</v>
      </c>
      <c r="S79" s="433" t="n">
        <f aca="false">R79+1</f>
        <v>18</v>
      </c>
      <c r="T79" s="433" t="n">
        <f aca="false">S79+1</f>
        <v>19</v>
      </c>
      <c r="U79" s="433" t="n">
        <f aca="false">T79+1</f>
        <v>20</v>
      </c>
      <c r="V79" s="433" t="n">
        <f aca="false">U79+1</f>
        <v>21</v>
      </c>
      <c r="W79" s="433" t="n">
        <f aca="false">V79+1</f>
        <v>22</v>
      </c>
      <c r="X79" s="433" t="n">
        <f aca="false">W79+1</f>
        <v>23</v>
      </c>
      <c r="Y79" s="433" t="n">
        <f aca="false">X79+1</f>
        <v>24</v>
      </c>
      <c r="Z79" s="433" t="n">
        <f aca="false">Y79+1</f>
        <v>25</v>
      </c>
      <c r="AA79" s="433" t="n">
        <f aca="false">Z79+1</f>
        <v>26</v>
      </c>
      <c r="AB79" s="433" t="n">
        <f aca="false">AA79+1</f>
        <v>27</v>
      </c>
      <c r="AC79" s="433" t="n">
        <f aca="false">AB79+1</f>
        <v>28</v>
      </c>
      <c r="AD79" s="433" t="n">
        <f aca="false">AC79+1</f>
        <v>29</v>
      </c>
      <c r="AE79" s="433" t="n">
        <f aca="false">AD79+1</f>
        <v>30</v>
      </c>
      <c r="AF79" s="904" t="s">
        <v>943</v>
      </c>
    </row>
  </sheetData>
  <mergeCells count="8">
    <mergeCell ref="C28:F28"/>
    <mergeCell ref="G28:J28"/>
    <mergeCell ref="K28:N28"/>
    <mergeCell ref="O28:R28"/>
    <mergeCell ref="S28:V28"/>
    <mergeCell ref="W28:Z28"/>
    <mergeCell ref="AG33:AR33"/>
    <mergeCell ref="A77:B77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G34" activeCellId="0" sqref="G3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3.85"/>
    <col collapsed="false" customWidth="true" hidden="false" outlineLevel="0" max="24" min="2" style="1" width="10.71"/>
    <col collapsed="false" customWidth="true" hidden="false" outlineLevel="0" max="25" min="25" style="39" width="10.71"/>
    <col collapsed="false" customWidth="false" hidden="false" outlineLevel="0" max="257" min="26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116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116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116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944</v>
      </c>
      <c r="B4" s="633"/>
      <c r="C4" s="15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116"/>
      <c r="Z4" s="419"/>
      <c r="AA4" s="419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419"/>
      <c r="AA5" s="989" t="s">
        <v>312</v>
      </c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609</v>
      </c>
      <c r="B6" s="26"/>
      <c r="C6" s="26"/>
      <c r="D6" s="26" t="n">
        <f aca="false">CF!E6</f>
        <v>1</v>
      </c>
      <c r="E6" s="26" t="n">
        <f aca="false">CF!F6</f>
        <v>2</v>
      </c>
      <c r="F6" s="26" t="n">
        <f aca="false">CF!G6</f>
        <v>3</v>
      </c>
      <c r="G6" s="26" t="n">
        <f aca="false">CF!H6</f>
        <v>4</v>
      </c>
      <c r="H6" s="26" t="n">
        <f aca="false">CF!I6</f>
        <v>5</v>
      </c>
      <c r="I6" s="26" t="n">
        <f aca="false">CF!J6</f>
        <v>6</v>
      </c>
      <c r="J6" s="26" t="n">
        <f aca="false">CF!K6</f>
        <v>7</v>
      </c>
      <c r="K6" s="26" t="n">
        <f aca="false">CF!L6</f>
        <v>8</v>
      </c>
      <c r="L6" s="26" t="n">
        <f aca="false">CF!M6</f>
        <v>9</v>
      </c>
      <c r="M6" s="26" t="n">
        <f aca="false">CF!N6</f>
        <v>10</v>
      </c>
      <c r="N6" s="26" t="n">
        <f aca="false">CF!O6</f>
        <v>11</v>
      </c>
      <c r="O6" s="26" t="n">
        <f aca="false">CF!P6</f>
        <v>12</v>
      </c>
      <c r="P6" s="26" t="n">
        <f aca="false">CF!Q6</f>
        <v>13</v>
      </c>
      <c r="Q6" s="26" t="n">
        <f aca="false">CF!R6</f>
        <v>14</v>
      </c>
      <c r="R6" s="26" t="n">
        <f aca="false">CF!S6</f>
        <v>15</v>
      </c>
      <c r="S6" s="26" t="n">
        <f aca="false">CF!T6</f>
        <v>16</v>
      </c>
      <c r="T6" s="26" t="n">
        <f aca="false">CF!U6</f>
        <v>17</v>
      </c>
      <c r="U6" s="26" t="n">
        <f aca="false">CF!V6</f>
        <v>18</v>
      </c>
      <c r="V6" s="26" t="n">
        <f aca="false">CF!W6</f>
        <v>19</v>
      </c>
      <c r="W6" s="26" t="n">
        <f aca="false">CF!X6</f>
        <v>20</v>
      </c>
      <c r="X6" s="26" t="n">
        <f aca="false">CF!Y6</f>
        <v>21</v>
      </c>
      <c r="Y6" s="288"/>
      <c r="Z6" s="39"/>
      <c r="AA6" s="289" t="s">
        <v>945</v>
      </c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9" t="s">
        <v>315</v>
      </c>
      <c r="B7" s="22"/>
      <c r="C7" s="22"/>
      <c r="D7" s="579" t="n">
        <f aca="false">CF!E7</f>
        <v>1999</v>
      </c>
      <c r="E7" s="579" t="n">
        <f aca="false">CF!F7</f>
        <v>2000</v>
      </c>
      <c r="F7" s="579" t="n">
        <f aca="false">CF!G7</f>
        <v>2001</v>
      </c>
      <c r="G7" s="579" t="n">
        <f aca="false">CF!H7</f>
        <v>2002</v>
      </c>
      <c r="H7" s="579" t="n">
        <f aca="false">CF!I7</f>
        <v>2003</v>
      </c>
      <c r="I7" s="579" t="n">
        <f aca="false">CF!J7</f>
        <v>2004</v>
      </c>
      <c r="J7" s="579" t="n">
        <f aca="false">CF!K7</f>
        <v>2005</v>
      </c>
      <c r="K7" s="579" t="n">
        <f aca="false">CF!L7</f>
        <v>2006</v>
      </c>
      <c r="L7" s="579" t="n">
        <f aca="false">CF!M7</f>
        <v>2007</v>
      </c>
      <c r="M7" s="579" t="n">
        <f aca="false">CF!N7</f>
        <v>2008</v>
      </c>
      <c r="N7" s="579" t="n">
        <f aca="false">CF!O7</f>
        <v>2009</v>
      </c>
      <c r="O7" s="579" t="n">
        <f aca="false">CF!P7</f>
        <v>2010</v>
      </c>
      <c r="P7" s="579" t="n">
        <f aca="false">CF!Q7</f>
        <v>2011</v>
      </c>
      <c r="Q7" s="579" t="n">
        <f aca="false">CF!R7</f>
        <v>2012</v>
      </c>
      <c r="R7" s="579" t="n">
        <f aca="false">CF!S7</f>
        <v>2013</v>
      </c>
      <c r="S7" s="579" t="n">
        <f aca="false">CF!T7</f>
        <v>2014</v>
      </c>
      <c r="T7" s="579" t="n">
        <f aca="false">CF!U7</f>
        <v>2015</v>
      </c>
      <c r="U7" s="579" t="n">
        <f aca="false">CF!V7</f>
        <v>2016</v>
      </c>
      <c r="V7" s="579" t="n">
        <f aca="false">CF!W7</f>
        <v>2017</v>
      </c>
      <c r="W7" s="579" t="n">
        <f aca="false">CF!X7</f>
        <v>2018</v>
      </c>
      <c r="X7" s="579" t="n">
        <f aca="false">CF!Y7</f>
        <v>2019</v>
      </c>
      <c r="Y7" s="294" t="s">
        <v>909</v>
      </c>
      <c r="Z7" s="39"/>
      <c r="AA7" s="697" t="n">
        <v>1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85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02"/>
      <c r="AA8" s="134" t="n">
        <f aca="false">AA7+1</f>
        <v>2</v>
      </c>
    </row>
    <row r="9" customFormat="false" ht="12.75" hidden="false" customHeight="false" outlineLevel="0" collapsed="false">
      <c r="A9" s="37" t="s">
        <v>610</v>
      </c>
      <c r="B9" s="39"/>
      <c r="C9" s="39"/>
      <c r="D9" s="39" t="n">
        <f aca="false">CF!E9</f>
        <v>0</v>
      </c>
      <c r="E9" s="39" t="n">
        <f aca="false">CF!F9</f>
        <v>0</v>
      </c>
      <c r="F9" s="39" t="n">
        <f aca="false">CF!G9</f>
        <v>10</v>
      </c>
      <c r="G9" s="39" t="n">
        <f aca="false">CF!H9</f>
        <v>12</v>
      </c>
      <c r="H9" s="39" t="n">
        <f aca="false">CF!I9</f>
        <v>12</v>
      </c>
      <c r="I9" s="39" t="n">
        <f aca="false">CF!J9</f>
        <v>12</v>
      </c>
      <c r="J9" s="39" t="n">
        <f aca="false">CF!K9</f>
        <v>12</v>
      </c>
      <c r="K9" s="39" t="n">
        <f aca="false">CF!L9</f>
        <v>12</v>
      </c>
      <c r="L9" s="39" t="n">
        <f aca="false">CF!M9</f>
        <v>12</v>
      </c>
      <c r="M9" s="39" t="n">
        <f aca="false">CF!N9</f>
        <v>12</v>
      </c>
      <c r="N9" s="39" t="n">
        <f aca="false">CF!O9</f>
        <v>12</v>
      </c>
      <c r="O9" s="39" t="n">
        <f aca="false">CF!P9</f>
        <v>12</v>
      </c>
      <c r="P9" s="39" t="n">
        <f aca="false">CF!Q9</f>
        <v>12</v>
      </c>
      <c r="Q9" s="39" t="n">
        <f aca="false">CF!R9</f>
        <v>12</v>
      </c>
      <c r="R9" s="39" t="n">
        <f aca="false">CF!S9</f>
        <v>12</v>
      </c>
      <c r="S9" s="39" t="n">
        <f aca="false">CF!T9</f>
        <v>12</v>
      </c>
      <c r="T9" s="39" t="n">
        <f aca="false">CF!U9</f>
        <v>12</v>
      </c>
      <c r="U9" s="39" t="n">
        <f aca="false">CF!V9</f>
        <v>12</v>
      </c>
      <c r="V9" s="39" t="n">
        <f aca="false">CF!W9</f>
        <v>12</v>
      </c>
      <c r="W9" s="39" t="n">
        <f aca="false">CF!X9</f>
        <v>12</v>
      </c>
      <c r="X9" s="39" t="n">
        <f aca="false">CF!Y9</f>
        <v>4</v>
      </c>
      <c r="Y9" s="302" t="n">
        <f aca="false">CF!Z9</f>
        <v>218</v>
      </c>
      <c r="Z9" s="39"/>
      <c r="AA9" s="134" t="n">
        <f aca="false">AA8+1</f>
        <v>3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02"/>
      <c r="AA10" s="134" t="n">
        <f aca="false">AA9+1</f>
        <v>4</v>
      </c>
    </row>
    <row r="11" customFormat="false" ht="12.75" hidden="false" customHeight="false" outlineLevel="0" collapsed="false">
      <c r="A11" s="97" t="s">
        <v>946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02"/>
      <c r="Z11" s="39"/>
      <c r="AA11" s="134" t="n">
        <f aca="false">AA10+1</f>
        <v>5</v>
      </c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08" t="s">
        <v>947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02"/>
      <c r="Z12" s="39"/>
      <c r="AA12" s="134" t="n">
        <f aca="false">AA11+1</f>
        <v>6</v>
      </c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459</v>
      </c>
      <c r="B13" s="39"/>
      <c r="C13" s="39"/>
      <c r="D13" s="61" t="n">
        <f aca="false">CF!E46</f>
        <v>0</v>
      </c>
      <c r="E13" s="61" t="n">
        <f aca="false">CF!F46</f>
        <v>-13.2759999379246</v>
      </c>
      <c r="F13" s="61" t="n">
        <f aca="false">CF!G46</f>
        <v>8604.19629805644</v>
      </c>
      <c r="G13" s="61" t="n">
        <f aca="false">CF!H46</f>
        <v>14220.938045162</v>
      </c>
      <c r="H13" s="61" t="n">
        <f aca="false">CF!I46</f>
        <v>13565.6409996427</v>
      </c>
      <c r="I13" s="61" t="n">
        <f aca="false">CF!J46</f>
        <v>19099.4312530243</v>
      </c>
      <c r="J13" s="61" t="n">
        <f aca="false">CF!K46</f>
        <v>19379.6148479407</v>
      </c>
      <c r="K13" s="61" t="n">
        <f aca="false">CF!L46</f>
        <v>23437.1491854552</v>
      </c>
      <c r="L13" s="61" t="n">
        <f aca="false">CF!M46</f>
        <v>24344.7076671009</v>
      </c>
      <c r="M13" s="61" t="n">
        <f aca="false">CF!N46</f>
        <v>24485.4880924593</v>
      </c>
      <c r="N13" s="61" t="n">
        <f aca="false">CF!O46</f>
        <v>25830.1534150317</v>
      </c>
      <c r="O13" s="61" t="n">
        <f aca="false">CF!P46</f>
        <v>26597.1556216309</v>
      </c>
      <c r="P13" s="61" t="n">
        <f aca="false">CF!Q46</f>
        <v>27679.4585347262</v>
      </c>
      <c r="Q13" s="61" t="n">
        <f aca="false">CF!R46</f>
        <v>29538.859488661</v>
      </c>
      <c r="R13" s="61" t="n">
        <f aca="false">CF!S46</f>
        <v>28010.2309087519</v>
      </c>
      <c r="S13" s="61" t="n">
        <f aca="false">CF!T46</f>
        <v>30595.1178173838</v>
      </c>
      <c r="T13" s="61" t="n">
        <f aca="false">CF!U46</f>
        <v>31458.5672626128</v>
      </c>
      <c r="U13" s="61" t="n">
        <f aca="false">CF!V46</f>
        <v>32306.0828797343</v>
      </c>
      <c r="V13" s="61" t="n">
        <f aca="false">CF!W46</f>
        <v>33381.8136103011</v>
      </c>
      <c r="W13" s="61" t="n">
        <f aca="false">CF!X46</f>
        <v>34547.7040372276</v>
      </c>
      <c r="X13" s="61" t="n">
        <f aca="false">CF!Y46</f>
        <v>11528.7919548953</v>
      </c>
      <c r="Y13" s="309" t="n">
        <f aca="false">SUM(D13:X13)</f>
        <v>458597.82591986</v>
      </c>
      <c r="Z13" s="39"/>
      <c r="AA13" s="134" t="n">
        <f aca="false">AA12+1</f>
        <v>7</v>
      </c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37" t="s">
        <v>948</v>
      </c>
      <c r="B14" s="39"/>
      <c r="C14" s="39"/>
      <c r="D14" s="61" t="n">
        <f aca="false">Trapped!F60</f>
        <v>0</v>
      </c>
      <c r="E14" s="61" t="n">
        <f aca="false">Trapped!G60</f>
        <v>0</v>
      </c>
      <c r="F14" s="61" t="n">
        <f aca="false">Trapped!H60</f>
        <v>0</v>
      </c>
      <c r="G14" s="61" t="n">
        <f aca="false">Trapped!I60</f>
        <v>0</v>
      </c>
      <c r="H14" s="61" t="n">
        <f aca="false">Trapped!J60</f>
        <v>0</v>
      </c>
      <c r="I14" s="61" t="n">
        <f aca="false">Trapped!K60</f>
        <v>0</v>
      </c>
      <c r="J14" s="61" t="n">
        <f aca="false">Trapped!L60</f>
        <v>0</v>
      </c>
      <c r="K14" s="61" t="n">
        <f aca="false">Trapped!M60</f>
        <v>0</v>
      </c>
      <c r="L14" s="61" t="n">
        <f aca="false">Trapped!N60</f>
        <v>0</v>
      </c>
      <c r="M14" s="61" t="n">
        <f aca="false">Trapped!O60</f>
        <v>0</v>
      </c>
      <c r="N14" s="61" t="n">
        <f aca="false">Trapped!P60</f>
        <v>0</v>
      </c>
      <c r="O14" s="61" t="n">
        <f aca="false">Trapped!Q60</f>
        <v>0</v>
      </c>
      <c r="P14" s="61" t="n">
        <f aca="false">Trapped!R60</f>
        <v>0</v>
      </c>
      <c r="Q14" s="61" t="n">
        <f aca="false">Trapped!S60</f>
        <v>0</v>
      </c>
      <c r="R14" s="61" t="n">
        <f aca="false">Trapped!T60</f>
        <v>0</v>
      </c>
      <c r="S14" s="61" t="n">
        <f aca="false">Trapped!U60</f>
        <v>0</v>
      </c>
      <c r="T14" s="61" t="n">
        <f aca="false">Trapped!V60</f>
        <v>0</v>
      </c>
      <c r="U14" s="61" t="n">
        <f aca="false">Trapped!W60</f>
        <v>0</v>
      </c>
      <c r="V14" s="61" t="n">
        <f aca="false">Trapped!X60</f>
        <v>0</v>
      </c>
      <c r="W14" s="61" t="n">
        <f aca="false">Trapped!Y60</f>
        <v>0</v>
      </c>
      <c r="X14" s="61" t="n">
        <f aca="false">Trapped!Z60</f>
        <v>0</v>
      </c>
      <c r="Y14" s="309" t="n">
        <f aca="false">SUM(D14:X14)</f>
        <v>0</v>
      </c>
      <c r="Z14" s="39"/>
      <c r="AA14" s="134" t="n">
        <f aca="false">AA13+1</f>
        <v>8</v>
      </c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37" t="s">
        <v>949</v>
      </c>
      <c r="B15" s="39"/>
      <c r="C15" s="39"/>
      <c r="D15" s="61" t="n">
        <f aca="false">-Depr!H24</f>
        <v>-0</v>
      </c>
      <c r="E15" s="61" t="n">
        <f aca="false">-Depr!I24</f>
        <v>-0</v>
      </c>
      <c r="F15" s="61" t="n">
        <f aca="false">-Depr!J24</f>
        <v>-12017.4989247174</v>
      </c>
      <c r="G15" s="61" t="n">
        <f aca="false">-Depr!K24</f>
        <v>-14420.9987096609</v>
      </c>
      <c r="H15" s="61" t="n">
        <f aca="false">-Depr!L24</f>
        <v>-14420.9987096609</v>
      </c>
      <c r="I15" s="61" t="n">
        <f aca="false">-Depr!M24</f>
        <v>-14420.9987096609</v>
      </c>
      <c r="J15" s="61" t="n">
        <f aca="false">-Depr!N24</f>
        <v>-14420.9987096609</v>
      </c>
      <c r="K15" s="61" t="n">
        <f aca="false">-Depr!O24</f>
        <v>-14420.9987096609</v>
      </c>
      <c r="L15" s="61" t="n">
        <f aca="false">-Depr!P24</f>
        <v>-14420.9987096609</v>
      </c>
      <c r="M15" s="61" t="n">
        <f aca="false">-Depr!Q24</f>
        <v>-14420.9987096609</v>
      </c>
      <c r="N15" s="61" t="n">
        <f aca="false">-Depr!R24</f>
        <v>-14420.9987096609</v>
      </c>
      <c r="O15" s="61" t="n">
        <f aca="false">-Depr!S24</f>
        <v>-14420.9987096609</v>
      </c>
      <c r="P15" s="61" t="n">
        <f aca="false">-Depr!T24</f>
        <v>-2403.49978494347</v>
      </c>
      <c r="Q15" s="61" t="n">
        <f aca="false">-Depr!U24</f>
        <v>-0</v>
      </c>
      <c r="R15" s="61" t="n">
        <f aca="false">-Depr!V24</f>
        <v>-0</v>
      </c>
      <c r="S15" s="61" t="n">
        <f aca="false">-Depr!W24</f>
        <v>-0</v>
      </c>
      <c r="T15" s="61" t="n">
        <f aca="false">-Depr!X24</f>
        <v>-0</v>
      </c>
      <c r="U15" s="61" t="n">
        <f aca="false">-Depr!Y24</f>
        <v>-0</v>
      </c>
      <c r="V15" s="61" t="n">
        <f aca="false">-Depr!Z24</f>
        <v>-0</v>
      </c>
      <c r="W15" s="61" t="n">
        <f aca="false">-Depr!AA24</f>
        <v>-0</v>
      </c>
      <c r="X15" s="61" t="n">
        <f aca="false">-Depr!AB24</f>
        <v>-0</v>
      </c>
      <c r="Y15" s="309" t="n">
        <f aca="false">SUM(D15:X15)</f>
        <v>-144209.987096609</v>
      </c>
      <c r="Z15" s="39"/>
      <c r="AA15" s="134" t="n">
        <f aca="false">AA14+1</f>
        <v>9</v>
      </c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12.75" hidden="false" customHeight="false" outlineLevel="0" collapsed="false">
      <c r="A16" s="37" t="s">
        <v>950</v>
      </c>
      <c r="B16" s="39"/>
      <c r="C16" s="39"/>
      <c r="D16" s="61" t="n">
        <f aca="false">CF!E50</f>
        <v>-0</v>
      </c>
      <c r="E16" s="61" t="n">
        <f aca="false">CF!F50</f>
        <v>-0</v>
      </c>
      <c r="F16" s="61" t="n">
        <f aca="false">CF!G50</f>
        <v>-4298.96714648815</v>
      </c>
      <c r="G16" s="61" t="n">
        <f aca="false">CF!H50</f>
        <v>-10278.8341320822</v>
      </c>
      <c r="H16" s="61" t="n">
        <f aca="false">CF!I50</f>
        <v>-10097.1831177218</v>
      </c>
      <c r="I16" s="61" t="n">
        <f aca="false">CF!J50</f>
        <v>-9716.17180091018</v>
      </c>
      <c r="J16" s="61" t="n">
        <f aca="false">CF!K50</f>
        <v>-8941.28665758468</v>
      </c>
      <c r="K16" s="61" t="n">
        <f aca="false">CF!L50</f>
        <v>-7982.22639204565</v>
      </c>
      <c r="L16" s="61" t="n">
        <f aca="false">CF!M50</f>
        <v>-6883.62165293162</v>
      </c>
      <c r="M16" s="61" t="n">
        <f aca="false">CF!N50</f>
        <v>-5746.3262094992</v>
      </c>
      <c r="N16" s="61" t="n">
        <f aca="false">CF!O50</f>
        <v>-5020.69986001448</v>
      </c>
      <c r="O16" s="61" t="n">
        <f aca="false">CF!P50</f>
        <v>-4432.29654184567</v>
      </c>
      <c r="P16" s="61" t="n">
        <f aca="false">CF!Q50</f>
        <v>-3843.89322367685</v>
      </c>
      <c r="Q16" s="61" t="n">
        <f aca="false">CF!R50</f>
        <v>-3049.65535853418</v>
      </c>
      <c r="R16" s="61" t="n">
        <f aca="false">CF!S50</f>
        <v>-2186.80597773356</v>
      </c>
      <c r="S16" s="61" t="n">
        <f aca="false">CF!T50</f>
        <v>-1323.95659693294</v>
      </c>
      <c r="T16" s="61" t="n">
        <f aca="false">CF!U50</f>
        <v>-403.071159654731</v>
      </c>
      <c r="U16" s="61" t="n">
        <f aca="false">CF!V50</f>
        <v>-0</v>
      </c>
      <c r="V16" s="61" t="n">
        <f aca="false">CF!W50</f>
        <v>-0</v>
      </c>
      <c r="W16" s="61" t="n">
        <f aca="false">CF!X50</f>
        <v>-0</v>
      </c>
      <c r="X16" s="61" t="n">
        <f aca="false">CF!Y50</f>
        <v>-0</v>
      </c>
      <c r="Y16" s="309" t="n">
        <f aca="false">SUM(D16:X16)</f>
        <v>-84204.9958276558</v>
      </c>
      <c r="Z16" s="39"/>
      <c r="AA16" s="134" t="n">
        <f aca="false">AA15+1</f>
        <v>10</v>
      </c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37" t="s">
        <v>951</v>
      </c>
      <c r="B17" s="39"/>
      <c r="C17" s="39"/>
      <c r="D17" s="311" t="n">
        <f aca="false">CF!E52</f>
        <v>-0</v>
      </c>
      <c r="E17" s="311" t="n">
        <f aca="false">CF!F52</f>
        <v>-0</v>
      </c>
      <c r="F17" s="311" t="n">
        <f aca="false">CF!G52</f>
        <v>-0</v>
      </c>
      <c r="G17" s="311" t="n">
        <f aca="false">CF!H52</f>
        <v>-0</v>
      </c>
      <c r="H17" s="311" t="n">
        <f aca="false">CF!I52</f>
        <v>-0</v>
      </c>
      <c r="I17" s="311" t="n">
        <f aca="false">CF!J52</f>
        <v>-0</v>
      </c>
      <c r="J17" s="311" t="n">
        <f aca="false">CF!K52</f>
        <v>-0</v>
      </c>
      <c r="K17" s="311" t="n">
        <f aca="false">CF!L52</f>
        <v>-0</v>
      </c>
      <c r="L17" s="311" t="n">
        <f aca="false">CF!M52</f>
        <v>-0</v>
      </c>
      <c r="M17" s="311" t="n">
        <f aca="false">CF!N52</f>
        <v>-0</v>
      </c>
      <c r="N17" s="311" t="n">
        <f aca="false">CF!O52</f>
        <v>-0</v>
      </c>
      <c r="O17" s="311" t="n">
        <f aca="false">CF!P52</f>
        <v>-0</v>
      </c>
      <c r="P17" s="311" t="n">
        <f aca="false">CF!Q52</f>
        <v>-0</v>
      </c>
      <c r="Q17" s="311" t="n">
        <f aca="false">CF!R52</f>
        <v>-0</v>
      </c>
      <c r="R17" s="311" t="n">
        <f aca="false">CF!S52</f>
        <v>-0</v>
      </c>
      <c r="S17" s="311" t="n">
        <f aca="false">CF!T52</f>
        <v>-0</v>
      </c>
      <c r="T17" s="311" t="n">
        <f aca="false">CF!U52</f>
        <v>-0</v>
      </c>
      <c r="U17" s="311" t="n">
        <f aca="false">CF!V52</f>
        <v>-0</v>
      </c>
      <c r="V17" s="311" t="n">
        <f aca="false">CF!W52</f>
        <v>-0</v>
      </c>
      <c r="W17" s="311" t="n">
        <f aca="false">CF!X52</f>
        <v>-0</v>
      </c>
      <c r="X17" s="311" t="n">
        <f aca="false">CF!Y52</f>
        <v>-0</v>
      </c>
      <c r="Y17" s="313" t="n">
        <f aca="false">SUM(D17:X17)</f>
        <v>0</v>
      </c>
      <c r="Z17" s="39"/>
      <c r="AA17" s="134" t="n">
        <f aca="false">AA16+1</f>
        <v>11</v>
      </c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12.75" hidden="false" customHeight="false" outlineLevel="0" collapsed="false">
      <c r="A18" s="37" t="s">
        <v>952</v>
      </c>
      <c r="B18" s="39"/>
      <c r="C18" s="39"/>
      <c r="D18" s="61" t="n">
        <f aca="false">SUM(D13:D17)</f>
        <v>0</v>
      </c>
      <c r="E18" s="61" t="n">
        <f aca="false">SUM(E13:E17)</f>
        <v>-13.2759999379246</v>
      </c>
      <c r="F18" s="61" t="n">
        <f aca="false">SUM(F13:F17)</f>
        <v>-7712.26977314913</v>
      </c>
      <c r="G18" s="61" t="n">
        <f aca="false">SUM(G13:G17)</f>
        <v>-10478.8947965811</v>
      </c>
      <c r="H18" s="61" t="n">
        <f aca="false">SUM(H13:H17)</f>
        <v>-10952.54082774</v>
      </c>
      <c r="I18" s="61" t="n">
        <f aca="false">SUM(I13:I17)</f>
        <v>-5037.73925754675</v>
      </c>
      <c r="J18" s="61" t="n">
        <f aca="false">SUM(J13:J17)</f>
        <v>-3982.6705193049</v>
      </c>
      <c r="K18" s="61" t="n">
        <f aca="false">SUM(K13:K17)</f>
        <v>1033.92408374865</v>
      </c>
      <c r="L18" s="61" t="n">
        <f aca="false">SUM(L13:L17)</f>
        <v>3040.08730450834</v>
      </c>
      <c r="M18" s="61" t="n">
        <f aca="false">SUM(M13:M17)</f>
        <v>4318.16317329924</v>
      </c>
      <c r="N18" s="61" t="n">
        <f aca="false">SUM(N13:N17)</f>
        <v>6388.45484535631</v>
      </c>
      <c r="O18" s="61" t="n">
        <f aca="false">SUM(O13:O17)</f>
        <v>7743.86037012432</v>
      </c>
      <c r="P18" s="61" t="n">
        <f aca="false">SUM(P13:P17)</f>
        <v>21432.0655261059</v>
      </c>
      <c r="Q18" s="61" t="n">
        <f aca="false">SUM(Q13:Q17)</f>
        <v>26489.2041301269</v>
      </c>
      <c r="R18" s="61" t="n">
        <f aca="false">SUM(R13:R17)</f>
        <v>25823.4249310183</v>
      </c>
      <c r="S18" s="61" t="n">
        <f aca="false">SUM(S13:S17)</f>
        <v>29271.1612204508</v>
      </c>
      <c r="T18" s="61" t="n">
        <f aca="false">SUM(T13:T17)</f>
        <v>31055.4961029581</v>
      </c>
      <c r="U18" s="61" t="n">
        <f aca="false">SUM(U13:U17)</f>
        <v>32306.0828797343</v>
      </c>
      <c r="V18" s="61" t="n">
        <f aca="false">SUM(V13:V17)</f>
        <v>33381.8136103011</v>
      </c>
      <c r="W18" s="61" t="n">
        <f aca="false">SUM(W13:W17)</f>
        <v>34547.7040372276</v>
      </c>
      <c r="X18" s="61" t="n">
        <f aca="false">SUM(X13:X17)</f>
        <v>11528.7919548953</v>
      </c>
      <c r="Y18" s="309" t="n">
        <f aca="false">SUM(D18:X18)</f>
        <v>230182.842995595</v>
      </c>
      <c r="Z18" s="39"/>
      <c r="AA18" s="134" t="n">
        <f aca="false">AA17+1</f>
        <v>12</v>
      </c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37" t="s">
        <v>953</v>
      </c>
      <c r="B19" s="39"/>
      <c r="C19" s="39"/>
      <c r="D19" s="990" t="n">
        <f aca="false">-D27</f>
        <v>-0</v>
      </c>
      <c r="E19" s="990" t="n">
        <f aca="false">-E27</f>
        <v>-0</v>
      </c>
      <c r="F19" s="990" t="n">
        <f aca="false">-F27</f>
        <v>-0</v>
      </c>
      <c r="G19" s="990" t="n">
        <f aca="false">-G27</f>
        <v>-0</v>
      </c>
      <c r="H19" s="990" t="n">
        <f aca="false">-H27</f>
        <v>-0</v>
      </c>
      <c r="I19" s="990" t="n">
        <f aca="false">-I27</f>
        <v>-0</v>
      </c>
      <c r="J19" s="990" t="n">
        <f aca="false">-J27</f>
        <v>-0</v>
      </c>
      <c r="K19" s="990" t="n">
        <f aca="false">-K27</f>
        <v>-1033.92408374865</v>
      </c>
      <c r="L19" s="990" t="n">
        <f aca="false">-L27</f>
        <v>-3040.08730450834</v>
      </c>
      <c r="M19" s="990" t="n">
        <f aca="false">-M27</f>
        <v>-4318.16317329924</v>
      </c>
      <c r="N19" s="990" t="n">
        <f aca="false">-N27</f>
        <v>-6388.45484535631</v>
      </c>
      <c r="O19" s="990" t="n">
        <f aca="false">-O27</f>
        <v>-7743.86037012432</v>
      </c>
      <c r="P19" s="990" t="n">
        <f aca="false">-P27</f>
        <v>-15652.9013972229</v>
      </c>
      <c r="Q19" s="990" t="n">
        <f aca="false">-Q27</f>
        <v>0</v>
      </c>
      <c r="R19" s="990" t="n">
        <f aca="false">-R27</f>
        <v>0</v>
      </c>
      <c r="S19" s="990" t="n">
        <f aca="false">-S27</f>
        <v>0</v>
      </c>
      <c r="T19" s="990" t="n">
        <f aca="false">-T27</f>
        <v>0</v>
      </c>
      <c r="U19" s="990" t="n">
        <f aca="false">-U27</f>
        <v>0</v>
      </c>
      <c r="V19" s="990" t="n">
        <f aca="false">-V27</f>
        <v>0</v>
      </c>
      <c r="W19" s="990" t="n">
        <f aca="false">-W27</f>
        <v>0</v>
      </c>
      <c r="X19" s="990" t="n">
        <f aca="false">-X27</f>
        <v>0</v>
      </c>
      <c r="Y19" s="313"/>
      <c r="Z19" s="39"/>
      <c r="AA19" s="134" t="n">
        <f aca="false">AA18+1</f>
        <v>13</v>
      </c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12.75" hidden="false" customHeight="false" outlineLevel="0" collapsed="false">
      <c r="A20" s="37" t="s">
        <v>954</v>
      </c>
      <c r="B20" s="39"/>
      <c r="C20" s="39"/>
      <c r="D20" s="61" t="n">
        <f aca="false">IF(SUM(D18:D19)&lt;0,0,SUM(D18:D19))</f>
        <v>0</v>
      </c>
      <c r="E20" s="61" t="n">
        <f aca="false">IF(SUM(E18:E19)&lt;0,0,SUM(E18:E19))</f>
        <v>0</v>
      </c>
      <c r="F20" s="61" t="n">
        <f aca="false">IF(SUM(F18:F19)&lt;0,0,SUM(F18:F19))</f>
        <v>0</v>
      </c>
      <c r="G20" s="61" t="n">
        <f aca="false">IF(SUM(G18:G19)&lt;0,0,SUM(G18:G19))</f>
        <v>0</v>
      </c>
      <c r="H20" s="61" t="n">
        <f aca="false">IF(SUM(H18:H19)&lt;0,0,SUM(H18:H19))</f>
        <v>0</v>
      </c>
      <c r="I20" s="61" t="n">
        <f aca="false">IF(SUM(I18:I19)&lt;0,0,SUM(I18:I19))</f>
        <v>0</v>
      </c>
      <c r="J20" s="61" t="n">
        <f aca="false">IF(SUM(J18:J19)&lt;0,0,SUM(J18:J19))</f>
        <v>0</v>
      </c>
      <c r="K20" s="61" t="n">
        <f aca="false">IF(SUM(K18:K19)&lt;0,0,SUM(K18:K19))</f>
        <v>0</v>
      </c>
      <c r="L20" s="61" t="n">
        <f aca="false">IF(SUM(L18:L19)&lt;0,0,SUM(L18:L19))</f>
        <v>0</v>
      </c>
      <c r="M20" s="61" t="n">
        <f aca="false">IF(SUM(M18:M19)&lt;0,0,SUM(M18:M19))</f>
        <v>0</v>
      </c>
      <c r="N20" s="61" t="n">
        <f aca="false">IF(SUM(N18:N19)&lt;0,0,SUM(N18:N19))</f>
        <v>0</v>
      </c>
      <c r="O20" s="61" t="n">
        <f aca="false">IF(SUM(O18:O19)&lt;0,0,SUM(O18:O19))</f>
        <v>0</v>
      </c>
      <c r="P20" s="61" t="n">
        <f aca="false">IF(SUM(P18:P19)&lt;0,0,SUM(P18:P19))</f>
        <v>5779.16412888293</v>
      </c>
      <c r="Q20" s="61" t="n">
        <f aca="false">IF(SUM(Q18:Q19)&lt;0,0,SUM(Q18:Q19))</f>
        <v>26489.2041301269</v>
      </c>
      <c r="R20" s="61" t="n">
        <f aca="false">IF(SUM(R18:R19)&lt;0,0,SUM(R18:R19))</f>
        <v>25823.4249310183</v>
      </c>
      <c r="S20" s="61" t="n">
        <f aca="false">IF(SUM(S18:S19)&lt;0,0,SUM(S18:S19))</f>
        <v>29271.1612204508</v>
      </c>
      <c r="T20" s="61" t="n">
        <f aca="false">IF(SUM(T18:T19)&lt;0,0,SUM(T18:T19))</f>
        <v>31055.4961029581</v>
      </c>
      <c r="U20" s="61" t="n">
        <f aca="false">IF(SUM(U18:U19)&lt;0,0,SUM(U18:U19))</f>
        <v>32306.0828797343</v>
      </c>
      <c r="V20" s="61" t="n">
        <f aca="false">IF(SUM(V18:V19)&lt;0,0,SUM(V18:V19))</f>
        <v>33381.8136103011</v>
      </c>
      <c r="W20" s="61" t="n">
        <f aca="false">IF(SUM(W18:W19)&lt;0,0,SUM(W18:W19))</f>
        <v>34547.7040372276</v>
      </c>
      <c r="X20" s="61" t="n">
        <f aca="false">IF(SUM(X18:X19)&lt;0,0,SUM(X18:X19))</f>
        <v>11528.7919548953</v>
      </c>
      <c r="Y20" s="309" t="n">
        <f aca="false">SUM(D20:X20)</f>
        <v>230182.842995595</v>
      </c>
      <c r="Z20" s="39"/>
      <c r="AA20" s="134" t="n">
        <f aca="false">AA19+1</f>
        <v>14</v>
      </c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.75" hidden="false" customHeight="false" outlineLevel="0" collapsed="false">
      <c r="A21" s="37" t="s">
        <v>955</v>
      </c>
      <c r="B21" s="39"/>
      <c r="C21" s="39"/>
      <c r="D21" s="622" t="n">
        <f aca="false">Corp_Tax</f>
        <v>0.25</v>
      </c>
      <c r="E21" s="622" t="n">
        <f aca="false">Corp_Tax</f>
        <v>0.25</v>
      </c>
      <c r="F21" s="622" t="n">
        <f aca="false">Corp_Tax</f>
        <v>0.25</v>
      </c>
      <c r="G21" s="622" t="n">
        <f aca="false">Corp_Tax</f>
        <v>0.25</v>
      </c>
      <c r="H21" s="622" t="n">
        <f aca="false">Corp_Tax</f>
        <v>0.25</v>
      </c>
      <c r="I21" s="622" t="n">
        <f aca="false">Corp_Tax</f>
        <v>0.25</v>
      </c>
      <c r="J21" s="622" t="n">
        <f aca="false">Corp_Tax</f>
        <v>0.25</v>
      </c>
      <c r="K21" s="622" t="n">
        <f aca="false">Corp_Tax</f>
        <v>0.25</v>
      </c>
      <c r="L21" s="622" t="n">
        <f aca="false">Corp_Tax</f>
        <v>0.25</v>
      </c>
      <c r="M21" s="622" t="n">
        <f aca="false">Corp_Tax</f>
        <v>0.25</v>
      </c>
      <c r="N21" s="622" t="n">
        <f aca="false">Corp_Tax</f>
        <v>0.25</v>
      </c>
      <c r="O21" s="622" t="n">
        <f aca="false">Corp_Tax</f>
        <v>0.25</v>
      </c>
      <c r="P21" s="622" t="n">
        <f aca="false">Corp_Tax</f>
        <v>0.25</v>
      </c>
      <c r="Q21" s="622" t="n">
        <f aca="false">Corp_Tax</f>
        <v>0.25</v>
      </c>
      <c r="R21" s="622" t="n">
        <f aca="false">Corp_Tax</f>
        <v>0.25</v>
      </c>
      <c r="S21" s="622" t="n">
        <f aca="false">Corp_Tax</f>
        <v>0.25</v>
      </c>
      <c r="T21" s="622" t="n">
        <f aca="false">Corp_Tax</f>
        <v>0.25</v>
      </c>
      <c r="U21" s="622" t="n">
        <f aca="false">Corp_Tax</f>
        <v>0.25</v>
      </c>
      <c r="V21" s="622" t="n">
        <f aca="false">Corp_Tax</f>
        <v>0.25</v>
      </c>
      <c r="W21" s="622" t="n">
        <f aca="false">Corp_Tax</f>
        <v>0.25</v>
      </c>
      <c r="X21" s="622" t="n">
        <f aca="false">Corp_Tax</f>
        <v>0.25</v>
      </c>
      <c r="Y21" s="510"/>
      <c r="Z21" s="39"/>
      <c r="AA21" s="134" t="n">
        <f aca="false">AA20+1</f>
        <v>15</v>
      </c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2.75" hidden="false" customHeight="false" outlineLevel="0" collapsed="false">
      <c r="A22" s="37" t="s">
        <v>956</v>
      </c>
      <c r="B22" s="39"/>
      <c r="C22" s="39"/>
      <c r="D22" s="61" t="n">
        <f aca="false">D20*D21</f>
        <v>0</v>
      </c>
      <c r="E22" s="61" t="n">
        <f aca="false">E20*E21</f>
        <v>0</v>
      </c>
      <c r="F22" s="61" t="n">
        <f aca="false">F20*F21</f>
        <v>0</v>
      </c>
      <c r="G22" s="61" t="n">
        <f aca="false">G20*G21</f>
        <v>0</v>
      </c>
      <c r="H22" s="61" t="n">
        <f aca="false">H20*H21</f>
        <v>0</v>
      </c>
      <c r="I22" s="61" t="n">
        <f aca="false">I20*I21</f>
        <v>0</v>
      </c>
      <c r="J22" s="61" t="n">
        <f aca="false">J20*J21</f>
        <v>0</v>
      </c>
      <c r="K22" s="61" t="n">
        <f aca="false">K20*K21</f>
        <v>0</v>
      </c>
      <c r="L22" s="61" t="n">
        <f aca="false">L20*L21</f>
        <v>0</v>
      </c>
      <c r="M22" s="61" t="n">
        <f aca="false">M20*M21</f>
        <v>0</v>
      </c>
      <c r="N22" s="61" t="n">
        <f aca="false">N20*N21</f>
        <v>0</v>
      </c>
      <c r="O22" s="61" t="n">
        <f aca="false">O20*O21</f>
        <v>0</v>
      </c>
      <c r="P22" s="61" t="n">
        <f aca="false">P20*P21</f>
        <v>1444.79103222073</v>
      </c>
      <c r="Q22" s="61" t="n">
        <f aca="false">Q20*Q21</f>
        <v>6622.30103253172</v>
      </c>
      <c r="R22" s="61" t="n">
        <f aca="false">R20*R21</f>
        <v>6455.85623275457</v>
      </c>
      <c r="S22" s="61" t="n">
        <f aca="false">S20*S21</f>
        <v>7317.7903051127</v>
      </c>
      <c r="T22" s="61" t="n">
        <f aca="false">T20*T21</f>
        <v>7763.87402573953</v>
      </c>
      <c r="U22" s="61" t="n">
        <f aca="false">U20*U21</f>
        <v>8076.52071993359</v>
      </c>
      <c r="V22" s="61" t="n">
        <f aca="false">V20*V21</f>
        <v>8345.45340257528</v>
      </c>
      <c r="W22" s="61" t="n">
        <f aca="false">W20*W21</f>
        <v>8636.92600930691</v>
      </c>
      <c r="X22" s="61" t="n">
        <f aca="false">X20*X21</f>
        <v>2882.19798872384</v>
      </c>
      <c r="Y22" s="309" t="n">
        <f aca="false">SUM(D22:X22)</f>
        <v>57545.7107488989</v>
      </c>
      <c r="AA22" s="134" t="n">
        <f aca="false">AA21+1</f>
        <v>16</v>
      </c>
    </row>
    <row r="23" customFormat="false" ht="12.75" hidden="false" customHeight="false" outlineLevel="0" collapsed="false">
      <c r="A23" s="37"/>
      <c r="B23" s="39"/>
      <c r="C23" s="3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510"/>
      <c r="AA23" s="134" t="n">
        <f aca="false">AA22+1</f>
        <v>17</v>
      </c>
    </row>
    <row r="24" customFormat="false" ht="12.75" hidden="false" customHeight="false" outlineLevel="0" collapsed="false">
      <c r="A24" s="308" t="s">
        <v>957</v>
      </c>
      <c r="B24" s="39"/>
      <c r="C24" s="3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510"/>
      <c r="AA24" s="134" t="n">
        <f aca="false">AA23+1</f>
        <v>18</v>
      </c>
    </row>
    <row r="25" customFormat="false" ht="12.75" hidden="false" customHeight="false" outlineLevel="0" collapsed="false">
      <c r="A25" s="37" t="s">
        <v>958</v>
      </c>
      <c r="B25" s="39"/>
      <c r="C25" s="39"/>
      <c r="D25" s="99" t="n">
        <v>0</v>
      </c>
      <c r="E25" s="61" t="n">
        <f aca="false">D28</f>
        <v>0</v>
      </c>
      <c r="F25" s="61" t="n">
        <f aca="false">E28</f>
        <v>0</v>
      </c>
      <c r="G25" s="61" t="n">
        <f aca="false">F28</f>
        <v>-13.2759999379246</v>
      </c>
      <c r="H25" s="61" t="n">
        <f aca="false">G28</f>
        <v>-7725.54577308705</v>
      </c>
      <c r="I25" s="61" t="n">
        <f aca="false">H28</f>
        <v>-18204.4405696682</v>
      </c>
      <c r="J25" s="61" t="n">
        <f aca="false">I28</f>
        <v>-29156.9813974082</v>
      </c>
      <c r="K25" s="61" t="n">
        <f aca="false">J28</f>
        <v>-34194.7206549549</v>
      </c>
      <c r="L25" s="61" t="n">
        <f aca="false">K28</f>
        <v>-37143.4670905112</v>
      </c>
      <c r="M25" s="61" t="n">
        <f aca="false">L28</f>
        <v>-34103.3797860028</v>
      </c>
      <c r="N25" s="61" t="n">
        <f aca="false">M28</f>
        <v>-29785.2166127036</v>
      </c>
      <c r="O25" s="61" t="n">
        <f aca="false">N28</f>
        <v>-23396.7617673473</v>
      </c>
      <c r="P25" s="61" t="n">
        <f aca="false">O28</f>
        <v>-15652.9013972229</v>
      </c>
      <c r="Q25" s="61" t="n">
        <f aca="false">P28</f>
        <v>0</v>
      </c>
      <c r="R25" s="61" t="n">
        <f aca="false">Q28</f>
        <v>0</v>
      </c>
      <c r="S25" s="61" t="n">
        <f aca="false">R28</f>
        <v>0</v>
      </c>
      <c r="T25" s="61" t="n">
        <f aca="false">S28</f>
        <v>0</v>
      </c>
      <c r="U25" s="61" t="n">
        <f aca="false">T28</f>
        <v>0</v>
      </c>
      <c r="V25" s="61" t="n">
        <f aca="false">U28</f>
        <v>0</v>
      </c>
      <c r="W25" s="61" t="n">
        <f aca="false">V28</f>
        <v>0</v>
      </c>
      <c r="X25" s="61" t="n">
        <f aca="false">W28</f>
        <v>0</v>
      </c>
      <c r="Y25" s="309"/>
      <c r="Z25" s="39"/>
      <c r="AA25" s="134" t="n">
        <f aca="false">AA24+1</f>
        <v>19</v>
      </c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12.75" hidden="false" customHeight="false" outlineLevel="0" collapsed="false">
      <c r="A26" s="37" t="s">
        <v>959</v>
      </c>
      <c r="B26" s="39"/>
      <c r="C26" s="39"/>
      <c r="D26" s="61" t="n">
        <f aca="false">IF(C18&lt;0,C18,0)</f>
        <v>0</v>
      </c>
      <c r="E26" s="61" t="n">
        <f aca="false">IF(D18&lt;0,D18,0)</f>
        <v>0</v>
      </c>
      <c r="F26" s="61" t="n">
        <f aca="false">IF(E18&lt;0,E18,0)</f>
        <v>-13.2759999379246</v>
      </c>
      <c r="G26" s="61" t="n">
        <f aca="false">IF(F18&lt;0,F18,0)</f>
        <v>-7712.26977314913</v>
      </c>
      <c r="H26" s="61" t="n">
        <f aca="false">IF(G18&lt;0,G18,0)</f>
        <v>-10478.8947965811</v>
      </c>
      <c r="I26" s="61" t="n">
        <f aca="false">IF(H18&lt;0,H18,0)</f>
        <v>-10952.54082774</v>
      </c>
      <c r="J26" s="61" t="n">
        <f aca="false">IF(I18&lt;0,I18,0)</f>
        <v>-5037.73925754675</v>
      </c>
      <c r="K26" s="61" t="n">
        <f aca="false">IF(J18&lt;0,J18,0)</f>
        <v>-3982.6705193049</v>
      </c>
      <c r="L26" s="61" t="n">
        <f aca="false">IF(K18&lt;0,K18,0)</f>
        <v>0</v>
      </c>
      <c r="M26" s="61" t="n">
        <f aca="false">IF(L18&lt;0,L18,0)</f>
        <v>0</v>
      </c>
      <c r="N26" s="61" t="n">
        <f aca="false">IF(M18&lt;0,M18,0)</f>
        <v>0</v>
      </c>
      <c r="O26" s="61" t="n">
        <f aca="false">IF(N18&lt;0,N18,0)</f>
        <v>0</v>
      </c>
      <c r="P26" s="61" t="n">
        <f aca="false">IF(O18&lt;0,O18,0)</f>
        <v>0</v>
      </c>
      <c r="Q26" s="61" t="n">
        <f aca="false">IF(P18&lt;0,P18,0)</f>
        <v>0</v>
      </c>
      <c r="R26" s="61" t="n">
        <f aca="false">IF(Q18&lt;0,Q18,0)</f>
        <v>0</v>
      </c>
      <c r="S26" s="61" t="n">
        <f aca="false">IF(R18&lt;0,R18,0)</f>
        <v>0</v>
      </c>
      <c r="T26" s="61" t="n">
        <f aca="false">IF(S18&lt;0,S18,0)</f>
        <v>0</v>
      </c>
      <c r="U26" s="61" t="n">
        <f aca="false">IF(T18&lt;0,T18,0)</f>
        <v>0</v>
      </c>
      <c r="V26" s="61" t="n">
        <f aca="false">IF(U18&lt;0,U18,0)</f>
        <v>0</v>
      </c>
      <c r="W26" s="61" t="n">
        <f aca="false">IF(V18&lt;0,V18,0)</f>
        <v>0</v>
      </c>
      <c r="X26" s="61" t="n">
        <f aca="false">IF(W18&lt;0,W18,0)</f>
        <v>0</v>
      </c>
      <c r="Y26" s="309"/>
      <c r="Z26" s="39"/>
      <c r="AA26" s="134" t="n">
        <f aca="false">AA25+1</f>
        <v>20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</row>
    <row r="27" customFormat="false" ht="12.75" hidden="false" customHeight="false" outlineLevel="0" collapsed="false">
      <c r="A27" s="37" t="str">
        <f aca="false">CONCATENATE("NOL Used (Capped @ ",TEXT(Nol,"0%")," Of Current Income)")</f>
        <v>NOL Used (Capped @ 100% Of Current Income)</v>
      </c>
      <c r="B27" s="39"/>
      <c r="C27" s="39"/>
      <c r="D27" s="990" t="n">
        <f aca="false">IF(D18&gt;0,-MAX(-D18*Nol,SUM(D25:D26)),0)</f>
        <v>0</v>
      </c>
      <c r="E27" s="990" t="n">
        <f aca="false">IF(E18&gt;0,-MAX(-E18*Nol,SUM(E25:E26)),0)</f>
        <v>0</v>
      </c>
      <c r="F27" s="990" t="n">
        <f aca="false">IF(F18&gt;0,-MAX(-F18*Nol,SUM(F25:F26)),0)</f>
        <v>0</v>
      </c>
      <c r="G27" s="990" t="n">
        <f aca="false">IF(G18&gt;0,-MAX(-G18*Nol,SUM(G25:G26)),0)</f>
        <v>0</v>
      </c>
      <c r="H27" s="990" t="n">
        <f aca="false">IF(H18&gt;0,-MAX(-H18*Nol,SUM(H25:H26)),0)</f>
        <v>0</v>
      </c>
      <c r="I27" s="990" t="n">
        <f aca="false">IF(I18&gt;0,-MAX(-I18*Nol,SUM(I25:I26)),0)</f>
        <v>0</v>
      </c>
      <c r="J27" s="990" t="n">
        <f aca="false">IF(J18&gt;0,-MAX(-J18*Nol,SUM(J25:J26)),0)</f>
        <v>0</v>
      </c>
      <c r="K27" s="990" t="n">
        <f aca="false">IF(K18&gt;0,-MAX(-K18*Nol,SUM(K25:K26)),0)</f>
        <v>1033.92408374865</v>
      </c>
      <c r="L27" s="990" t="n">
        <f aca="false">IF(L18&gt;0,-MAX(-L18*Nol,SUM(L25:L26)),0)</f>
        <v>3040.08730450834</v>
      </c>
      <c r="M27" s="990" t="n">
        <f aca="false">IF(M18&gt;0,-MAX(-M18*Nol,SUM(M25:M26)),0)</f>
        <v>4318.16317329924</v>
      </c>
      <c r="N27" s="990" t="n">
        <f aca="false">IF(N18&gt;0,-MAX(-N18*Nol,SUM(N25:N26)),0)</f>
        <v>6388.45484535631</v>
      </c>
      <c r="O27" s="990" t="n">
        <f aca="false">IF(O18&gt;0,-MAX(-O18*Nol,SUM(O25:O26)),0)</f>
        <v>7743.86037012432</v>
      </c>
      <c r="P27" s="990" t="n">
        <f aca="false">IF(P18&gt;0,-MAX(-P18*Nol,SUM(P25:P26)),0)</f>
        <v>15652.9013972229</v>
      </c>
      <c r="Q27" s="990" t="n">
        <f aca="false">IF(Q18&gt;0,-MAX(-Q18*Nol,SUM(Q25:Q26)),0)</f>
        <v>-0</v>
      </c>
      <c r="R27" s="990" t="n">
        <f aca="false">IF(R18&gt;0,-MAX(-R18*Nol,SUM(R25:R26)),0)</f>
        <v>-0</v>
      </c>
      <c r="S27" s="990" t="n">
        <f aca="false">IF(S18&gt;0,-MAX(-S18*Nol,SUM(S25:S26)),0)</f>
        <v>-0</v>
      </c>
      <c r="T27" s="990" t="n">
        <f aca="false">IF(T18&gt;0,-MAX(-T18*Nol,SUM(T25:T26)),0)</f>
        <v>-0</v>
      </c>
      <c r="U27" s="990" t="n">
        <f aca="false">IF(U18&gt;0,-MAX(-U18*Nol,SUM(U25:U26)),0)</f>
        <v>-0</v>
      </c>
      <c r="V27" s="990" t="n">
        <f aca="false">IF(V18&gt;0,-MAX(-V18*Nol,SUM(V25:V26)),0)</f>
        <v>-0</v>
      </c>
      <c r="W27" s="990" t="n">
        <f aca="false">IF(W18&gt;0,-MAX(-W18*Nol,SUM(W25:W26)),0)</f>
        <v>-0</v>
      </c>
      <c r="X27" s="990" t="n">
        <f aca="false">IF(X18&gt;0,-MAX(-X18*Nol,SUM(X25:X26)),0)</f>
        <v>-0</v>
      </c>
      <c r="Y27" s="313"/>
      <c r="Z27" s="39"/>
      <c r="AA27" s="134" t="n">
        <f aca="false">AA26+1</f>
        <v>21</v>
      </c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</row>
    <row r="28" customFormat="false" ht="12.75" hidden="false" customHeight="false" outlineLevel="0" collapsed="false">
      <c r="A28" s="37" t="s">
        <v>960</v>
      </c>
      <c r="B28" s="39"/>
      <c r="C28" s="39"/>
      <c r="D28" s="61" t="n">
        <f aca="false">SUM(D25:D27)</f>
        <v>0</v>
      </c>
      <c r="E28" s="61" t="n">
        <f aca="false">SUM(E25:E27)</f>
        <v>0</v>
      </c>
      <c r="F28" s="61" t="n">
        <f aca="false">SUM(F25:F27)</f>
        <v>-13.2759999379246</v>
      </c>
      <c r="G28" s="61" t="n">
        <f aca="false">SUM(G25:G27)</f>
        <v>-7725.54577308705</v>
      </c>
      <c r="H28" s="61" t="n">
        <f aca="false">SUM(H25:H27)</f>
        <v>-18204.4405696682</v>
      </c>
      <c r="I28" s="61" t="n">
        <f aca="false">SUM(I25:I27)</f>
        <v>-29156.9813974082</v>
      </c>
      <c r="J28" s="61" t="n">
        <f aca="false">SUM(J25:J27)</f>
        <v>-34194.7206549549</v>
      </c>
      <c r="K28" s="61" t="n">
        <f aca="false">SUM(K25:K27)</f>
        <v>-37143.4670905112</v>
      </c>
      <c r="L28" s="61" t="n">
        <f aca="false">SUM(L25:L27)</f>
        <v>-34103.3797860028</v>
      </c>
      <c r="M28" s="61" t="n">
        <f aca="false">SUM(M25:M27)</f>
        <v>-29785.2166127036</v>
      </c>
      <c r="N28" s="61" t="n">
        <f aca="false">SUM(N25:N27)</f>
        <v>-23396.7617673473</v>
      </c>
      <c r="O28" s="61" t="n">
        <f aca="false">SUM(O25:O27)</f>
        <v>-15652.9013972229</v>
      </c>
      <c r="P28" s="61" t="n">
        <f aca="false">SUM(P25:P27)</f>
        <v>0</v>
      </c>
      <c r="Q28" s="61" t="n">
        <f aca="false">SUM(Q25:Q27)</f>
        <v>0</v>
      </c>
      <c r="R28" s="61" t="n">
        <f aca="false">SUM(R25:R27)</f>
        <v>0</v>
      </c>
      <c r="S28" s="61" t="n">
        <f aca="false">SUM(S25:S27)</f>
        <v>0</v>
      </c>
      <c r="T28" s="61" t="n">
        <f aca="false">SUM(T25:T27)</f>
        <v>0</v>
      </c>
      <c r="U28" s="61" t="n">
        <f aca="false">SUM(U25:U27)</f>
        <v>0</v>
      </c>
      <c r="V28" s="61" t="n">
        <f aca="false">SUM(V25:V27)</f>
        <v>0</v>
      </c>
      <c r="W28" s="61" t="n">
        <f aca="false">SUM(W25:W27)</f>
        <v>0</v>
      </c>
      <c r="X28" s="61" t="n">
        <f aca="false">SUM(X25:X27)</f>
        <v>0</v>
      </c>
      <c r="Y28" s="309"/>
      <c r="Z28" s="39"/>
      <c r="AA28" s="134" t="n">
        <f aca="false">AA27+1</f>
        <v>22</v>
      </c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</row>
    <row r="29" customFormat="false" ht="12.75" hidden="false" customHeight="false" outlineLevel="0" collapsed="false">
      <c r="A29" s="308"/>
      <c r="B29" s="39"/>
      <c r="C29" s="3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510"/>
      <c r="AA29" s="134" t="n">
        <f aca="false">AA28+1</f>
        <v>23</v>
      </c>
    </row>
    <row r="30" customFormat="false" ht="12.75" hidden="false" customHeight="false" outlineLevel="0" collapsed="false">
      <c r="A30" s="445" t="s">
        <v>961</v>
      </c>
      <c r="B30" s="446"/>
      <c r="C30" s="446"/>
      <c r="D30" s="991" t="n">
        <f aca="false">IF(D22&lt;=0,0,D22/D20)</f>
        <v>0</v>
      </c>
      <c r="E30" s="991" t="n">
        <f aca="false">IF(E22&lt;=0,0,E22/E20)</f>
        <v>0</v>
      </c>
      <c r="F30" s="991" t="n">
        <f aca="false">IF(F22&lt;=0,0,F22/F20)</f>
        <v>0</v>
      </c>
      <c r="G30" s="991" t="n">
        <f aca="false">IF(G22&lt;=0,0,G22/G20)</f>
        <v>0</v>
      </c>
      <c r="H30" s="991" t="n">
        <f aca="false">IF(H22&lt;=0,0,H22/H20)</f>
        <v>0</v>
      </c>
      <c r="I30" s="991" t="n">
        <f aca="false">IF(I22&lt;=0,0,I22/I20)</f>
        <v>0</v>
      </c>
      <c r="J30" s="991" t="n">
        <f aca="false">IF(J22&lt;=0,0,J22/J20)</f>
        <v>0</v>
      </c>
      <c r="K30" s="991" t="n">
        <f aca="false">IF(K22&lt;=0,0,K22/K20)</f>
        <v>0</v>
      </c>
      <c r="L30" s="991" t="n">
        <f aca="false">IF(L22&lt;=0,0,L22/L20)</f>
        <v>0</v>
      </c>
      <c r="M30" s="991" t="n">
        <f aca="false">IF(M22&lt;=0,0,M22/M20)</f>
        <v>0</v>
      </c>
      <c r="N30" s="991" t="n">
        <f aca="false">IF(N22&lt;=0,0,N22/N20)</f>
        <v>0</v>
      </c>
      <c r="O30" s="991" t="n">
        <f aca="false">IF(O22&lt;=0,0,O22/O20)</f>
        <v>0</v>
      </c>
      <c r="P30" s="991" t="n">
        <f aca="false">IF(P22&lt;=0,0,P22/P20)</f>
        <v>0.25</v>
      </c>
      <c r="Q30" s="991" t="n">
        <f aca="false">IF(Q22&lt;=0,0,Q22/Q20)</f>
        <v>0.25</v>
      </c>
      <c r="R30" s="991" t="n">
        <f aca="false">IF(R22&lt;=0,0,R22/R20)</f>
        <v>0.25</v>
      </c>
      <c r="S30" s="991" t="n">
        <f aca="false">IF(S22&lt;=0,0,S22/S20)</f>
        <v>0.25</v>
      </c>
      <c r="T30" s="991" t="n">
        <f aca="false">IF(T22&lt;=0,0,T22/T20)</f>
        <v>0.25</v>
      </c>
      <c r="U30" s="991" t="n">
        <f aca="false">IF(U22&lt;=0,0,U22/U20)</f>
        <v>0.25</v>
      </c>
      <c r="V30" s="991" t="n">
        <f aca="false">IF(V22&lt;=0,0,V22/V20)</f>
        <v>0.25</v>
      </c>
      <c r="W30" s="991" t="n">
        <f aca="false">IF(W22&lt;=0,0,W22/W20)</f>
        <v>0.25</v>
      </c>
      <c r="X30" s="991" t="n">
        <f aca="false">IF(X22&lt;=0,0,X22/X20)</f>
        <v>0.25</v>
      </c>
      <c r="Y30" s="448"/>
      <c r="AA30" s="134" t="n">
        <f aca="false">AA29+1</f>
        <v>24</v>
      </c>
    </row>
    <row r="31" customFormat="false" ht="12.75" hidden="false" customHeight="false" outlineLevel="0" collapsed="false">
      <c r="A31" s="37"/>
      <c r="B31" s="39"/>
      <c r="C31" s="39"/>
      <c r="D31" s="889"/>
      <c r="E31" s="889"/>
      <c r="F31" s="889"/>
      <c r="G31" s="889"/>
      <c r="H31" s="889"/>
      <c r="I31" s="889"/>
      <c r="J31" s="889"/>
      <c r="K31" s="889"/>
      <c r="L31" s="889"/>
      <c r="M31" s="889"/>
      <c r="N31" s="889"/>
      <c r="O31" s="889"/>
      <c r="P31" s="889"/>
      <c r="Q31" s="889"/>
      <c r="R31" s="889"/>
      <c r="S31" s="889"/>
      <c r="T31" s="889"/>
      <c r="U31" s="889"/>
      <c r="V31" s="889"/>
      <c r="W31" s="889"/>
      <c r="X31" s="889"/>
      <c r="Y31" s="992"/>
      <c r="AA31" s="134" t="n">
        <f aca="false">AA30+1</f>
        <v>25</v>
      </c>
    </row>
    <row r="32" customFormat="false" ht="12.75" hidden="false" customHeight="false" outlineLevel="0" collapsed="false">
      <c r="A32" s="97" t="s">
        <v>962</v>
      </c>
      <c r="B32" s="39"/>
      <c r="C32" s="3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329"/>
      <c r="Y32" s="510"/>
      <c r="Z32" s="39"/>
      <c r="AA32" s="134" t="n">
        <f aca="false">AA31+1</f>
        <v>26</v>
      </c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</row>
    <row r="33" customFormat="false" ht="12.75" hidden="false" customHeight="false" outlineLevel="0" collapsed="false">
      <c r="A33" s="308" t="s">
        <v>131</v>
      </c>
      <c r="B33" s="39"/>
      <c r="C33" s="3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329"/>
      <c r="Y33" s="510"/>
      <c r="AA33" s="134" t="n">
        <f aca="false">AA32+1</f>
        <v>27</v>
      </c>
    </row>
    <row r="34" customFormat="false" ht="12.75" hidden="false" customHeight="false" outlineLevel="0" collapsed="false">
      <c r="A34" s="37" t="s">
        <v>963</v>
      </c>
      <c r="B34" s="39"/>
      <c r="C34" s="39"/>
      <c r="D34" s="61" t="n">
        <f aca="false">CF!E18</f>
        <v>0</v>
      </c>
      <c r="E34" s="61" t="n">
        <f aca="false">CF!F18</f>
        <v>0</v>
      </c>
      <c r="F34" s="61" t="n">
        <f aca="false">CF!G18</f>
        <v>14282.925136278</v>
      </c>
      <c r="G34" s="61" t="n">
        <f aca="false">CF!H18</f>
        <v>24055.0510107009</v>
      </c>
      <c r="H34" s="61" t="n">
        <f aca="false">CF!I18</f>
        <v>24793.3666132372</v>
      </c>
      <c r="I34" s="61" t="n">
        <f aca="false">CF!J18</f>
        <v>25593.3296288714</v>
      </c>
      <c r="J34" s="61" t="n">
        <f aca="false">CF!K18</f>
        <v>26258.9242454311</v>
      </c>
      <c r="K34" s="61" t="n">
        <f aca="false">CF!L18</f>
        <v>26998.838079134</v>
      </c>
      <c r="L34" s="61" t="n">
        <f aca="false">CF!M18</f>
        <v>27742.8120987957</v>
      </c>
      <c r="M34" s="61" t="n">
        <f aca="false">CF!N18</f>
        <v>28566.9945013695</v>
      </c>
      <c r="N34" s="61" t="n">
        <f aca="false">CF!O18</f>
        <v>29243.2225680268</v>
      </c>
      <c r="O34" s="61" t="n">
        <f aca="false">CF!P18</f>
        <v>30002.9516491615</v>
      </c>
      <c r="P34" s="61" t="n">
        <f aca="false">CF!Q18</f>
        <v>30770.8556612069</v>
      </c>
      <c r="Q34" s="61" t="n">
        <f aca="false">CF!R18</f>
        <v>31634.3559275759</v>
      </c>
      <c r="R34" s="61" t="n">
        <f aca="false">CF!S18</f>
        <v>32342.5512297466</v>
      </c>
      <c r="S34" s="61" t="n">
        <f aca="false">CF!T18</f>
        <v>33158.1560396562</v>
      </c>
      <c r="T34" s="61" t="n">
        <f aca="false">CF!U18</f>
        <v>34004.3898750948</v>
      </c>
      <c r="U34" s="61" t="n">
        <f aca="false">CF!V18</f>
        <v>34980.2528180879</v>
      </c>
      <c r="V34" s="61" t="n">
        <f aca="false">CF!W18</f>
        <v>35807.9093461755</v>
      </c>
      <c r="W34" s="61" t="n">
        <f aca="false">CF!X18</f>
        <v>36770.4041891557</v>
      </c>
      <c r="X34" s="61" t="n">
        <f aca="false">CF!Y18</f>
        <v>12194.3858015608</v>
      </c>
      <c r="Y34" s="309" t="n">
        <f aca="false">SUM(D34:X34)</f>
        <v>539201.676419266</v>
      </c>
      <c r="AA34" s="134" t="n">
        <f aca="false">AA33+1</f>
        <v>28</v>
      </c>
    </row>
    <row r="35" customFormat="false" ht="12.75" hidden="false" customHeight="false" outlineLevel="0" collapsed="false">
      <c r="A35" s="37" t="s">
        <v>964</v>
      </c>
      <c r="B35" s="39"/>
      <c r="C35" s="39"/>
      <c r="D35" s="627" t="n">
        <f aca="false">Sirese_Tax</f>
        <v>0.01</v>
      </c>
      <c r="E35" s="627" t="n">
        <f aca="false">Sirese_Tax</f>
        <v>0.01</v>
      </c>
      <c r="F35" s="627" t="n">
        <f aca="false">Sirese_Tax</f>
        <v>0.01</v>
      </c>
      <c r="G35" s="627" t="n">
        <f aca="false">Sirese_Tax</f>
        <v>0.01</v>
      </c>
      <c r="H35" s="627" t="n">
        <f aca="false">Sirese_Tax</f>
        <v>0.01</v>
      </c>
      <c r="I35" s="627" t="n">
        <f aca="false">Sirese_Tax</f>
        <v>0.01</v>
      </c>
      <c r="J35" s="627" t="n">
        <f aca="false">Sirese_Tax</f>
        <v>0.01</v>
      </c>
      <c r="K35" s="627" t="n">
        <f aca="false">Sirese_Tax</f>
        <v>0.01</v>
      </c>
      <c r="L35" s="627" t="n">
        <f aca="false">Sirese_Tax</f>
        <v>0.01</v>
      </c>
      <c r="M35" s="627" t="n">
        <f aca="false">Sirese_Tax</f>
        <v>0.01</v>
      </c>
      <c r="N35" s="627" t="n">
        <f aca="false">Sirese_Tax</f>
        <v>0.01</v>
      </c>
      <c r="O35" s="627" t="n">
        <f aca="false">Sirese_Tax</f>
        <v>0.01</v>
      </c>
      <c r="P35" s="627" t="n">
        <f aca="false">Sirese_Tax</f>
        <v>0.01</v>
      </c>
      <c r="Q35" s="627" t="n">
        <f aca="false">Sirese_Tax</f>
        <v>0.01</v>
      </c>
      <c r="R35" s="627" t="n">
        <f aca="false">Sirese_Tax</f>
        <v>0.01</v>
      </c>
      <c r="S35" s="627" t="n">
        <f aca="false">Sirese_Tax</f>
        <v>0.01</v>
      </c>
      <c r="T35" s="627" t="n">
        <f aca="false">Sirese_Tax</f>
        <v>0.01</v>
      </c>
      <c r="U35" s="627" t="n">
        <f aca="false">Sirese_Tax</f>
        <v>0.01</v>
      </c>
      <c r="V35" s="627" t="n">
        <f aca="false">Sirese_Tax</f>
        <v>0.01</v>
      </c>
      <c r="W35" s="627" t="n">
        <f aca="false">Sirese_Tax</f>
        <v>0.01</v>
      </c>
      <c r="X35" s="627" t="n">
        <f aca="false">Sirese_Tax</f>
        <v>0.01</v>
      </c>
      <c r="Y35" s="466"/>
      <c r="AA35" s="134" t="n">
        <f aca="false">AA34+1</f>
        <v>29</v>
      </c>
    </row>
    <row r="36" customFormat="false" ht="12.75" hidden="false" customHeight="false" outlineLevel="0" collapsed="false">
      <c r="A36" s="37" t="s">
        <v>965</v>
      </c>
      <c r="B36" s="39"/>
      <c r="C36" s="39"/>
      <c r="D36" s="61" t="n">
        <f aca="false">D34*D35</f>
        <v>0</v>
      </c>
      <c r="E36" s="61" t="n">
        <f aca="false">E34*E35</f>
        <v>0</v>
      </c>
      <c r="F36" s="61" t="n">
        <f aca="false">F34*F35</f>
        <v>142.82925136278</v>
      </c>
      <c r="G36" s="61" t="n">
        <f aca="false">G34*G35</f>
        <v>240.550510107009</v>
      </c>
      <c r="H36" s="61" t="n">
        <f aca="false">H34*H35</f>
        <v>247.933666132372</v>
      </c>
      <c r="I36" s="61" t="n">
        <f aca="false">I34*I35</f>
        <v>255.933296288714</v>
      </c>
      <c r="J36" s="61" t="n">
        <f aca="false">J34*J35</f>
        <v>262.589242454311</v>
      </c>
      <c r="K36" s="61" t="n">
        <f aca="false">K34*K35</f>
        <v>269.98838079134</v>
      </c>
      <c r="L36" s="61" t="n">
        <f aca="false">L34*L35</f>
        <v>277.428120987957</v>
      </c>
      <c r="M36" s="61" t="n">
        <f aca="false">M34*M35</f>
        <v>285.669945013695</v>
      </c>
      <c r="N36" s="61" t="n">
        <f aca="false">N34*N35</f>
        <v>292.432225680268</v>
      </c>
      <c r="O36" s="61" t="n">
        <f aca="false">O34*O35</f>
        <v>300.029516491615</v>
      </c>
      <c r="P36" s="61" t="n">
        <f aca="false">P34*P35</f>
        <v>307.708556612069</v>
      </c>
      <c r="Q36" s="61" t="n">
        <f aca="false">Q34*Q35</f>
        <v>316.343559275759</v>
      </c>
      <c r="R36" s="61" t="n">
        <f aca="false">R34*R35</f>
        <v>323.425512297466</v>
      </c>
      <c r="S36" s="61" t="n">
        <f aca="false">S34*S35</f>
        <v>331.581560396562</v>
      </c>
      <c r="T36" s="61" t="n">
        <f aca="false">T34*T35</f>
        <v>340.043898750948</v>
      </c>
      <c r="U36" s="61" t="n">
        <f aca="false">U34*U35</f>
        <v>349.802528180879</v>
      </c>
      <c r="V36" s="61" t="n">
        <f aca="false">V34*V35</f>
        <v>358.079093461755</v>
      </c>
      <c r="W36" s="61" t="n">
        <f aca="false">W34*W35</f>
        <v>367.704041891557</v>
      </c>
      <c r="X36" s="61" t="n">
        <f aca="false">X34*X35</f>
        <v>121.943858015608</v>
      </c>
      <c r="Y36" s="309" t="n">
        <f aca="false">SUM(D36:X36)</f>
        <v>5392.01676419266</v>
      </c>
      <c r="AA36" s="134" t="n">
        <f aca="false">AA35+1</f>
        <v>30</v>
      </c>
    </row>
    <row r="37" customFormat="false" ht="12.75" hidden="false" customHeight="false" outlineLevel="0" collapsed="false">
      <c r="A37" s="37"/>
      <c r="B37" s="39"/>
      <c r="C37" s="3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329"/>
      <c r="V37" s="329"/>
      <c r="W37" s="329"/>
      <c r="X37" s="329"/>
      <c r="Y37" s="510"/>
      <c r="AA37" s="134" t="n">
        <f aca="false">AA36+1</f>
        <v>31</v>
      </c>
    </row>
    <row r="38" customFormat="false" ht="12.75" hidden="false" customHeight="false" outlineLevel="0" collapsed="false">
      <c r="A38" s="308" t="s">
        <v>966</v>
      </c>
      <c r="B38" s="39"/>
      <c r="C38" s="39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  <c r="W38" s="465"/>
      <c r="X38" s="465"/>
      <c r="Y38" s="510"/>
      <c r="AA38" s="134" t="n">
        <f aca="false">AA37+1</f>
        <v>32</v>
      </c>
    </row>
    <row r="39" customFormat="false" ht="12.75" hidden="false" customHeight="false" outlineLevel="0" collapsed="false">
      <c r="A39" s="37" t="s">
        <v>963</v>
      </c>
      <c r="B39" s="39"/>
      <c r="C39" s="39"/>
      <c r="D39" s="61" t="n">
        <f aca="false">CF!E18</f>
        <v>0</v>
      </c>
      <c r="E39" s="61" t="n">
        <f aca="false">CF!F18</f>
        <v>0</v>
      </c>
      <c r="F39" s="61" t="n">
        <f aca="false">CF!G18</f>
        <v>14282.925136278</v>
      </c>
      <c r="G39" s="61" t="n">
        <f aca="false">CF!H18</f>
        <v>24055.0510107009</v>
      </c>
      <c r="H39" s="61" t="n">
        <f aca="false">CF!I18</f>
        <v>24793.3666132372</v>
      </c>
      <c r="I39" s="61" t="n">
        <f aca="false">CF!J18</f>
        <v>25593.3296288714</v>
      </c>
      <c r="J39" s="61" t="n">
        <f aca="false">CF!K18</f>
        <v>26258.9242454311</v>
      </c>
      <c r="K39" s="61" t="n">
        <f aca="false">CF!L18</f>
        <v>26998.838079134</v>
      </c>
      <c r="L39" s="61" t="n">
        <f aca="false">CF!M18</f>
        <v>27742.8120987957</v>
      </c>
      <c r="M39" s="61" t="n">
        <f aca="false">CF!N18</f>
        <v>28566.9945013695</v>
      </c>
      <c r="N39" s="61" t="n">
        <f aca="false">CF!O18</f>
        <v>29243.2225680268</v>
      </c>
      <c r="O39" s="61" t="n">
        <f aca="false">CF!P18</f>
        <v>30002.9516491615</v>
      </c>
      <c r="P39" s="61" t="n">
        <f aca="false">CF!Q18</f>
        <v>30770.8556612069</v>
      </c>
      <c r="Q39" s="61" t="n">
        <f aca="false">CF!R18</f>
        <v>31634.3559275759</v>
      </c>
      <c r="R39" s="61" t="n">
        <f aca="false">CF!S18</f>
        <v>32342.5512297466</v>
      </c>
      <c r="S39" s="61" t="n">
        <f aca="false">CF!T18</f>
        <v>33158.1560396562</v>
      </c>
      <c r="T39" s="61" t="n">
        <f aca="false">CF!U18</f>
        <v>34004.3898750948</v>
      </c>
      <c r="U39" s="61" t="n">
        <f aca="false">CF!V18</f>
        <v>34980.2528180879</v>
      </c>
      <c r="V39" s="61" t="n">
        <f aca="false">CF!W18</f>
        <v>35807.9093461755</v>
      </c>
      <c r="W39" s="61" t="n">
        <f aca="false">CF!X18</f>
        <v>36770.4041891557</v>
      </c>
      <c r="X39" s="61" t="n">
        <f aca="false">CF!Y18</f>
        <v>12194.3858015608</v>
      </c>
      <c r="Y39" s="309" t="n">
        <f aca="false">SUM(D39:X39)</f>
        <v>539201.676419266</v>
      </c>
      <c r="AA39" s="134" t="n">
        <f aca="false">AA38+1</f>
        <v>33</v>
      </c>
    </row>
    <row r="40" customFormat="false" ht="12.75" hidden="false" customHeight="false" outlineLevel="0" collapsed="false">
      <c r="A40" s="37" t="s">
        <v>967</v>
      </c>
      <c r="B40" s="39"/>
      <c r="C40" s="39"/>
      <c r="D40" s="628" t="n">
        <f aca="false">Trans_Tax</f>
        <v>0.03</v>
      </c>
      <c r="E40" s="628" t="n">
        <f aca="false">Trans_Tax</f>
        <v>0.03</v>
      </c>
      <c r="F40" s="628" t="n">
        <f aca="false">Trans_Tax</f>
        <v>0.03</v>
      </c>
      <c r="G40" s="628" t="n">
        <f aca="false">Trans_Tax</f>
        <v>0.03</v>
      </c>
      <c r="H40" s="628" t="n">
        <f aca="false">Trans_Tax</f>
        <v>0.03</v>
      </c>
      <c r="I40" s="628" t="n">
        <f aca="false">Trans_Tax</f>
        <v>0.03</v>
      </c>
      <c r="J40" s="628" t="n">
        <f aca="false">Trans_Tax</f>
        <v>0.03</v>
      </c>
      <c r="K40" s="628" t="n">
        <f aca="false">Trans_Tax</f>
        <v>0.03</v>
      </c>
      <c r="L40" s="628" t="n">
        <f aca="false">Trans_Tax</f>
        <v>0.03</v>
      </c>
      <c r="M40" s="628" t="n">
        <f aca="false">Trans_Tax</f>
        <v>0.03</v>
      </c>
      <c r="N40" s="628" t="n">
        <f aca="false">Trans_Tax</f>
        <v>0.03</v>
      </c>
      <c r="O40" s="628" t="n">
        <f aca="false">Trans_Tax</f>
        <v>0.03</v>
      </c>
      <c r="P40" s="628" t="n">
        <f aca="false">Trans_Tax</f>
        <v>0.03</v>
      </c>
      <c r="Q40" s="628" t="n">
        <f aca="false">Trans_Tax</f>
        <v>0.03</v>
      </c>
      <c r="R40" s="628" t="n">
        <f aca="false">Trans_Tax</f>
        <v>0.03</v>
      </c>
      <c r="S40" s="628" t="n">
        <f aca="false">Trans_Tax</f>
        <v>0.03</v>
      </c>
      <c r="T40" s="628" t="n">
        <f aca="false">Trans_Tax</f>
        <v>0.03</v>
      </c>
      <c r="U40" s="628" t="n">
        <f aca="false">Trans_Tax</f>
        <v>0.03</v>
      </c>
      <c r="V40" s="628" t="n">
        <f aca="false">Trans_Tax</f>
        <v>0.03</v>
      </c>
      <c r="W40" s="628" t="n">
        <f aca="false">Trans_Tax</f>
        <v>0.03</v>
      </c>
      <c r="X40" s="628" t="n">
        <f aca="false">Trans_Tax</f>
        <v>0.03</v>
      </c>
      <c r="Y40" s="466"/>
      <c r="AA40" s="134" t="n">
        <f aca="false">AA39+1</f>
        <v>34</v>
      </c>
    </row>
    <row r="41" customFormat="false" ht="12.75" hidden="false" customHeight="false" outlineLevel="0" collapsed="false">
      <c r="A41" s="37" t="s">
        <v>968</v>
      </c>
      <c r="B41" s="39"/>
      <c r="C41" s="39"/>
      <c r="D41" s="61" t="n">
        <f aca="false">D39*D40</f>
        <v>0</v>
      </c>
      <c r="E41" s="61" t="n">
        <f aca="false">E39*E40</f>
        <v>0</v>
      </c>
      <c r="F41" s="61" t="n">
        <f aca="false">F39*F40</f>
        <v>428.487754088341</v>
      </c>
      <c r="G41" s="61" t="n">
        <f aca="false">G39*G40</f>
        <v>721.651530321026</v>
      </c>
      <c r="H41" s="61" t="n">
        <f aca="false">H39*H40</f>
        <v>743.800998397115</v>
      </c>
      <c r="I41" s="61" t="n">
        <f aca="false">I39*I40</f>
        <v>767.799888866141</v>
      </c>
      <c r="J41" s="61" t="n">
        <f aca="false">J39*J40</f>
        <v>787.767727362934</v>
      </c>
      <c r="K41" s="61" t="n">
        <f aca="false">K39*K40</f>
        <v>809.96514237402</v>
      </c>
      <c r="L41" s="61" t="n">
        <f aca="false">L39*L40</f>
        <v>832.284362963871</v>
      </c>
      <c r="M41" s="61" t="n">
        <f aca="false">M39*M40</f>
        <v>857.009835041086</v>
      </c>
      <c r="N41" s="61" t="n">
        <f aca="false">N39*N40</f>
        <v>877.296677040803</v>
      </c>
      <c r="O41" s="61" t="n">
        <f aca="false">O39*O40</f>
        <v>900.088549474844</v>
      </c>
      <c r="P41" s="61" t="n">
        <f aca="false">P39*P40</f>
        <v>923.125669836207</v>
      </c>
      <c r="Q41" s="61" t="n">
        <f aca="false">Q39*Q40</f>
        <v>949.030677827278</v>
      </c>
      <c r="R41" s="61" t="n">
        <f aca="false">R39*R40</f>
        <v>970.276536892398</v>
      </c>
      <c r="S41" s="61" t="n">
        <f aca="false">S39*S40</f>
        <v>994.744681189686</v>
      </c>
      <c r="T41" s="61" t="n">
        <f aca="false">T39*T40</f>
        <v>1020.13169625284</v>
      </c>
      <c r="U41" s="61" t="n">
        <f aca="false">U39*U40</f>
        <v>1049.40758454264</v>
      </c>
      <c r="V41" s="61" t="n">
        <f aca="false">V39*V40</f>
        <v>1074.23728038527</v>
      </c>
      <c r="W41" s="61" t="n">
        <f aca="false">W39*W40</f>
        <v>1103.11212567467</v>
      </c>
      <c r="X41" s="61" t="n">
        <f aca="false">X39*X40</f>
        <v>365.831574046823</v>
      </c>
      <c r="Y41" s="309" t="n">
        <f aca="false">SUM(D41:X41)</f>
        <v>16176.050292578</v>
      </c>
      <c r="AA41" s="134" t="n">
        <f aca="false">AA40+1</f>
        <v>35</v>
      </c>
    </row>
    <row r="42" customFormat="false" ht="12.75" hidden="false" customHeight="false" outlineLevel="0" collapsed="false">
      <c r="A42" s="37"/>
      <c r="B42" s="39"/>
      <c r="C42" s="3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510"/>
      <c r="AA42" s="134" t="n">
        <f aca="false">AA41+1</f>
        <v>36</v>
      </c>
    </row>
    <row r="43" customFormat="false" ht="12.75" hidden="false" customHeight="false" outlineLevel="0" collapsed="false">
      <c r="A43" s="37" t="s">
        <v>969</v>
      </c>
      <c r="B43" s="39"/>
      <c r="C43" s="39"/>
      <c r="D43" s="61" t="n">
        <f aca="false">D41</f>
        <v>0</v>
      </c>
      <c r="E43" s="61" t="n">
        <f aca="false">E41</f>
        <v>0</v>
      </c>
      <c r="F43" s="61" t="n">
        <f aca="false">F41</f>
        <v>428.487754088341</v>
      </c>
      <c r="G43" s="61" t="n">
        <f aca="false">G41</f>
        <v>721.651530321026</v>
      </c>
      <c r="H43" s="61" t="n">
        <f aca="false">H41</f>
        <v>743.800998397115</v>
      </c>
      <c r="I43" s="61" t="n">
        <f aca="false">I41</f>
        <v>767.799888866141</v>
      </c>
      <c r="J43" s="61" t="n">
        <f aca="false">J41</f>
        <v>787.767727362934</v>
      </c>
      <c r="K43" s="61" t="n">
        <f aca="false">K41</f>
        <v>809.96514237402</v>
      </c>
      <c r="L43" s="61" t="n">
        <f aca="false">L41</f>
        <v>832.284362963871</v>
      </c>
      <c r="M43" s="61" t="n">
        <f aca="false">M41</f>
        <v>857.009835041086</v>
      </c>
      <c r="N43" s="61" t="n">
        <f aca="false">N41</f>
        <v>877.296677040803</v>
      </c>
      <c r="O43" s="61" t="n">
        <f aca="false">O41</f>
        <v>900.088549474844</v>
      </c>
      <c r="P43" s="61" t="n">
        <f aca="false">P41</f>
        <v>923.125669836207</v>
      </c>
      <c r="Q43" s="61" t="n">
        <f aca="false">Q41</f>
        <v>949.030677827278</v>
      </c>
      <c r="R43" s="61" t="n">
        <f aca="false">R41</f>
        <v>970.276536892398</v>
      </c>
      <c r="S43" s="61" t="n">
        <f aca="false">S41</f>
        <v>994.744681189686</v>
      </c>
      <c r="T43" s="61" t="n">
        <f aca="false">T41</f>
        <v>1020.13169625284</v>
      </c>
      <c r="U43" s="61" t="n">
        <f aca="false">U41</f>
        <v>1049.40758454264</v>
      </c>
      <c r="V43" s="61" t="n">
        <f aca="false">V41</f>
        <v>1074.23728038527</v>
      </c>
      <c r="W43" s="61" t="n">
        <f aca="false">W41</f>
        <v>1103.11212567467</v>
      </c>
      <c r="X43" s="61" t="n">
        <f aca="false">X41</f>
        <v>365.831574046823</v>
      </c>
      <c r="Y43" s="309" t="n">
        <f aca="false">SUM(D43:X43)</f>
        <v>16176.050292578</v>
      </c>
      <c r="AA43" s="134" t="n">
        <f aca="false">AA42+1</f>
        <v>37</v>
      </c>
    </row>
    <row r="44" customFormat="false" ht="12.75" hidden="false" customHeight="false" outlineLevel="0" collapsed="false">
      <c r="A44" s="37" t="s">
        <v>970</v>
      </c>
      <c r="B44" s="39"/>
      <c r="C44" s="39"/>
      <c r="D44" s="61" t="n">
        <f aca="false">C22</f>
        <v>0</v>
      </c>
      <c r="E44" s="61" t="n">
        <f aca="false">D22</f>
        <v>0</v>
      </c>
      <c r="F44" s="61" t="n">
        <f aca="false">E22</f>
        <v>0</v>
      </c>
      <c r="G44" s="61" t="n">
        <f aca="false">F22</f>
        <v>0</v>
      </c>
      <c r="H44" s="61" t="n">
        <f aca="false">G22</f>
        <v>0</v>
      </c>
      <c r="I44" s="61" t="n">
        <f aca="false">H22</f>
        <v>0</v>
      </c>
      <c r="J44" s="61" t="n">
        <f aca="false">I22</f>
        <v>0</v>
      </c>
      <c r="K44" s="61" t="n">
        <f aca="false">J22</f>
        <v>0</v>
      </c>
      <c r="L44" s="61" t="n">
        <f aca="false">K22</f>
        <v>0</v>
      </c>
      <c r="M44" s="61" t="n">
        <f aca="false">L22</f>
        <v>0</v>
      </c>
      <c r="N44" s="61" t="n">
        <f aca="false">M22</f>
        <v>0</v>
      </c>
      <c r="O44" s="61" t="n">
        <f aca="false">N22</f>
        <v>0</v>
      </c>
      <c r="P44" s="61" t="n">
        <f aca="false">O22</f>
        <v>0</v>
      </c>
      <c r="Q44" s="61" t="n">
        <f aca="false">P22</f>
        <v>1444.79103222073</v>
      </c>
      <c r="R44" s="61" t="n">
        <f aca="false">Q22</f>
        <v>6622.30103253172</v>
      </c>
      <c r="S44" s="61" t="n">
        <f aca="false">R22</f>
        <v>6455.85623275457</v>
      </c>
      <c r="T44" s="61" t="n">
        <f aca="false">S22</f>
        <v>7317.7903051127</v>
      </c>
      <c r="U44" s="61" t="n">
        <f aca="false">T22</f>
        <v>7763.87402573953</v>
      </c>
      <c r="V44" s="61" t="n">
        <f aca="false">U22</f>
        <v>8076.52071993359</v>
      </c>
      <c r="W44" s="61" t="n">
        <f aca="false">V22</f>
        <v>8345.45340257528</v>
      </c>
      <c r="X44" s="61" t="n">
        <f aca="false">W22</f>
        <v>8636.92600930691</v>
      </c>
      <c r="Y44" s="309" t="n">
        <f aca="false">SUM(D44:X44)</f>
        <v>54663.512760175</v>
      </c>
      <c r="AA44" s="134" t="n">
        <f aca="false">AA43+1</f>
        <v>38</v>
      </c>
    </row>
    <row r="45" customFormat="false" ht="12.75" hidden="false" customHeight="false" outlineLevel="0" collapsed="false">
      <c r="A45" s="37"/>
      <c r="B45" s="39"/>
      <c r="C45" s="3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510"/>
      <c r="AA45" s="134" t="n">
        <f aca="false">AA44+1</f>
        <v>39</v>
      </c>
    </row>
    <row r="46" customFormat="false" ht="12.75" hidden="false" customHeight="false" outlineLevel="0" collapsed="false">
      <c r="A46" s="445" t="s">
        <v>971</v>
      </c>
      <c r="B46" s="446"/>
      <c r="C46" s="446"/>
      <c r="D46" s="625" t="n">
        <f aca="false">IF(D43-D44&gt;0,D43-D44,0)</f>
        <v>0</v>
      </c>
      <c r="E46" s="625" t="n">
        <f aca="false">IF(E43-E44&gt;0,E43-E44,0)</f>
        <v>0</v>
      </c>
      <c r="F46" s="625" t="n">
        <f aca="false">IF(F43-F44&gt;0,F43-F44,0)</f>
        <v>428.487754088341</v>
      </c>
      <c r="G46" s="625" t="n">
        <f aca="false">IF(G43-G44&gt;0,G43-G44,0)</f>
        <v>721.651530321026</v>
      </c>
      <c r="H46" s="625" t="n">
        <f aca="false">IF(H43-H44&gt;0,H43-H44,0)</f>
        <v>743.800998397115</v>
      </c>
      <c r="I46" s="625" t="n">
        <f aca="false">IF(I43-I44&gt;0,I43-I44,0)</f>
        <v>767.799888866141</v>
      </c>
      <c r="J46" s="625" t="n">
        <f aca="false">IF(J43-J44&gt;0,J43-J44,0)</f>
        <v>787.767727362934</v>
      </c>
      <c r="K46" s="625" t="n">
        <f aca="false">IF(K43-K44&gt;0,K43-K44,0)</f>
        <v>809.96514237402</v>
      </c>
      <c r="L46" s="625" t="n">
        <f aca="false">IF(L43-L44&gt;0,L43-L44,0)</f>
        <v>832.284362963871</v>
      </c>
      <c r="M46" s="625" t="n">
        <f aca="false">IF(M43-M44&gt;0,M43-M44,0)</f>
        <v>857.009835041086</v>
      </c>
      <c r="N46" s="625" t="n">
        <f aca="false">IF(N43-N44&gt;0,N43-N44,0)</f>
        <v>877.296677040803</v>
      </c>
      <c r="O46" s="625" t="n">
        <f aca="false">IF(O43-O44&gt;0,O43-O44,0)</f>
        <v>900.088549474844</v>
      </c>
      <c r="P46" s="625" t="n">
        <f aca="false">IF(P43-P44&gt;0,P43-P44,0)</f>
        <v>923.125669836207</v>
      </c>
      <c r="Q46" s="625" t="n">
        <f aca="false">IF(Q43-Q44&gt;0,Q43-Q44,0)</f>
        <v>0</v>
      </c>
      <c r="R46" s="625" t="n">
        <f aca="false">IF(R43-R44&gt;0,R43-R44,0)</f>
        <v>0</v>
      </c>
      <c r="S46" s="625" t="n">
        <f aca="false">IF(S43-S44&gt;0,S43-S44,0)</f>
        <v>0</v>
      </c>
      <c r="T46" s="625" t="n">
        <f aca="false">IF(T43-T44&gt;0,T43-T44,0)</f>
        <v>0</v>
      </c>
      <c r="U46" s="625" t="n">
        <f aca="false">IF(U43-U44&gt;0,U43-U44,0)</f>
        <v>0</v>
      </c>
      <c r="V46" s="625" t="n">
        <f aca="false">IF(V43-V44&gt;0,V43-V44,0)</f>
        <v>0</v>
      </c>
      <c r="W46" s="625" t="n">
        <f aca="false">IF(W43-W44&gt;0,W43-W44,0)</f>
        <v>0</v>
      </c>
      <c r="X46" s="625" t="n">
        <f aca="false">IF(X43-X44&gt;0,X43-X44,0)</f>
        <v>0</v>
      </c>
      <c r="Y46" s="626" t="n">
        <f aca="false">SUM(D46:X46)</f>
        <v>8649.27813576639</v>
      </c>
      <c r="AA46" s="134" t="n">
        <f aca="false">AA45+1</f>
        <v>40</v>
      </c>
    </row>
    <row r="47" customFormat="false" ht="12.75" hidden="false" customHeight="false" outlineLevel="0" collapsed="false">
      <c r="A47" s="308"/>
      <c r="B47" s="38"/>
      <c r="C47" s="39"/>
      <c r="D47" s="993"/>
      <c r="E47" s="993"/>
      <c r="F47" s="993"/>
      <c r="G47" s="993"/>
      <c r="H47" s="993"/>
      <c r="I47" s="993"/>
      <c r="J47" s="993"/>
      <c r="K47" s="993"/>
      <c r="L47" s="993"/>
      <c r="M47" s="993"/>
      <c r="N47" s="993"/>
      <c r="O47" s="993"/>
      <c r="P47" s="993"/>
      <c r="Q47" s="993"/>
      <c r="R47" s="993"/>
      <c r="S47" s="993"/>
      <c r="T47" s="993"/>
      <c r="U47" s="993"/>
      <c r="V47" s="993"/>
      <c r="W47" s="993"/>
      <c r="X47" s="993"/>
      <c r="Y47" s="994"/>
      <c r="AA47" s="134" t="n">
        <f aca="false">AA46+1</f>
        <v>41</v>
      </c>
    </row>
    <row r="48" customFormat="false" ht="12.75" hidden="false" customHeight="false" outlineLevel="0" collapsed="false">
      <c r="A48" s="97" t="s">
        <v>972</v>
      </c>
      <c r="B48" s="38"/>
      <c r="C48" s="39"/>
      <c r="D48" s="993"/>
      <c r="E48" s="993"/>
      <c r="F48" s="993"/>
      <c r="G48" s="993"/>
      <c r="H48" s="993"/>
      <c r="I48" s="993"/>
      <c r="J48" s="993"/>
      <c r="K48" s="993"/>
      <c r="L48" s="993"/>
      <c r="M48" s="993"/>
      <c r="N48" s="993"/>
      <c r="O48" s="993"/>
      <c r="P48" s="993"/>
      <c r="Q48" s="993"/>
      <c r="R48" s="993"/>
      <c r="S48" s="993"/>
      <c r="T48" s="993"/>
      <c r="U48" s="993"/>
      <c r="V48" s="993"/>
      <c r="W48" s="993"/>
      <c r="X48" s="993"/>
      <c r="Y48" s="994"/>
      <c r="Z48" s="39"/>
      <c r="AA48" s="134" t="n">
        <f aca="false">AA47+1</f>
        <v>42</v>
      </c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</row>
    <row r="49" customFormat="false" ht="12.75" hidden="false" customHeight="false" outlineLevel="0" collapsed="false">
      <c r="A49" s="995" t="s">
        <v>348</v>
      </c>
      <c r="B49" s="39"/>
      <c r="C49" s="39"/>
      <c r="D49" s="61" t="n">
        <f aca="false">CF!E54</f>
        <v>0</v>
      </c>
      <c r="E49" s="61" t="n">
        <f aca="false">CF!F54</f>
        <v>-13.2759999379246</v>
      </c>
      <c r="F49" s="61" t="n">
        <f aca="false">CF!G54</f>
        <v>-1837.50898141714</v>
      </c>
      <c r="G49" s="61" t="n">
        <f aca="false">CF!H54</f>
        <v>-3586.48060049747</v>
      </c>
      <c r="H49" s="61" t="n">
        <f aca="false">CF!I54</f>
        <v>-4045.25450410579</v>
      </c>
      <c r="I49" s="61" t="n">
        <f aca="false">CF!J54</f>
        <v>1886.41540495857</v>
      </c>
      <c r="J49" s="61" t="n">
        <f aca="false">CF!K54</f>
        <v>2960.61663485649</v>
      </c>
      <c r="K49" s="61" t="n">
        <f aca="false">CF!L54</f>
        <v>7998.91178825863</v>
      </c>
      <c r="L49" s="61" t="n">
        <f aca="false">CF!M54</f>
        <v>10029.6883157375</v>
      </c>
      <c r="M49" s="61" t="n">
        <f aca="false">CF!N54</f>
        <v>11335.6812123419</v>
      </c>
      <c r="N49" s="61" t="n">
        <f aca="false">CF!O54</f>
        <v>13437.6370752707</v>
      </c>
      <c r="O49" s="61" t="n">
        <f aca="false">CF!P54</f>
        <v>14828.9569169303</v>
      </c>
      <c r="P49" s="61" t="n">
        <f aca="false">CF!Q54</f>
        <v>16540.3980642707</v>
      </c>
      <c r="Q49" s="61" t="n">
        <f aca="false">CF!R54</f>
        <v>19240.2394435349</v>
      </c>
      <c r="R49" s="61" t="n">
        <f aca="false">CF!S54</f>
        <v>18612.9255761878</v>
      </c>
      <c r="S49" s="61" t="n">
        <f aca="false">CF!T54</f>
        <v>22060.6618656204</v>
      </c>
      <c r="T49" s="61" t="n">
        <f aca="false">CF!U54</f>
        <v>23844.9967481276</v>
      </c>
      <c r="U49" s="61" t="n">
        <f aca="false">CF!V54</f>
        <v>25095.5835249039</v>
      </c>
      <c r="V49" s="61" t="n">
        <f aca="false">CF!W54</f>
        <v>26171.3142554706</v>
      </c>
      <c r="W49" s="61" t="n">
        <f aca="false">CF!X54</f>
        <v>27337.2046823972</v>
      </c>
      <c r="X49" s="61" t="n">
        <f aca="false">CF!Y54</f>
        <v>9125.29216995186</v>
      </c>
      <c r="Y49" s="309" t="n">
        <f aca="false">SUM(D49:X49)</f>
        <v>241024.003592861</v>
      </c>
      <c r="AA49" s="134" t="n">
        <f aca="false">AA48+1</f>
        <v>43</v>
      </c>
    </row>
    <row r="50" customFormat="false" ht="12.75" hidden="false" customHeight="false" outlineLevel="0" collapsed="false">
      <c r="A50" s="37" t="s">
        <v>973</v>
      </c>
      <c r="B50" s="38"/>
      <c r="C50" s="39"/>
      <c r="D50" s="61" t="n">
        <f aca="false">IF(C49&lt;0,C49,0)+C50-C51</f>
        <v>0</v>
      </c>
      <c r="E50" s="61" t="n">
        <f aca="false">IF(D49&lt;0,D49,0)+D50-D51</f>
        <v>0</v>
      </c>
      <c r="F50" s="61" t="n">
        <f aca="false">IF(E49&lt;0,E49,0)+E50-E51</f>
        <v>-13.2759999379246</v>
      </c>
      <c r="G50" s="61" t="n">
        <f aca="false">IF(F49&lt;0,F49,0)+F50-F51</f>
        <v>-1850.78498135507</v>
      </c>
      <c r="H50" s="61" t="n">
        <f aca="false">IF(G49&lt;0,G49,0)+G50-G51</f>
        <v>-5437.26558185254</v>
      </c>
      <c r="I50" s="61" t="n">
        <f aca="false">IF(H49&lt;0,H49,0)+H50-H51</f>
        <v>-9482.52008595832</v>
      </c>
      <c r="J50" s="61" t="n">
        <f aca="false">IF(I49&lt;0,I49,0)+I50-I51</f>
        <v>-7596.10468099975</v>
      </c>
      <c r="K50" s="61" t="n">
        <f aca="false">IF(J49&lt;0,J49,0)+J50-J51</f>
        <v>-4635.48804614326</v>
      </c>
      <c r="L50" s="61" t="n">
        <f aca="false">IF(K49&lt;0,K49,0)+K50-K51</f>
        <v>0</v>
      </c>
      <c r="M50" s="61" t="n">
        <f aca="false">IF(L49&lt;0,L49,0)+L50-L51</f>
        <v>0</v>
      </c>
      <c r="N50" s="61" t="n">
        <f aca="false">IF(M49&lt;0,M49,0)+M50-M51</f>
        <v>0</v>
      </c>
      <c r="O50" s="61" t="n">
        <f aca="false">IF(N49&lt;0,N49,0)+N50-N51</f>
        <v>0</v>
      </c>
      <c r="P50" s="61" t="n">
        <f aca="false">IF(O49&lt;0,O49,0)+O50-O51</f>
        <v>0</v>
      </c>
      <c r="Q50" s="61" t="n">
        <f aca="false">IF(P49&lt;0,P49,0)+P50-P51</f>
        <v>0</v>
      </c>
      <c r="R50" s="61" t="n">
        <f aca="false">IF(Q49&lt;0,Q49,0)+Q50-Q51</f>
        <v>0</v>
      </c>
      <c r="S50" s="61" t="n">
        <f aca="false">IF(R49&lt;0,R49,0)+R50-R51</f>
        <v>0</v>
      </c>
      <c r="T50" s="61" t="n">
        <f aca="false">IF(S49&lt;0,S49,0)+S50-S51</f>
        <v>0</v>
      </c>
      <c r="U50" s="61" t="n">
        <f aca="false">IF(T49&lt;0,T49,0)+T50-T51</f>
        <v>0</v>
      </c>
      <c r="V50" s="61" t="n">
        <f aca="false">IF(U49&lt;0,U49,0)+U50-U51</f>
        <v>0</v>
      </c>
      <c r="W50" s="61" t="n">
        <f aca="false">IF(V49&lt;0,V49,0)+V50-V51</f>
        <v>0</v>
      </c>
      <c r="X50" s="61" t="n">
        <f aca="false">IF(W49&lt;0,W49,0)+W50-W51</f>
        <v>0</v>
      </c>
      <c r="Y50" s="309" t="n">
        <f aca="false">SUM(D50:X50)</f>
        <v>-29015.4393762469</v>
      </c>
      <c r="AA50" s="134" t="n">
        <f aca="false">AA49+1</f>
        <v>44</v>
      </c>
    </row>
    <row r="51" customFormat="false" ht="12.75" hidden="false" customHeight="false" outlineLevel="0" collapsed="false">
      <c r="A51" s="37" t="str">
        <f aca="false">CONCATENATE("Use Of Carryforward (Capped @ ",TEXT(Nol,"0%"),")")</f>
        <v>Use Of Carryforward (Capped @ 100%)</v>
      </c>
      <c r="B51" s="38"/>
      <c r="C51" s="39"/>
      <c r="D51" s="311" t="n">
        <f aca="false">IF(D49&gt;0,MAX(-D49*Nol,D50),0)</f>
        <v>0</v>
      </c>
      <c r="E51" s="311" t="n">
        <f aca="false">IF(E49&gt;0,MAX(-E49*Nol,E50),0)</f>
        <v>0</v>
      </c>
      <c r="F51" s="311" t="n">
        <f aca="false">IF(F49&gt;0,MAX(-F49*Nol,F50),0)</f>
        <v>0</v>
      </c>
      <c r="G51" s="311" t="n">
        <f aca="false">IF(G49&gt;0,MAX(-G49*Nol,G50),0)</f>
        <v>0</v>
      </c>
      <c r="H51" s="311" t="n">
        <f aca="false">IF(H49&gt;0,MAX(-H49*Nol,H50),0)</f>
        <v>0</v>
      </c>
      <c r="I51" s="311" t="n">
        <f aca="false">IF(I49&gt;0,MAX(-I49*Nol,I50),0)</f>
        <v>-1886.41540495857</v>
      </c>
      <c r="J51" s="311" t="n">
        <f aca="false">IF(J49&gt;0,MAX(-J49*Nol,J50),0)</f>
        <v>-2960.61663485649</v>
      </c>
      <c r="K51" s="311" t="n">
        <f aca="false">IF(K49&gt;0,MAX(-K49*Nol,K50),0)</f>
        <v>-4635.48804614326</v>
      </c>
      <c r="L51" s="311" t="n">
        <f aca="false">IF(L49&gt;0,MAX(-L49*Nol,L50),0)</f>
        <v>0</v>
      </c>
      <c r="M51" s="311" t="n">
        <f aca="false">IF(M49&gt;0,MAX(-M49*Nol,M50),0)</f>
        <v>0</v>
      </c>
      <c r="N51" s="311" t="n">
        <f aca="false">IF(N49&gt;0,MAX(-N49*Nol,N50),0)</f>
        <v>0</v>
      </c>
      <c r="O51" s="311" t="n">
        <f aca="false">IF(O49&gt;0,MAX(-O49*Nol,O50),0)</f>
        <v>0</v>
      </c>
      <c r="P51" s="311" t="n">
        <f aca="false">IF(P49&gt;0,MAX(-P49*Nol,P50),0)</f>
        <v>0</v>
      </c>
      <c r="Q51" s="311" t="n">
        <f aca="false">IF(Q49&gt;0,MAX(-Q49*Nol,Q50),0)</f>
        <v>0</v>
      </c>
      <c r="R51" s="311" t="n">
        <f aca="false">IF(R49&gt;0,MAX(-R49*Nol,R50),0)</f>
        <v>0</v>
      </c>
      <c r="S51" s="311" t="n">
        <f aca="false">IF(S49&gt;0,MAX(-S49*Nol,S50),0)</f>
        <v>0</v>
      </c>
      <c r="T51" s="311" t="n">
        <f aca="false">IF(T49&gt;0,MAX(-T49*Nol,T50),0)</f>
        <v>0</v>
      </c>
      <c r="U51" s="311" t="n">
        <f aca="false">IF(U49&gt;0,MAX(-U49*Nol,U50),0)</f>
        <v>0</v>
      </c>
      <c r="V51" s="311" t="n">
        <f aca="false">IF(V49&gt;0,MAX(-V49*Nol,V50),0)</f>
        <v>0</v>
      </c>
      <c r="W51" s="311" t="n">
        <f aca="false">IF(W49&gt;0,MAX(-W49*Nol,W50),0)</f>
        <v>0</v>
      </c>
      <c r="X51" s="311" t="n">
        <f aca="false">IF(X49&gt;0,MAX(-X49*Nol,X50),0)</f>
        <v>0</v>
      </c>
      <c r="Y51" s="309" t="n">
        <f aca="false">SUM(D51:X51)</f>
        <v>-9482.52008595832</v>
      </c>
      <c r="AA51" s="134" t="n">
        <f aca="false">AA50+1</f>
        <v>45</v>
      </c>
    </row>
    <row r="52" customFormat="false" ht="12.75" hidden="false" customHeight="false" outlineLevel="0" collapsed="false">
      <c r="A52" s="37" t="s">
        <v>974</v>
      </c>
      <c r="B52" s="38"/>
      <c r="C52" s="39"/>
      <c r="D52" s="61" t="n">
        <f aca="false">IF(D49&gt;0,D49+D51,D49)</f>
        <v>0</v>
      </c>
      <c r="E52" s="61" t="n">
        <f aca="false">IF(E49&gt;0,E49+E51,E49)</f>
        <v>-13.2759999379246</v>
      </c>
      <c r="F52" s="61" t="n">
        <f aca="false">IF(F49&gt;0,F49+F51,F49)</f>
        <v>-1837.50898141714</v>
      </c>
      <c r="G52" s="61" t="n">
        <f aca="false">IF(G49&gt;0,G49+G51,G49)</f>
        <v>-3586.48060049747</v>
      </c>
      <c r="H52" s="61" t="n">
        <f aca="false">IF(H49&gt;0,H49+H51,H49)</f>
        <v>-4045.25450410579</v>
      </c>
      <c r="I52" s="61" t="n">
        <f aca="false">IF(I49&gt;0,I49+I51,I49)</f>
        <v>0</v>
      </c>
      <c r="J52" s="61" t="n">
        <f aca="false">IF(J49&gt;0,J49+J51,J49)</f>
        <v>0</v>
      </c>
      <c r="K52" s="61" t="n">
        <f aca="false">IF(K49&gt;0,K49+K51,K49)</f>
        <v>3363.42374211537</v>
      </c>
      <c r="L52" s="61" t="n">
        <f aca="false">IF(L49&gt;0,L49+L51,L49)</f>
        <v>10029.6883157375</v>
      </c>
      <c r="M52" s="61" t="n">
        <f aca="false">IF(M49&gt;0,M49+M51,M49)</f>
        <v>11335.6812123419</v>
      </c>
      <c r="N52" s="61" t="n">
        <f aca="false">IF(N49&gt;0,N49+N51,N49)</f>
        <v>13437.6370752707</v>
      </c>
      <c r="O52" s="61" t="n">
        <f aca="false">IF(O49&gt;0,O49+O51,O49)</f>
        <v>14828.9569169303</v>
      </c>
      <c r="P52" s="61" t="n">
        <f aca="false">IF(P49&gt;0,P49+P51,P49)</f>
        <v>16540.3980642707</v>
      </c>
      <c r="Q52" s="61" t="n">
        <f aca="false">IF(Q49&gt;0,Q49+Q51,Q49)</f>
        <v>19240.2394435349</v>
      </c>
      <c r="R52" s="61" t="n">
        <f aca="false">IF(R49&gt;0,R49+R51,R49)</f>
        <v>18612.9255761878</v>
      </c>
      <c r="S52" s="61" t="n">
        <f aca="false">IF(S49&gt;0,S49+S51,S49)</f>
        <v>22060.6618656204</v>
      </c>
      <c r="T52" s="61" t="n">
        <f aca="false">IF(T49&gt;0,T49+T51,T49)</f>
        <v>23844.9967481276</v>
      </c>
      <c r="U52" s="61" t="n">
        <f aca="false">IF(U49&gt;0,U49+U51,U49)</f>
        <v>25095.5835249039</v>
      </c>
      <c r="V52" s="61" t="n">
        <f aca="false">IF(V49&gt;0,V49+V51,V49)</f>
        <v>26171.3142554706</v>
      </c>
      <c r="W52" s="61" t="n">
        <f aca="false">IF(W49&gt;0,W49+W51,W49)</f>
        <v>27337.2046823972</v>
      </c>
      <c r="X52" s="61" t="n">
        <f aca="false">IF(X49&gt;0,X49+X51,X49)</f>
        <v>9125.29216995186</v>
      </c>
      <c r="Y52" s="309" t="n">
        <f aca="false">SUM(D52:X52)</f>
        <v>231541.483506902</v>
      </c>
      <c r="AA52" s="134" t="n">
        <f aca="false">AA51+1</f>
        <v>46</v>
      </c>
    </row>
    <row r="53" customFormat="false" ht="12.75" hidden="false" customHeight="false" outlineLevel="0" collapsed="false">
      <c r="A53" s="37" t="s">
        <v>955</v>
      </c>
      <c r="B53" s="38"/>
      <c r="C53" s="39"/>
      <c r="D53" s="627" t="n">
        <f aca="false">Corp_Tax</f>
        <v>0.25</v>
      </c>
      <c r="E53" s="627" t="n">
        <f aca="false">Corp_Tax</f>
        <v>0.25</v>
      </c>
      <c r="F53" s="627" t="n">
        <f aca="false">Corp_Tax</f>
        <v>0.25</v>
      </c>
      <c r="G53" s="627" t="n">
        <f aca="false">Corp_Tax</f>
        <v>0.25</v>
      </c>
      <c r="H53" s="627" t="n">
        <f aca="false">Corp_Tax</f>
        <v>0.25</v>
      </c>
      <c r="I53" s="627" t="n">
        <f aca="false">Corp_Tax</f>
        <v>0.25</v>
      </c>
      <c r="J53" s="627" t="n">
        <f aca="false">Corp_Tax</f>
        <v>0.25</v>
      </c>
      <c r="K53" s="627" t="n">
        <f aca="false">Corp_Tax</f>
        <v>0.25</v>
      </c>
      <c r="L53" s="627" t="n">
        <f aca="false">Corp_Tax</f>
        <v>0.25</v>
      </c>
      <c r="M53" s="627" t="n">
        <f aca="false">Corp_Tax</f>
        <v>0.25</v>
      </c>
      <c r="N53" s="627" t="n">
        <f aca="false">Corp_Tax</f>
        <v>0.25</v>
      </c>
      <c r="O53" s="627" t="n">
        <f aca="false">Corp_Tax</f>
        <v>0.25</v>
      </c>
      <c r="P53" s="627" t="n">
        <f aca="false">Corp_Tax</f>
        <v>0.25</v>
      </c>
      <c r="Q53" s="627" t="n">
        <f aca="false">Corp_Tax</f>
        <v>0.25</v>
      </c>
      <c r="R53" s="627" t="n">
        <f aca="false">Corp_Tax</f>
        <v>0.25</v>
      </c>
      <c r="S53" s="627" t="n">
        <f aca="false">Corp_Tax</f>
        <v>0.25</v>
      </c>
      <c r="T53" s="627" t="n">
        <f aca="false">Corp_Tax</f>
        <v>0.25</v>
      </c>
      <c r="U53" s="627" t="n">
        <f aca="false">Corp_Tax</f>
        <v>0.25</v>
      </c>
      <c r="V53" s="627" t="n">
        <f aca="false">Corp_Tax</f>
        <v>0.25</v>
      </c>
      <c r="W53" s="627" t="n">
        <f aca="false">Corp_Tax</f>
        <v>0.25</v>
      </c>
      <c r="X53" s="627" t="n">
        <f aca="false">Corp_Tax</f>
        <v>0.25</v>
      </c>
      <c r="Y53" s="510"/>
      <c r="AA53" s="134" t="n">
        <f aca="false">AA52+1</f>
        <v>47</v>
      </c>
    </row>
    <row r="54" customFormat="false" ht="12.75" hidden="false" customHeight="false" outlineLevel="0" collapsed="false">
      <c r="A54" s="996" t="s">
        <v>975</v>
      </c>
      <c r="B54" s="997"/>
      <c r="C54" s="446"/>
      <c r="D54" s="998" t="n">
        <f aca="false">MAX(0,D52*D53)</f>
        <v>0</v>
      </c>
      <c r="E54" s="998" t="n">
        <f aca="false">MAX(0,E52*E53)</f>
        <v>0</v>
      </c>
      <c r="F54" s="998" t="n">
        <f aca="false">MAX(0,F52*F53)</f>
        <v>0</v>
      </c>
      <c r="G54" s="998" t="n">
        <f aca="false">MAX(0,G52*G53)</f>
        <v>0</v>
      </c>
      <c r="H54" s="998" t="n">
        <f aca="false">MAX(0,H52*H53)</f>
        <v>0</v>
      </c>
      <c r="I54" s="998" t="n">
        <f aca="false">MAX(0,I52*I53)</f>
        <v>0</v>
      </c>
      <c r="J54" s="998" t="n">
        <f aca="false">MAX(0,J52*J53)</f>
        <v>0</v>
      </c>
      <c r="K54" s="998" t="n">
        <f aca="false">MAX(0,K52*K53)</f>
        <v>840.855935528842</v>
      </c>
      <c r="L54" s="998" t="n">
        <f aca="false">MAX(0,L52*L53)</f>
        <v>2507.42207893437</v>
      </c>
      <c r="M54" s="998" t="n">
        <f aca="false">MAX(0,M52*M53)</f>
        <v>2833.92030308547</v>
      </c>
      <c r="N54" s="998" t="n">
        <f aca="false">MAX(0,N52*N53)</f>
        <v>3359.40926881768</v>
      </c>
      <c r="O54" s="998" t="n">
        <f aca="false">MAX(0,O52*O53)</f>
        <v>3707.23922923257</v>
      </c>
      <c r="P54" s="998" t="n">
        <f aca="false">MAX(0,P52*P53)</f>
        <v>4135.09951606768</v>
      </c>
      <c r="Q54" s="998" t="n">
        <f aca="false">MAX(0,Q52*Q53)</f>
        <v>4810.05986088372</v>
      </c>
      <c r="R54" s="998" t="n">
        <f aca="false">MAX(0,R52*R53)</f>
        <v>4653.23139404696</v>
      </c>
      <c r="S54" s="998" t="n">
        <f aca="false">MAX(0,S52*S53)</f>
        <v>5515.16546640509</v>
      </c>
      <c r="T54" s="998" t="n">
        <f aca="false">MAX(0,T52*T53)</f>
        <v>5961.24918703191</v>
      </c>
      <c r="U54" s="998" t="n">
        <f aca="false">MAX(0,U52*U53)</f>
        <v>6273.89588122597</v>
      </c>
      <c r="V54" s="998" t="n">
        <f aca="false">MAX(0,V52*V53)</f>
        <v>6542.82856386766</v>
      </c>
      <c r="W54" s="998" t="n">
        <f aca="false">MAX(0,W52*W53)</f>
        <v>6834.3011705993</v>
      </c>
      <c r="X54" s="998" t="n">
        <f aca="false">MAX(0,X52*X53)</f>
        <v>2281.32304248797</v>
      </c>
      <c r="Y54" s="999" t="n">
        <f aca="false">SUM(D54:X54)</f>
        <v>60256.0008982152</v>
      </c>
      <c r="AA54" s="134" t="n">
        <f aca="false">AA53+1</f>
        <v>48</v>
      </c>
    </row>
    <row r="55" customFormat="false" ht="12.75" hidden="false" customHeight="false" outlineLevel="0" collapsed="false">
      <c r="A55" s="308"/>
      <c r="B55" s="38"/>
      <c r="C55" s="39"/>
      <c r="D55" s="1000"/>
      <c r="E55" s="1000"/>
      <c r="F55" s="1000"/>
      <c r="G55" s="1000"/>
      <c r="H55" s="1000"/>
      <c r="I55" s="1000"/>
      <c r="J55" s="1000"/>
      <c r="K55" s="1000"/>
      <c r="L55" s="1000"/>
      <c r="M55" s="1000"/>
      <c r="N55" s="1000"/>
      <c r="O55" s="1000"/>
      <c r="P55" s="1000"/>
      <c r="Q55" s="1000"/>
      <c r="R55" s="1000"/>
      <c r="S55" s="1000"/>
      <c r="T55" s="1000"/>
      <c r="U55" s="1000"/>
      <c r="V55" s="1000"/>
      <c r="W55" s="1000"/>
      <c r="X55" s="1000"/>
      <c r="Y55" s="1001"/>
      <c r="AA55" s="134" t="n">
        <f aca="false">AA54+1</f>
        <v>49</v>
      </c>
    </row>
    <row r="56" customFormat="false" ht="12.75" hidden="false" customHeight="false" outlineLevel="0" collapsed="false">
      <c r="A56" s="97" t="s">
        <v>976</v>
      </c>
      <c r="B56" s="38"/>
      <c r="C56" s="39"/>
      <c r="D56" s="1000"/>
      <c r="E56" s="1000"/>
      <c r="F56" s="1000"/>
      <c r="G56" s="1000"/>
      <c r="H56" s="1000"/>
      <c r="I56" s="1000"/>
      <c r="J56" s="1000"/>
      <c r="K56" s="1000"/>
      <c r="L56" s="1000"/>
      <c r="M56" s="1000"/>
      <c r="N56" s="1000"/>
      <c r="O56" s="1000"/>
      <c r="P56" s="1000"/>
      <c r="Q56" s="1000"/>
      <c r="R56" s="1000"/>
      <c r="S56" s="1000"/>
      <c r="T56" s="1000"/>
      <c r="U56" s="1000"/>
      <c r="V56" s="1000"/>
      <c r="W56" s="1000"/>
      <c r="X56" s="1000"/>
      <c r="Y56" s="1001"/>
      <c r="Z56" s="39"/>
      <c r="AA56" s="134" t="n">
        <f aca="false">AA55+1</f>
        <v>50</v>
      </c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39"/>
      <c r="FT56" s="39"/>
      <c r="FU56" s="39"/>
      <c r="FV56" s="39"/>
      <c r="FW56" s="39"/>
      <c r="FX56" s="39"/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  <c r="HW56" s="39"/>
      <c r="HX56" s="39"/>
      <c r="HY56" s="39"/>
      <c r="HZ56" s="39"/>
      <c r="IA56" s="39"/>
      <c r="IB56" s="39"/>
      <c r="IC56" s="39"/>
      <c r="ID56" s="39"/>
      <c r="IE56" s="39"/>
      <c r="IF56" s="39"/>
      <c r="IG56" s="39"/>
      <c r="IH56" s="39"/>
      <c r="II56" s="39"/>
      <c r="IJ56" s="39"/>
      <c r="IK56" s="39"/>
      <c r="IL56" s="39"/>
      <c r="IM56" s="39"/>
      <c r="IN56" s="39"/>
      <c r="IO56" s="39"/>
      <c r="IP56" s="39"/>
      <c r="IQ56" s="39"/>
      <c r="IR56" s="39"/>
      <c r="IS56" s="39"/>
      <c r="IT56" s="39"/>
      <c r="IU56" s="39"/>
      <c r="IV56" s="39"/>
      <c r="IW56" s="39"/>
    </row>
    <row r="57" customFormat="false" ht="12.75" hidden="false" customHeight="false" outlineLevel="0" collapsed="false">
      <c r="A57" s="37" t="s">
        <v>977</v>
      </c>
      <c r="B57" s="39"/>
      <c r="C57" s="39"/>
      <c r="D57" s="99" t="n">
        <v>0</v>
      </c>
      <c r="E57" s="61" t="n">
        <f aca="false">D60</f>
        <v>0</v>
      </c>
      <c r="F57" s="61" t="n">
        <f aca="false">E60</f>
        <v>0</v>
      </c>
      <c r="G57" s="61" t="n">
        <f aca="false">F60</f>
        <v>0</v>
      </c>
      <c r="H57" s="61" t="n">
        <f aca="false">G60</f>
        <v>0</v>
      </c>
      <c r="I57" s="61" t="n">
        <f aca="false">H60</f>
        <v>0</v>
      </c>
      <c r="J57" s="61" t="n">
        <f aca="false">I60</f>
        <v>0</v>
      </c>
      <c r="K57" s="61" t="n">
        <f aca="false">J60</f>
        <v>0</v>
      </c>
      <c r="L57" s="61" t="n">
        <f aca="false">K60</f>
        <v>-840.855935528842</v>
      </c>
      <c r="M57" s="61" t="n">
        <f aca="false">L60</f>
        <v>-3348.27801446321</v>
      </c>
      <c r="N57" s="61" t="n">
        <f aca="false">M60</f>
        <v>-6182.19831754868</v>
      </c>
      <c r="O57" s="61" t="n">
        <f aca="false">N60</f>
        <v>-9541.60758636636</v>
      </c>
      <c r="P57" s="61" t="n">
        <f aca="false">O60</f>
        <v>-13248.8468155989</v>
      </c>
      <c r="Q57" s="61" t="n">
        <f aca="false">P60</f>
        <v>-15939.1552994459</v>
      </c>
      <c r="R57" s="61" t="n">
        <f aca="false">Q60</f>
        <v>-14126.9141277979</v>
      </c>
      <c r="S57" s="61" t="n">
        <f aca="false">R60</f>
        <v>-12324.2892890903</v>
      </c>
      <c r="T57" s="61" t="n">
        <f aca="false">S60</f>
        <v>-10521.6644503827</v>
      </c>
      <c r="U57" s="61" t="n">
        <f aca="false">T60</f>
        <v>-8719.03961167505</v>
      </c>
      <c r="V57" s="61" t="n">
        <f aca="false">U60</f>
        <v>-6916.41477296744</v>
      </c>
      <c r="W57" s="61" t="n">
        <f aca="false">V60</f>
        <v>-5113.78993425983</v>
      </c>
      <c r="X57" s="61" t="n">
        <f aca="false">W60</f>
        <v>-3311.16509555221</v>
      </c>
      <c r="Y57" s="309" t="n">
        <f aca="false">D57</f>
        <v>0</v>
      </c>
      <c r="Z57" s="39"/>
      <c r="AA57" s="134" t="n">
        <f aca="false">AA56+1</f>
        <v>51</v>
      </c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</row>
    <row r="58" customFormat="false" ht="12.75" hidden="false" customHeight="false" outlineLevel="0" collapsed="false">
      <c r="A58" s="37" t="s">
        <v>978</v>
      </c>
      <c r="B58" s="38"/>
      <c r="C58" s="39"/>
      <c r="D58" s="61" t="n">
        <f aca="false">D22</f>
        <v>0</v>
      </c>
      <c r="E58" s="61" t="n">
        <f aca="false">E22</f>
        <v>0</v>
      </c>
      <c r="F58" s="61" t="n">
        <f aca="false">F22</f>
        <v>0</v>
      </c>
      <c r="G58" s="61" t="n">
        <f aca="false">G22</f>
        <v>0</v>
      </c>
      <c r="H58" s="61" t="n">
        <f aca="false">H22</f>
        <v>0</v>
      </c>
      <c r="I58" s="61" t="n">
        <f aca="false">I22</f>
        <v>0</v>
      </c>
      <c r="J58" s="61" t="n">
        <f aca="false">J22</f>
        <v>0</v>
      </c>
      <c r="K58" s="61" t="n">
        <f aca="false">K22</f>
        <v>0</v>
      </c>
      <c r="L58" s="61" t="n">
        <f aca="false">L22</f>
        <v>0</v>
      </c>
      <c r="M58" s="61" t="n">
        <f aca="false">M22</f>
        <v>0</v>
      </c>
      <c r="N58" s="61" t="n">
        <f aca="false">N22</f>
        <v>0</v>
      </c>
      <c r="O58" s="61" t="n">
        <f aca="false">O22</f>
        <v>0</v>
      </c>
      <c r="P58" s="61" t="n">
        <f aca="false">P22</f>
        <v>1444.79103222073</v>
      </c>
      <c r="Q58" s="61" t="n">
        <f aca="false">Q22</f>
        <v>6622.30103253172</v>
      </c>
      <c r="R58" s="61" t="n">
        <f aca="false">R22</f>
        <v>6455.85623275457</v>
      </c>
      <c r="S58" s="61" t="n">
        <f aca="false">S22</f>
        <v>7317.7903051127</v>
      </c>
      <c r="T58" s="61" t="n">
        <f aca="false">T22</f>
        <v>7763.87402573953</v>
      </c>
      <c r="U58" s="61" t="n">
        <f aca="false">U22</f>
        <v>8076.52071993359</v>
      </c>
      <c r="V58" s="61" t="n">
        <f aca="false">V22</f>
        <v>8345.45340257528</v>
      </c>
      <c r="W58" s="61" t="n">
        <f aca="false">W22</f>
        <v>8636.92600930691</v>
      </c>
      <c r="X58" s="61" t="n">
        <f aca="false">X22</f>
        <v>2882.19798872384</v>
      </c>
      <c r="Y58" s="309" t="n">
        <f aca="false">SUM(D58:X58)</f>
        <v>57545.7107488989</v>
      </c>
      <c r="AA58" s="134" t="n">
        <f aca="false">AA57+1</f>
        <v>52</v>
      </c>
    </row>
    <row r="59" customFormat="false" ht="12.75" hidden="false" customHeight="false" outlineLevel="0" collapsed="false">
      <c r="A59" s="37" t="s">
        <v>979</v>
      </c>
      <c r="B59" s="38"/>
      <c r="C59" s="39"/>
      <c r="D59" s="311" t="n">
        <f aca="false">D54</f>
        <v>0</v>
      </c>
      <c r="E59" s="311" t="n">
        <f aca="false">E54</f>
        <v>0</v>
      </c>
      <c r="F59" s="311" t="n">
        <f aca="false">F54</f>
        <v>0</v>
      </c>
      <c r="G59" s="311" t="n">
        <f aca="false">G54</f>
        <v>0</v>
      </c>
      <c r="H59" s="311" t="n">
        <f aca="false">H54</f>
        <v>0</v>
      </c>
      <c r="I59" s="311" t="n">
        <f aca="false">I54</f>
        <v>0</v>
      </c>
      <c r="J59" s="311" t="n">
        <f aca="false">J54</f>
        <v>0</v>
      </c>
      <c r="K59" s="311" t="n">
        <f aca="false">K54</f>
        <v>840.855935528842</v>
      </c>
      <c r="L59" s="311" t="n">
        <f aca="false">L54</f>
        <v>2507.42207893437</v>
      </c>
      <c r="M59" s="311" t="n">
        <f aca="false">M54</f>
        <v>2833.92030308547</v>
      </c>
      <c r="N59" s="311" t="n">
        <f aca="false">N54</f>
        <v>3359.40926881768</v>
      </c>
      <c r="O59" s="311" t="n">
        <f aca="false">O54</f>
        <v>3707.23922923257</v>
      </c>
      <c r="P59" s="311" t="n">
        <f aca="false">P54</f>
        <v>4135.09951606768</v>
      </c>
      <c r="Q59" s="311" t="n">
        <f aca="false">Q54</f>
        <v>4810.05986088372</v>
      </c>
      <c r="R59" s="311" t="n">
        <f aca="false">R54</f>
        <v>4653.23139404696</v>
      </c>
      <c r="S59" s="311" t="n">
        <f aca="false">S54</f>
        <v>5515.16546640509</v>
      </c>
      <c r="T59" s="311" t="n">
        <f aca="false">T54</f>
        <v>5961.24918703191</v>
      </c>
      <c r="U59" s="311" t="n">
        <f aca="false">U54</f>
        <v>6273.89588122597</v>
      </c>
      <c r="V59" s="311" t="n">
        <f aca="false">V54</f>
        <v>6542.82856386766</v>
      </c>
      <c r="W59" s="311" t="n">
        <f aca="false">W54</f>
        <v>6834.3011705993</v>
      </c>
      <c r="X59" s="311" t="n">
        <f aca="false">X54</f>
        <v>2281.32304248797</v>
      </c>
      <c r="Y59" s="313" t="n">
        <f aca="false">SUM(D59:X59)</f>
        <v>60256.0008982152</v>
      </c>
      <c r="AA59" s="134" t="n">
        <f aca="false">AA58+1</f>
        <v>53</v>
      </c>
    </row>
    <row r="60" customFormat="false" ht="13.5" hidden="false" customHeight="false" outlineLevel="0" collapsed="false">
      <c r="A60" s="49" t="s">
        <v>980</v>
      </c>
      <c r="B60" s="22"/>
      <c r="C60" s="22"/>
      <c r="D60" s="449" t="n">
        <f aca="false">SUM(D57,D58,-D59)</f>
        <v>0</v>
      </c>
      <c r="E60" s="449" t="n">
        <f aca="false">SUM(E57,E58,-E59)</f>
        <v>0</v>
      </c>
      <c r="F60" s="449" t="n">
        <f aca="false">SUM(F57,F58,-F59)</f>
        <v>0</v>
      </c>
      <c r="G60" s="449" t="n">
        <f aca="false">SUM(G57,G58,-G59)</f>
        <v>0</v>
      </c>
      <c r="H60" s="449" t="n">
        <f aca="false">SUM(H57,H58,-H59)</f>
        <v>0</v>
      </c>
      <c r="I60" s="449" t="n">
        <f aca="false">SUM(I57,I58,-I59)</f>
        <v>0</v>
      </c>
      <c r="J60" s="449" t="n">
        <f aca="false">SUM(J57,J58,-J59)</f>
        <v>0</v>
      </c>
      <c r="K60" s="449" t="n">
        <f aca="false">SUM(K57,K58,-K59)</f>
        <v>-840.855935528842</v>
      </c>
      <c r="L60" s="449" t="n">
        <f aca="false">SUM(L57,L58,-L59)</f>
        <v>-3348.27801446321</v>
      </c>
      <c r="M60" s="449" t="n">
        <f aca="false">SUM(M57,M58,-M59)</f>
        <v>-6182.19831754868</v>
      </c>
      <c r="N60" s="449" t="n">
        <f aca="false">SUM(N57,N58,-N59)</f>
        <v>-9541.60758636636</v>
      </c>
      <c r="O60" s="449" t="n">
        <f aca="false">SUM(O57,O58,-O59)</f>
        <v>-13248.8468155989</v>
      </c>
      <c r="P60" s="449" t="n">
        <f aca="false">SUM(P57,P58,-P59)</f>
        <v>-15939.1552994459</v>
      </c>
      <c r="Q60" s="449" t="n">
        <f aca="false">SUM(Q57,Q58,-Q59)</f>
        <v>-14126.9141277979</v>
      </c>
      <c r="R60" s="449" t="n">
        <f aca="false">SUM(R57,R58,-R59)</f>
        <v>-12324.2892890903</v>
      </c>
      <c r="S60" s="449" t="n">
        <f aca="false">SUM(S57,S58,-S59)</f>
        <v>-10521.6644503827</v>
      </c>
      <c r="T60" s="449" t="n">
        <f aca="false">SUM(T57,T58,-T59)</f>
        <v>-8719.03961167505</v>
      </c>
      <c r="U60" s="449" t="n">
        <f aca="false">SUM(U57,U58,-U59)</f>
        <v>-6916.41477296744</v>
      </c>
      <c r="V60" s="449" t="n">
        <f aca="false">SUM(V57,V58,-V59)</f>
        <v>-5113.78993425983</v>
      </c>
      <c r="W60" s="449" t="n">
        <f aca="false">SUM(W57,W58,-W59)</f>
        <v>-3311.16509555221</v>
      </c>
      <c r="X60" s="449" t="n">
        <f aca="false">SUM(X57,X58,-X59)</f>
        <v>-2710.29014931634</v>
      </c>
      <c r="Y60" s="450" t="n">
        <f aca="false">SUM(Y57,Y58,-Y59)</f>
        <v>-2710.29014931634</v>
      </c>
      <c r="AA60" s="134" t="n">
        <f aca="false">AA59+1</f>
        <v>54</v>
      </c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rowBreaks count="1" manualBreakCount="1">
    <brk id="60" man="true" max="16383" min="0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.7"/>
    <col collapsed="false" customWidth="true" hidden="false" outlineLevel="0" max="2" min="2" style="1" width="30.7"/>
    <col collapsed="false" customWidth="true" hidden="false" outlineLevel="0" max="3" min="3" style="1" width="1.7"/>
    <col collapsed="false" customWidth="true" hidden="false" outlineLevel="0" max="4" min="4" style="1" width="10.71"/>
    <col collapsed="false" customWidth="true" hidden="false" outlineLevel="0" max="5" min="5" style="1" width="1.7"/>
    <col collapsed="false" customWidth="true" hidden="false" outlineLevel="0" max="6" min="6" style="1" width="10.71"/>
    <col collapsed="false" customWidth="true" hidden="false" outlineLevel="0" max="7" min="7" style="1" width="1.7"/>
    <col collapsed="false" customWidth="true" hidden="false" outlineLevel="0" max="29" min="8" style="1" width="10.71"/>
    <col collapsed="false" customWidth="false" hidden="false" outlineLevel="0" max="257" min="30" style="1" width="9.14"/>
  </cols>
  <sheetData>
    <row r="1" customFormat="false" ht="15.75" hidden="false" customHeight="false" outlineLevel="0" collapsed="false">
      <c r="A1" s="1002" t="str">
        <f aca="false">Assm!A1</f>
        <v>GAS ORIENTE BOLIVIANO S.A. (GASBOL) *** DRAFT COPY ***</v>
      </c>
      <c r="B1" s="414"/>
      <c r="C1" s="415"/>
      <c r="D1" s="414"/>
      <c r="E1" s="415"/>
      <c r="F1" s="15"/>
      <c r="G1" s="415"/>
      <c r="H1" s="415"/>
      <c r="I1" s="415"/>
      <c r="J1" s="416"/>
      <c r="K1" s="415"/>
      <c r="L1" s="415"/>
      <c r="M1" s="417"/>
      <c r="N1" s="415"/>
      <c r="O1" s="415"/>
      <c r="P1" s="415"/>
      <c r="Q1" s="415"/>
      <c r="R1" s="415"/>
      <c r="S1" s="415"/>
      <c r="T1" s="415"/>
      <c r="U1" s="418"/>
      <c r="V1" s="415"/>
      <c r="W1" s="415"/>
      <c r="X1" s="415"/>
      <c r="Y1" s="415"/>
      <c r="Z1" s="415"/>
      <c r="AA1" s="415"/>
      <c r="AB1" s="415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1002" t="str">
        <f aca="false">Assm!A2</f>
        <v>369 KM PIPELINE SPUR FOR CUIABA POWER PLANT (BOLIVIA)</v>
      </c>
      <c r="B2" s="414"/>
      <c r="C2" s="415"/>
      <c r="D2" s="414"/>
      <c r="E2" s="415"/>
      <c r="F2" s="15"/>
      <c r="G2" s="415"/>
      <c r="H2" s="415"/>
      <c r="I2" s="415"/>
      <c r="J2" s="416"/>
      <c r="K2" s="415"/>
      <c r="L2" s="415"/>
      <c r="M2" s="417"/>
      <c r="N2" s="415"/>
      <c r="O2" s="415"/>
      <c r="P2" s="415"/>
      <c r="Q2" s="415"/>
      <c r="R2" s="415"/>
      <c r="S2" s="415"/>
      <c r="T2" s="415"/>
      <c r="U2" s="418"/>
      <c r="V2" s="415"/>
      <c r="W2" s="415"/>
      <c r="X2" s="415"/>
      <c r="Y2" s="415"/>
      <c r="Z2" s="415"/>
      <c r="AA2" s="415"/>
      <c r="AB2" s="415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1003" t="str">
        <f aca="false">Assm!A3</f>
        <v>ENRON INTERNATIONAL</v>
      </c>
      <c r="B3" s="420"/>
      <c r="C3" s="415"/>
      <c r="D3" s="420"/>
      <c r="E3" s="415"/>
      <c r="F3" s="15"/>
      <c r="G3" s="415"/>
      <c r="H3" s="421"/>
      <c r="I3" s="415"/>
      <c r="J3" s="416"/>
      <c r="K3" s="415"/>
      <c r="L3" s="415"/>
      <c r="M3" s="417"/>
      <c r="N3" s="415"/>
      <c r="O3" s="415"/>
      <c r="P3" s="415"/>
      <c r="Q3" s="415"/>
      <c r="R3" s="415"/>
      <c r="S3" s="415"/>
      <c r="T3" s="415"/>
      <c r="U3" s="415"/>
      <c r="V3" s="422"/>
      <c r="W3" s="422"/>
      <c r="X3" s="415"/>
      <c r="Y3" s="415"/>
      <c r="Z3" s="415"/>
      <c r="AA3" s="415"/>
      <c r="AB3" s="415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1004" t="s">
        <v>981</v>
      </c>
      <c r="B4" s="21"/>
      <c r="C4" s="415"/>
      <c r="D4" s="1005"/>
      <c r="E4" s="415"/>
      <c r="F4" s="15"/>
      <c r="G4" s="415"/>
      <c r="H4" s="421"/>
      <c r="I4" s="415"/>
      <c r="J4" s="416"/>
      <c r="K4" s="415"/>
      <c r="L4" s="415"/>
      <c r="M4" s="417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1006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609</v>
      </c>
      <c r="B6" s="26"/>
      <c r="C6" s="26"/>
      <c r="D6" s="26"/>
      <c r="E6" s="26"/>
      <c r="F6" s="26"/>
      <c r="G6" s="26"/>
      <c r="H6" s="287" t="n">
        <f aca="false">CF!E6</f>
        <v>1</v>
      </c>
      <c r="I6" s="287" t="n">
        <f aca="false">CF!F6</f>
        <v>2</v>
      </c>
      <c r="J6" s="287" t="n">
        <f aca="false">CF!G6</f>
        <v>3</v>
      </c>
      <c r="K6" s="287" t="n">
        <f aca="false">CF!H6</f>
        <v>4</v>
      </c>
      <c r="L6" s="287" t="n">
        <f aca="false">CF!I6</f>
        <v>5</v>
      </c>
      <c r="M6" s="287" t="n">
        <f aca="false">CF!J6</f>
        <v>6</v>
      </c>
      <c r="N6" s="287" t="n">
        <f aca="false">CF!K6</f>
        <v>7</v>
      </c>
      <c r="O6" s="287" t="n">
        <f aca="false">CF!L6</f>
        <v>8</v>
      </c>
      <c r="P6" s="287" t="n">
        <f aca="false">CF!M6</f>
        <v>9</v>
      </c>
      <c r="Q6" s="287" t="n">
        <f aca="false">CF!N6</f>
        <v>10</v>
      </c>
      <c r="R6" s="287" t="n">
        <f aca="false">CF!O6</f>
        <v>11</v>
      </c>
      <c r="S6" s="287" t="n">
        <f aca="false">CF!P6</f>
        <v>12</v>
      </c>
      <c r="T6" s="287" t="n">
        <f aca="false">CF!Q6</f>
        <v>13</v>
      </c>
      <c r="U6" s="287" t="n">
        <f aca="false">CF!R6</f>
        <v>14</v>
      </c>
      <c r="V6" s="287" t="n">
        <f aca="false">CF!S6</f>
        <v>15</v>
      </c>
      <c r="W6" s="287" t="n">
        <f aca="false">CF!T6</f>
        <v>16</v>
      </c>
      <c r="X6" s="287" t="n">
        <f aca="false">CF!U6</f>
        <v>17</v>
      </c>
      <c r="Y6" s="287" t="n">
        <f aca="false">CF!V6</f>
        <v>18</v>
      </c>
      <c r="Z6" s="287" t="n">
        <f aca="false">CF!W6</f>
        <v>19</v>
      </c>
      <c r="AA6" s="287" t="n">
        <f aca="false">CF!X6</f>
        <v>20</v>
      </c>
      <c r="AB6" s="287" t="n">
        <f aca="false">CF!Y6</f>
        <v>21</v>
      </c>
      <c r="AC6" s="427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90" t="s">
        <v>315</v>
      </c>
      <c r="B7" s="22"/>
      <c r="C7" s="22"/>
      <c r="D7" s="22"/>
      <c r="E7" s="22"/>
      <c r="F7" s="22"/>
      <c r="G7" s="22"/>
      <c r="H7" s="293" t="n">
        <f aca="false">CF!E7</f>
        <v>1999</v>
      </c>
      <c r="I7" s="293" t="n">
        <f aca="false">CF!F7</f>
        <v>2000</v>
      </c>
      <c r="J7" s="293" t="n">
        <f aca="false">CF!G7</f>
        <v>2001</v>
      </c>
      <c r="K7" s="293" t="n">
        <f aca="false">CF!H7</f>
        <v>2002</v>
      </c>
      <c r="L7" s="293" t="n">
        <f aca="false">CF!I7</f>
        <v>2003</v>
      </c>
      <c r="M7" s="293" t="n">
        <f aca="false">CF!J7</f>
        <v>2004</v>
      </c>
      <c r="N7" s="293" t="n">
        <f aca="false">CF!K7</f>
        <v>2005</v>
      </c>
      <c r="O7" s="293" t="n">
        <f aca="false">CF!L7</f>
        <v>2006</v>
      </c>
      <c r="P7" s="293" t="n">
        <f aca="false">CF!M7</f>
        <v>2007</v>
      </c>
      <c r="Q7" s="293" t="n">
        <f aca="false">CF!N7</f>
        <v>2008</v>
      </c>
      <c r="R7" s="293" t="n">
        <f aca="false">CF!O7</f>
        <v>2009</v>
      </c>
      <c r="S7" s="293" t="n">
        <f aca="false">CF!P7</f>
        <v>2010</v>
      </c>
      <c r="T7" s="293" t="n">
        <f aca="false">CF!Q7</f>
        <v>2011</v>
      </c>
      <c r="U7" s="293" t="n">
        <f aca="false">CF!R7</f>
        <v>2012</v>
      </c>
      <c r="V7" s="293" t="n">
        <f aca="false">CF!S7</f>
        <v>2013</v>
      </c>
      <c r="W7" s="293" t="n">
        <f aca="false">CF!T7</f>
        <v>2014</v>
      </c>
      <c r="X7" s="293" t="n">
        <f aca="false">CF!U7</f>
        <v>2015</v>
      </c>
      <c r="Y7" s="293" t="n">
        <f aca="false">CF!V7</f>
        <v>2016</v>
      </c>
      <c r="Z7" s="293" t="n">
        <f aca="false">CF!W7</f>
        <v>2017</v>
      </c>
      <c r="AA7" s="293" t="n">
        <f aca="false">CF!X7</f>
        <v>2018</v>
      </c>
      <c r="AB7" s="293" t="n">
        <f aca="false">CF!Y7</f>
        <v>2019</v>
      </c>
      <c r="AC7" s="431" t="s">
        <v>909</v>
      </c>
      <c r="AD7" s="39"/>
      <c r="AE7" s="295" t="n">
        <v>1</v>
      </c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1007"/>
      <c r="B8" s="39"/>
      <c r="C8" s="39"/>
      <c r="D8" s="39"/>
      <c r="E8" s="39"/>
      <c r="F8" s="39"/>
      <c r="G8" s="39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299"/>
      <c r="AD8" s="39"/>
      <c r="AE8" s="300" t="n">
        <f aca="false">AE7+1</f>
        <v>2</v>
      </c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610</v>
      </c>
      <c r="B9" s="39"/>
      <c r="C9" s="39"/>
      <c r="D9" s="39"/>
      <c r="E9" s="39"/>
      <c r="F9" s="39"/>
      <c r="G9" s="39"/>
      <c r="H9" s="39" t="n">
        <f aca="false">CF!E9</f>
        <v>0</v>
      </c>
      <c r="I9" s="39" t="n">
        <f aca="false">CF!F9</f>
        <v>0</v>
      </c>
      <c r="J9" s="39" t="n">
        <f aca="false">CF!G9</f>
        <v>10</v>
      </c>
      <c r="K9" s="39" t="n">
        <f aca="false">CF!H9</f>
        <v>12</v>
      </c>
      <c r="L9" s="39" t="n">
        <f aca="false">CF!I9</f>
        <v>12</v>
      </c>
      <c r="M9" s="39" t="n">
        <f aca="false">CF!J9</f>
        <v>12</v>
      </c>
      <c r="N9" s="39" t="n">
        <f aca="false">CF!K9</f>
        <v>12</v>
      </c>
      <c r="O9" s="39" t="n">
        <f aca="false">CF!L9</f>
        <v>12</v>
      </c>
      <c r="P9" s="39" t="n">
        <f aca="false">CF!M9</f>
        <v>12</v>
      </c>
      <c r="Q9" s="39" t="n">
        <f aca="false">CF!N9</f>
        <v>12</v>
      </c>
      <c r="R9" s="39" t="n">
        <f aca="false">CF!O9</f>
        <v>12</v>
      </c>
      <c r="S9" s="39" t="n">
        <f aca="false">CF!P9</f>
        <v>12</v>
      </c>
      <c r="T9" s="39" t="n">
        <f aca="false">CF!Q9</f>
        <v>12</v>
      </c>
      <c r="U9" s="39" t="n">
        <f aca="false">CF!R9</f>
        <v>12</v>
      </c>
      <c r="V9" s="39" t="n">
        <f aca="false">CF!S9</f>
        <v>12</v>
      </c>
      <c r="W9" s="39" t="n">
        <f aca="false">CF!T9</f>
        <v>12</v>
      </c>
      <c r="X9" s="39" t="n">
        <f aca="false">CF!U9</f>
        <v>12</v>
      </c>
      <c r="Y9" s="39" t="n">
        <f aca="false">CF!V9</f>
        <v>12</v>
      </c>
      <c r="Z9" s="39" t="n">
        <f aca="false">CF!W9</f>
        <v>12</v>
      </c>
      <c r="AA9" s="39" t="n">
        <f aca="false">CF!X9</f>
        <v>12</v>
      </c>
      <c r="AB9" s="39" t="n">
        <f aca="false">CF!Y9</f>
        <v>4</v>
      </c>
      <c r="AC9" s="302" t="n">
        <f aca="false">SUM(H9:AB9)</f>
        <v>218</v>
      </c>
      <c r="AD9" s="39"/>
      <c r="AE9" s="300" t="n">
        <f aca="false">AE8+1</f>
        <v>3</v>
      </c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02"/>
      <c r="AD10" s="39"/>
      <c r="AE10" s="300" t="n">
        <f aca="false">AE9+1</f>
        <v>4</v>
      </c>
    </row>
    <row r="11" customFormat="false" ht="12.75" hidden="false" customHeight="false" outlineLevel="0" collapsed="false">
      <c r="A11" s="609"/>
      <c r="B11" s="610"/>
      <c r="C11" s="610"/>
      <c r="D11" s="1008" t="s">
        <v>185</v>
      </c>
      <c r="E11" s="610"/>
      <c r="F11" s="1009" t="s">
        <v>188</v>
      </c>
      <c r="G11" s="610"/>
      <c r="H11" s="881" t="s">
        <v>192</v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02"/>
      <c r="AE11" s="300" t="n">
        <f aca="false">AE10+1</f>
        <v>5</v>
      </c>
    </row>
    <row r="12" customFormat="false" ht="12.75" hidden="false" customHeight="false" outlineLevel="0" collapsed="false">
      <c r="A12" s="662" t="s">
        <v>982</v>
      </c>
      <c r="B12" s="496"/>
      <c r="C12" s="496"/>
      <c r="D12" s="1010" t="n">
        <f aca="false">Cost</f>
        <v>156184.092515464</v>
      </c>
      <c r="E12" s="496"/>
      <c r="F12" s="1011" t="n">
        <f aca="false">D12</f>
        <v>156184.092515464</v>
      </c>
      <c r="G12" s="496"/>
      <c r="H12" s="884" t="n">
        <f aca="false">D12</f>
        <v>156184.092515464</v>
      </c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02"/>
      <c r="AE12" s="300" t="n">
        <f aca="false">AE11+1</f>
        <v>6</v>
      </c>
    </row>
    <row r="13" customFormat="false" ht="12.75" hidden="false" customHeight="false" outlineLevel="0" collapsed="false">
      <c r="A13" s="662" t="s">
        <v>983</v>
      </c>
      <c r="B13" s="496"/>
      <c r="C13" s="496"/>
      <c r="D13" s="1010" t="n">
        <f aca="false">-Assm!$R$15</f>
        <v>-220</v>
      </c>
      <c r="E13" s="496"/>
      <c r="F13" s="1011" t="n">
        <f aca="false">D13</f>
        <v>-220</v>
      </c>
      <c r="G13" s="496"/>
      <c r="H13" s="884" t="n">
        <f aca="false">F13</f>
        <v>-220</v>
      </c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02"/>
      <c r="AE13" s="300" t="n">
        <f aca="false">AE12+1</f>
        <v>7</v>
      </c>
    </row>
    <row r="14" customFormat="false" ht="12.75" hidden="false" customHeight="false" outlineLevel="0" collapsed="false">
      <c r="A14" s="662" t="s">
        <v>984</v>
      </c>
      <c r="B14" s="496"/>
      <c r="C14" s="496"/>
      <c r="D14" s="1010" t="n">
        <f aca="false">-Turnkey!$H$9*Turnkey!$J$9</f>
        <v>-5859.2075862069</v>
      </c>
      <c r="E14" s="496"/>
      <c r="F14" s="1011" t="n">
        <f aca="false">D14</f>
        <v>-5859.2075862069</v>
      </c>
      <c r="G14" s="496"/>
      <c r="H14" s="884" t="n">
        <f aca="false">F14</f>
        <v>-5859.2075862069</v>
      </c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02"/>
      <c r="AE14" s="300" t="n">
        <f aca="false">AE13+1</f>
        <v>8</v>
      </c>
    </row>
    <row r="15" customFormat="false" ht="12.75" hidden="false" customHeight="false" outlineLevel="0" collapsed="false">
      <c r="A15" s="662" t="s">
        <v>985</v>
      </c>
      <c r="B15" s="496"/>
      <c r="C15" s="496"/>
      <c r="D15" s="1010" t="n">
        <f aca="false">-Turnkey!$K$14</f>
        <v>-280.726183908046</v>
      </c>
      <c r="E15" s="496"/>
      <c r="F15" s="1011" t="n">
        <f aca="false">D15</f>
        <v>-280.726183908046</v>
      </c>
      <c r="G15" s="496"/>
      <c r="H15" s="884" t="n">
        <f aca="false">F15</f>
        <v>-280.726183908046</v>
      </c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02"/>
      <c r="AE15" s="300" t="n">
        <f aca="false">AE14+1</f>
        <v>9</v>
      </c>
    </row>
    <row r="16" customFormat="false" ht="12.75" hidden="false" customHeight="false" outlineLevel="0" collapsed="false">
      <c r="A16" s="662" t="s">
        <v>986</v>
      </c>
      <c r="B16" s="496"/>
      <c r="C16" s="496"/>
      <c r="D16" s="1010" t="n">
        <f aca="false">-Turnkey!$K$20</f>
        <v>-5614.17164874023</v>
      </c>
      <c r="E16" s="496"/>
      <c r="F16" s="1011" t="n">
        <f aca="false">D16</f>
        <v>-5614.17164874023</v>
      </c>
      <c r="G16" s="496"/>
      <c r="H16" s="884" t="n">
        <f aca="false">F16</f>
        <v>-5614.17164874023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02"/>
      <c r="AE16" s="300" t="n">
        <f aca="false">AE15+1</f>
        <v>10</v>
      </c>
    </row>
    <row r="17" customFormat="false" ht="12.75" hidden="false" customHeight="false" outlineLevel="0" collapsed="false">
      <c r="A17" s="662" t="s">
        <v>347</v>
      </c>
      <c r="B17" s="496"/>
      <c r="C17" s="496"/>
      <c r="D17" s="1010" t="n">
        <f aca="false">-IDC!AO56</f>
        <v>-0</v>
      </c>
      <c r="E17" s="496"/>
      <c r="F17" s="1011" t="n">
        <f aca="false">D17</f>
        <v>-0</v>
      </c>
      <c r="G17" s="496"/>
      <c r="H17" s="884" t="n">
        <f aca="false">F17</f>
        <v>-0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02"/>
      <c r="AE17" s="300" t="n">
        <f aca="false">AE16+1</f>
        <v>11</v>
      </c>
    </row>
    <row r="18" customFormat="false" ht="12.75" hidden="false" customHeight="false" outlineLevel="0" collapsed="false">
      <c r="A18" s="662" t="s">
        <v>987</v>
      </c>
      <c r="B18" s="496"/>
      <c r="C18" s="496"/>
      <c r="D18" s="1012" t="n">
        <f aca="false">-Wcap</f>
        <v>-0</v>
      </c>
      <c r="E18" s="496"/>
      <c r="F18" s="1013" t="n">
        <f aca="false">D18</f>
        <v>-0</v>
      </c>
      <c r="G18" s="496"/>
      <c r="H18" s="1014" t="n">
        <f aca="false">D18</f>
        <v>-0</v>
      </c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02"/>
      <c r="AE18" s="300" t="n">
        <f aca="false">AE17+1</f>
        <v>12</v>
      </c>
    </row>
    <row r="19" customFormat="false" ht="12.75" hidden="false" customHeight="false" outlineLevel="0" collapsed="false">
      <c r="A19" s="666" t="s">
        <v>988</v>
      </c>
      <c r="B19" s="667"/>
      <c r="C19" s="667"/>
      <c r="D19" s="1015" t="n">
        <f aca="false">SUM(D12:D18)</f>
        <v>144209.987096609</v>
      </c>
      <c r="E19" s="667"/>
      <c r="F19" s="1016" t="n">
        <f aca="false">SUM(F12:F18)</f>
        <v>144209.987096609</v>
      </c>
      <c r="G19" s="667"/>
      <c r="H19" s="1017" t="n">
        <f aca="false">SUM(H12:H18)</f>
        <v>144209.987096609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02"/>
      <c r="AE19" s="300" t="n">
        <f aca="false">AE18+1</f>
        <v>13</v>
      </c>
    </row>
    <row r="20" customFormat="false" ht="12.75" hidden="false" customHeight="false" outlineLevel="0" collapsed="false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02"/>
      <c r="AE20" s="300" t="n">
        <f aca="false">AE19+1</f>
        <v>14</v>
      </c>
    </row>
    <row r="21" customFormat="false" ht="12.75" hidden="false" customHeight="false" outlineLevel="0" collapsed="false">
      <c r="A21" s="37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02"/>
      <c r="AE21" s="300" t="n">
        <f aca="false">AE20+1</f>
        <v>15</v>
      </c>
    </row>
    <row r="22" customFormat="false" ht="12.75" hidden="false" customHeight="false" outlineLevel="0" collapsed="false">
      <c r="A22" s="898" t="s">
        <v>989</v>
      </c>
      <c r="B22" s="1018"/>
      <c r="C22" s="1019" t="s">
        <v>990</v>
      </c>
      <c r="D22" s="1019"/>
      <c r="E22" s="1020" t="s">
        <v>991</v>
      </c>
      <c r="F22" s="1020"/>
      <c r="G22" s="899"/>
      <c r="H22" s="899"/>
      <c r="I22" s="899"/>
      <c r="J22" s="899"/>
      <c r="K22" s="899"/>
      <c r="L22" s="899"/>
      <c r="M22" s="899"/>
      <c r="N22" s="899"/>
      <c r="O22" s="899"/>
      <c r="P22" s="899"/>
      <c r="Q22" s="899"/>
      <c r="R22" s="899"/>
      <c r="S22" s="899"/>
      <c r="T22" s="899"/>
      <c r="U22" s="899"/>
      <c r="V22" s="899"/>
      <c r="W22" s="899"/>
      <c r="X22" s="899"/>
      <c r="Y22" s="899"/>
      <c r="Z22" s="899"/>
      <c r="AA22" s="899"/>
      <c r="AB22" s="899"/>
      <c r="AC22" s="522"/>
      <c r="AD22" s="39"/>
      <c r="AE22" s="300" t="n">
        <f aca="false">AE21+1</f>
        <v>16</v>
      </c>
    </row>
    <row r="23" customFormat="false" ht="12.75" hidden="false" customHeight="false" outlineLevel="0" collapsed="false">
      <c r="A23" s="37" t="s">
        <v>992</v>
      </c>
      <c r="B23" s="39"/>
      <c r="C23" s="961" t="s">
        <v>993</v>
      </c>
      <c r="D23" s="961"/>
      <c r="E23" s="1021" t="s">
        <v>994</v>
      </c>
      <c r="F23" s="1021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02"/>
      <c r="AD23" s="39"/>
      <c r="AE23" s="300" t="n">
        <f aca="false">AE22+1</f>
        <v>17</v>
      </c>
    </row>
    <row r="24" customFormat="false" ht="12.75" hidden="false" customHeight="false" outlineLevel="0" collapsed="false">
      <c r="A24" s="37"/>
      <c r="B24" s="39" t="s">
        <v>995</v>
      </c>
      <c r="C24" s="1022" t="n">
        <f aca="false">Assm!$K$41</f>
        <v>10</v>
      </c>
      <c r="D24" s="1022"/>
      <c r="E24" s="1023" t="n">
        <f aca="false">Assm!$J$41</f>
        <v>144209.987096609</v>
      </c>
      <c r="F24" s="1023"/>
      <c r="G24" s="39"/>
      <c r="H24" s="61" t="n">
        <f aca="false">IF($C24&lt;=Term,IF(SUM($H$9:H$9)&gt;$C24*12,$E24-SUM($G24:G24),SLN($E24,0,$C24)*H$9/12),$E24/Term*H$9/12)</f>
        <v>0</v>
      </c>
      <c r="I24" s="61" t="n">
        <f aca="false">IF($C24&lt;=Term,IF(SUM($H$9:I$9)&gt;$C24*12,$E24-SUM($G24:H24),SLN($E24,0,$C24)*I$9/12),$E24/Term*I$9/12)</f>
        <v>0</v>
      </c>
      <c r="J24" s="61" t="n">
        <f aca="false">IF($C24&lt;=Term,IF(SUM($H$9:J$9)&gt;$C24*12,$E24-SUM($G24:I24),SLN($E24,0,$C24)*J$9/12),$E24/Term*J$9/12)</f>
        <v>12017.4989247174</v>
      </c>
      <c r="K24" s="61" t="n">
        <f aca="false">IF($C24&lt;=Term,IF(SUM($H$9:K$9)&gt;$C24*12,$E24-SUM($G24:J24),SLN($E24,0,$C24)*K$9/12),$E24/Term*K$9/12)</f>
        <v>14420.9987096609</v>
      </c>
      <c r="L24" s="61" t="n">
        <f aca="false">IF($C24&lt;=Term,IF(SUM($H$9:L$9)&gt;$C24*12,$E24-SUM($G24:K24),SLN($E24,0,$C24)*L$9/12),$E24/Term*L$9/12)</f>
        <v>14420.9987096609</v>
      </c>
      <c r="M24" s="61" t="n">
        <f aca="false">IF($C24&lt;=Term,IF(SUM($H$9:M$9)&gt;$C24*12,$E24-SUM($G24:L24),SLN($E24,0,$C24)*M$9/12),$E24/Term*M$9/12)</f>
        <v>14420.9987096609</v>
      </c>
      <c r="N24" s="61" t="n">
        <f aca="false">IF($C24&lt;=Term,IF(SUM($H$9:N$9)&gt;$C24*12,$E24-SUM($G24:M24),SLN($E24,0,$C24)*N$9/12),$E24/Term*N$9/12)</f>
        <v>14420.9987096609</v>
      </c>
      <c r="O24" s="61" t="n">
        <f aca="false">IF($C24&lt;=Term,IF(SUM($H$9:O$9)&gt;$C24*12,$E24-SUM($G24:N24),SLN($E24,0,$C24)*O$9/12),$E24/Term*O$9/12)</f>
        <v>14420.9987096609</v>
      </c>
      <c r="P24" s="61" t="n">
        <f aca="false">IF($C24&lt;=Term,IF(SUM($H$9:P$9)&gt;$C24*12,$E24-SUM($G24:O24),SLN($E24,0,$C24)*P$9/12),$E24/Term*P$9/12)</f>
        <v>14420.9987096609</v>
      </c>
      <c r="Q24" s="61" t="n">
        <f aca="false">IF($C24&lt;=Term,IF(SUM($H$9:Q$9)&gt;$C24*12,$E24-SUM($G24:P24),SLN($E24,0,$C24)*Q$9/12),$E24/Term*Q$9/12)</f>
        <v>14420.9987096609</v>
      </c>
      <c r="R24" s="61" t="n">
        <f aca="false">IF($C24&lt;=Term,IF(SUM($H$9:R$9)&gt;$C24*12,$E24-SUM($G24:Q24),SLN($E24,0,$C24)*R$9/12),$E24/Term*R$9/12)</f>
        <v>14420.9987096609</v>
      </c>
      <c r="S24" s="61" t="n">
        <f aca="false">IF($C24&lt;=Term,IF(SUM($H$9:S$9)&gt;$C24*12,$E24-SUM($G24:R24),SLN($E24,0,$C24)*S$9/12),$E24/Term*S$9/12)</f>
        <v>14420.9987096609</v>
      </c>
      <c r="T24" s="61" t="n">
        <f aca="false">IF($C24&lt;=Term,IF(SUM($H$9:T$9)&gt;$C24*12,$E24-SUM($G24:S24),SLN($E24,0,$C24)*T$9/12),$E24/Term*T$9/12)</f>
        <v>2403.49978494347</v>
      </c>
      <c r="U24" s="61" t="n">
        <f aca="false">IF($C24&lt;=Term,IF(SUM($H$9:U$9)&gt;$C24*12,$E24-SUM($G24:T24),SLN($E24,0,$C24)*U$9/12),$E24/Term*U$9/12)</f>
        <v>0</v>
      </c>
      <c r="V24" s="61" t="n">
        <f aca="false">IF($C24&lt;=Term,IF(SUM($H$9:V$9)&gt;$C24*12,$E24-SUM($G24:U24),SLN($E24,0,$C24)*V$9/12),$E24/Term*V$9/12)</f>
        <v>0</v>
      </c>
      <c r="W24" s="61" t="n">
        <f aca="false">IF($C24&lt;=Term,IF(SUM($H$9:W$9)&gt;$C24*12,$E24-SUM($G24:V24),SLN($E24,0,$C24)*W$9/12),$E24/Term*W$9/12)</f>
        <v>0</v>
      </c>
      <c r="X24" s="61" t="n">
        <f aca="false">IF($C24&lt;=Term,IF(SUM($H$9:X$9)&gt;$C24*12,$E24-SUM($G24:W24),SLN($E24,0,$C24)*X$9/12),$E24/Term*X$9/12)</f>
        <v>0</v>
      </c>
      <c r="Y24" s="61" t="n">
        <f aca="false">IF($C24&lt;=Term,IF(SUM($H$9:Y$9)&gt;$C24*12,$E24-SUM($G24:X24),SLN($E24,0,$C24)*Y$9/12),$E24/Term*Y$9/12)</f>
        <v>0</v>
      </c>
      <c r="Z24" s="61" t="n">
        <f aca="false">IF($C24&lt;=Term,IF(SUM($H$9:Z$9)&gt;$C24*12,$E24-SUM($G24:Y24),SLN($E24,0,$C24)*Z$9/12),$E24/Term*Z$9/12)</f>
        <v>0</v>
      </c>
      <c r="AA24" s="61" t="n">
        <f aca="false">IF($C24&lt;=Term,IF(SUM($H$9:AA$9)&gt;$C24*12,$E24-SUM($G24:Z24),SLN($E24,0,$C24)*AA$9/12),$E24/Term*AA$9/12)</f>
        <v>0</v>
      </c>
      <c r="AB24" s="61" t="n">
        <f aca="false">IF($C24&lt;=Term,IF(SUM($H$9:AB$9)&gt;$C24*12,$E24-SUM($G24:AA24),SLN($E24,0,$C24)*AB$9/12),$E24/Term*AB$9/12)</f>
        <v>0</v>
      </c>
      <c r="AC24" s="309" t="n">
        <f aca="false">SUM(H24:AB24)</f>
        <v>144209.987096609</v>
      </c>
      <c r="AD24" s="39"/>
      <c r="AE24" s="300" t="n">
        <f aca="false">AE23+1</f>
        <v>18</v>
      </c>
    </row>
    <row r="25" customFormat="false" ht="12.75" hidden="false" customHeight="false" outlineLevel="0" collapsed="false">
      <c r="A25" s="37"/>
      <c r="B25" s="39" t="s">
        <v>996</v>
      </c>
      <c r="C25" s="826"/>
      <c r="D25" s="329"/>
      <c r="E25" s="826"/>
      <c r="F25" s="951"/>
      <c r="G25" s="39"/>
      <c r="H25" s="61" t="n">
        <f aca="false">SUM($H24:H24)</f>
        <v>0</v>
      </c>
      <c r="I25" s="61" t="n">
        <f aca="false">SUM($H24:I24)</f>
        <v>0</v>
      </c>
      <c r="J25" s="61" t="n">
        <f aca="false">SUM($H24:J24)</f>
        <v>12017.4989247174</v>
      </c>
      <c r="K25" s="61" t="n">
        <f aca="false">SUM($H24:K24)</f>
        <v>26438.4976343783</v>
      </c>
      <c r="L25" s="61" t="n">
        <f aca="false">SUM($H24:L24)</f>
        <v>40859.4963440392</v>
      </c>
      <c r="M25" s="61" t="n">
        <f aca="false">SUM($H24:M24)</f>
        <v>55280.4950537001</v>
      </c>
      <c r="N25" s="61" t="n">
        <f aca="false">SUM($H24:N24)</f>
        <v>69701.493763361</v>
      </c>
      <c r="O25" s="61" t="n">
        <f aca="false">SUM($H24:O24)</f>
        <v>84122.4924730219</v>
      </c>
      <c r="P25" s="61" t="n">
        <f aca="false">SUM($H24:P24)</f>
        <v>98543.4911826828</v>
      </c>
      <c r="Q25" s="61" t="n">
        <f aca="false">SUM($H24:Q24)</f>
        <v>112964.489892344</v>
      </c>
      <c r="R25" s="61" t="n">
        <f aca="false">SUM($H24:R24)</f>
        <v>127385.488602005</v>
      </c>
      <c r="S25" s="61" t="n">
        <f aca="false">SUM($H24:S24)</f>
        <v>141806.487311666</v>
      </c>
      <c r="T25" s="61" t="n">
        <f aca="false">SUM($H24:T24)</f>
        <v>144209.987096609</v>
      </c>
      <c r="U25" s="61" t="n">
        <f aca="false">SUM($H24:U24)</f>
        <v>144209.987096609</v>
      </c>
      <c r="V25" s="61" t="n">
        <f aca="false">SUM($H24:V24)</f>
        <v>144209.987096609</v>
      </c>
      <c r="W25" s="61" t="n">
        <f aca="false">SUM($H24:W24)</f>
        <v>144209.987096609</v>
      </c>
      <c r="X25" s="61" t="n">
        <f aca="false">SUM($H24:X24)</f>
        <v>144209.987096609</v>
      </c>
      <c r="Y25" s="61" t="n">
        <f aca="false">SUM($H24:Y24)</f>
        <v>144209.987096609</v>
      </c>
      <c r="Z25" s="61" t="n">
        <f aca="false">SUM($H24:Z24)</f>
        <v>144209.987096609</v>
      </c>
      <c r="AA25" s="61" t="n">
        <f aca="false">SUM($H24:AA24)</f>
        <v>144209.987096609</v>
      </c>
      <c r="AB25" s="61" t="n">
        <f aca="false">SUM($H24:AB24)</f>
        <v>144209.987096609</v>
      </c>
      <c r="AC25" s="309"/>
      <c r="AD25" s="39"/>
      <c r="AE25" s="300" t="n">
        <f aca="false">AE24+1</f>
        <v>19</v>
      </c>
    </row>
    <row r="26" customFormat="false" ht="12.75" hidden="false" customHeight="false" outlineLevel="0" collapsed="false">
      <c r="A26" s="37"/>
      <c r="B26" s="39"/>
      <c r="C26" s="826"/>
      <c r="D26" s="329"/>
      <c r="E26" s="826"/>
      <c r="F26" s="951"/>
      <c r="G26" s="39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309"/>
      <c r="AD26" s="39"/>
      <c r="AE26" s="300" t="n">
        <f aca="false">AE25+1</f>
        <v>20</v>
      </c>
    </row>
    <row r="27" customFormat="false" ht="12.75" hidden="false" customHeight="false" outlineLevel="0" collapsed="false">
      <c r="A27" s="37"/>
      <c r="B27" s="39" t="s">
        <v>997</v>
      </c>
      <c r="C27" s="826"/>
      <c r="D27" s="329"/>
      <c r="E27" s="826"/>
      <c r="F27" s="951"/>
      <c r="G27" s="39"/>
      <c r="H27" s="99" t="n">
        <v>0</v>
      </c>
      <c r="I27" s="61" t="n">
        <f aca="false">H30</f>
        <v>0</v>
      </c>
      <c r="J27" s="61" t="n">
        <f aca="false">I30</f>
        <v>0</v>
      </c>
      <c r="K27" s="61" t="n">
        <f aca="false">J30</f>
        <v>132192.488171892</v>
      </c>
      <c r="L27" s="61" t="n">
        <f aca="false">K30</f>
        <v>117771.489462231</v>
      </c>
      <c r="M27" s="61" t="n">
        <f aca="false">L30</f>
        <v>103350.49075257</v>
      </c>
      <c r="N27" s="61" t="n">
        <f aca="false">M30</f>
        <v>88929.4920429089</v>
      </c>
      <c r="O27" s="61" t="n">
        <f aca="false">N30</f>
        <v>74508.493333248</v>
      </c>
      <c r="P27" s="61" t="n">
        <f aca="false">O30</f>
        <v>60087.4946235871</v>
      </c>
      <c r="Q27" s="61" t="n">
        <f aca="false">P30</f>
        <v>45666.4959139262</v>
      </c>
      <c r="R27" s="61" t="n">
        <f aca="false">Q30</f>
        <v>31245.4972042653</v>
      </c>
      <c r="S27" s="61" t="n">
        <f aca="false">R30</f>
        <v>16824.4984946044</v>
      </c>
      <c r="T27" s="61" t="n">
        <f aca="false">S30</f>
        <v>2403.4997849435</v>
      </c>
      <c r="U27" s="61" t="n">
        <f aca="false">T30</f>
        <v>2.36468622460961E-011</v>
      </c>
      <c r="V27" s="61" t="n">
        <f aca="false">U30</f>
        <v>2.36468622460961E-011</v>
      </c>
      <c r="W27" s="61" t="n">
        <f aca="false">V30</f>
        <v>2.36468622460961E-011</v>
      </c>
      <c r="X27" s="61" t="n">
        <f aca="false">W30</f>
        <v>2.36468622460961E-011</v>
      </c>
      <c r="Y27" s="61" t="n">
        <f aca="false">X30</f>
        <v>2.36468622460961E-011</v>
      </c>
      <c r="Z27" s="61" t="n">
        <f aca="false">Y30</f>
        <v>2.36468622460961E-011</v>
      </c>
      <c r="AA27" s="61" t="n">
        <f aca="false">Z30</f>
        <v>2.36468622460961E-011</v>
      </c>
      <c r="AB27" s="61" t="n">
        <f aca="false">AA30</f>
        <v>2.36468622460961E-011</v>
      </c>
      <c r="AC27" s="309" t="n">
        <f aca="false">H27</f>
        <v>0</v>
      </c>
      <c r="AD27" s="39"/>
      <c r="AE27" s="300" t="n">
        <f aca="false">AE26+1</f>
        <v>21</v>
      </c>
    </row>
    <row r="28" customFormat="false" ht="12.75" hidden="false" customHeight="false" outlineLevel="0" collapsed="false">
      <c r="A28" s="37"/>
      <c r="B28" s="39" t="s">
        <v>998</v>
      </c>
      <c r="C28" s="826"/>
      <c r="D28" s="329"/>
      <c r="E28" s="826"/>
      <c r="F28" s="951"/>
      <c r="G28" s="39"/>
      <c r="H28" s="61" t="n">
        <f aca="false">IF(H$7=YEAR(Startops1),$E24,0)</f>
        <v>0</v>
      </c>
      <c r="I28" s="61" t="n">
        <f aca="false">IF(I$7=YEAR(Startops1),$E24,0)</f>
        <v>0</v>
      </c>
      <c r="J28" s="61" t="n">
        <f aca="false">IF(J$7=YEAR(Startops1),$E24,0)</f>
        <v>144209.987096609</v>
      </c>
      <c r="K28" s="61" t="n">
        <f aca="false">IF(K$7=YEAR(Startops1),$E24,0)</f>
        <v>0</v>
      </c>
      <c r="L28" s="61" t="n">
        <f aca="false">IF(L$7=YEAR(Startops1),$E24,0)</f>
        <v>0</v>
      </c>
      <c r="M28" s="61" t="n">
        <f aca="false">IF(M$7=YEAR(Startops1),$E24,0)</f>
        <v>0</v>
      </c>
      <c r="N28" s="61" t="n">
        <f aca="false">IF(N$7=YEAR(Startops1),$E24,0)</f>
        <v>0</v>
      </c>
      <c r="O28" s="61" t="n">
        <f aca="false">IF(O$7=YEAR(Startops1),$E24,0)</f>
        <v>0</v>
      </c>
      <c r="P28" s="61" t="n">
        <f aca="false">IF(P$7=YEAR(Startops1),$E24,0)</f>
        <v>0</v>
      </c>
      <c r="Q28" s="61" t="n">
        <f aca="false">IF(Q$7=YEAR(Startops1),$E24,0)</f>
        <v>0</v>
      </c>
      <c r="R28" s="61" t="n">
        <f aca="false">IF(R$7=YEAR(Startops1),$E24,0)</f>
        <v>0</v>
      </c>
      <c r="S28" s="61" t="n">
        <f aca="false">IF(S$7=YEAR(Startops1),$E24,0)</f>
        <v>0</v>
      </c>
      <c r="T28" s="61" t="n">
        <f aca="false">IF(T$7=YEAR(Startops1),$E24,0)</f>
        <v>0</v>
      </c>
      <c r="U28" s="61" t="n">
        <f aca="false">IF(U$7=YEAR(Startops1),$E24,0)</f>
        <v>0</v>
      </c>
      <c r="V28" s="61" t="n">
        <f aca="false">IF(V$7=YEAR(Startops1),$E24,0)</f>
        <v>0</v>
      </c>
      <c r="W28" s="61" t="n">
        <f aca="false">IF(W$7=YEAR(Startops1),$E24,0)</f>
        <v>0</v>
      </c>
      <c r="X28" s="61" t="n">
        <f aca="false">IF(X$7=YEAR(Startops1),$E24,0)</f>
        <v>0</v>
      </c>
      <c r="Y28" s="61" t="n">
        <f aca="false">IF(Y$7=YEAR(Startops1),$E24,0)</f>
        <v>0</v>
      </c>
      <c r="Z28" s="61" t="n">
        <f aca="false">IF(Z$7=YEAR(Startops1),$E24,0)</f>
        <v>0</v>
      </c>
      <c r="AA28" s="61" t="n">
        <f aca="false">IF(AA$7=YEAR(Startops1),$E24,0)</f>
        <v>0</v>
      </c>
      <c r="AB28" s="61" t="n">
        <f aca="false">IF(AB$7=YEAR(Startops1),$E24,0)</f>
        <v>0</v>
      </c>
      <c r="AC28" s="309" t="n">
        <f aca="false">SUM(H28:AB28)</f>
        <v>144209.987096609</v>
      </c>
      <c r="AD28" s="39"/>
      <c r="AE28" s="300" t="n">
        <f aca="false">AE27+1</f>
        <v>22</v>
      </c>
    </row>
    <row r="29" customFormat="false" ht="12.75" hidden="false" customHeight="false" outlineLevel="0" collapsed="false">
      <c r="A29" s="37"/>
      <c r="B29" s="39" t="s">
        <v>999</v>
      </c>
      <c r="C29" s="826"/>
      <c r="D29" s="329"/>
      <c r="E29" s="826"/>
      <c r="F29" s="951"/>
      <c r="G29" s="39"/>
      <c r="H29" s="311" t="n">
        <f aca="false">-H24</f>
        <v>-0</v>
      </c>
      <c r="I29" s="311" t="n">
        <f aca="false">-I24</f>
        <v>-0</v>
      </c>
      <c r="J29" s="311" t="n">
        <f aca="false">-J24</f>
        <v>-12017.4989247174</v>
      </c>
      <c r="K29" s="311" t="n">
        <f aca="false">-K24</f>
        <v>-14420.9987096609</v>
      </c>
      <c r="L29" s="311" t="n">
        <f aca="false">-L24</f>
        <v>-14420.9987096609</v>
      </c>
      <c r="M29" s="311" t="n">
        <f aca="false">-M24</f>
        <v>-14420.9987096609</v>
      </c>
      <c r="N29" s="311" t="n">
        <f aca="false">-N24</f>
        <v>-14420.9987096609</v>
      </c>
      <c r="O29" s="311" t="n">
        <f aca="false">-O24</f>
        <v>-14420.9987096609</v>
      </c>
      <c r="P29" s="311" t="n">
        <f aca="false">-P24</f>
        <v>-14420.9987096609</v>
      </c>
      <c r="Q29" s="311" t="n">
        <f aca="false">-Q24</f>
        <v>-14420.9987096609</v>
      </c>
      <c r="R29" s="311" t="n">
        <f aca="false">-R24</f>
        <v>-14420.9987096609</v>
      </c>
      <c r="S29" s="311" t="n">
        <f aca="false">-S24</f>
        <v>-14420.9987096609</v>
      </c>
      <c r="T29" s="311" t="n">
        <f aca="false">-T24</f>
        <v>-2403.49978494347</v>
      </c>
      <c r="U29" s="311" t="n">
        <f aca="false">-U24</f>
        <v>-0</v>
      </c>
      <c r="V29" s="311" t="n">
        <f aca="false">-V24</f>
        <v>-0</v>
      </c>
      <c r="W29" s="311" t="n">
        <f aca="false">-W24</f>
        <v>-0</v>
      </c>
      <c r="X29" s="311" t="n">
        <f aca="false">-X24</f>
        <v>-0</v>
      </c>
      <c r="Y29" s="311" t="n">
        <f aca="false">-Y24</f>
        <v>-0</v>
      </c>
      <c r="Z29" s="311" t="n">
        <f aca="false">-Z24</f>
        <v>-0</v>
      </c>
      <c r="AA29" s="311" t="n">
        <f aca="false">-AA24</f>
        <v>-0</v>
      </c>
      <c r="AB29" s="311" t="n">
        <f aca="false">-AB24</f>
        <v>-0</v>
      </c>
      <c r="AC29" s="313" t="n">
        <f aca="false">SUM(H29:AB29)</f>
        <v>-144209.987096609</v>
      </c>
      <c r="AD29" s="39"/>
      <c r="AE29" s="300" t="n">
        <f aca="false">AE28+1</f>
        <v>23</v>
      </c>
    </row>
    <row r="30" customFormat="false" ht="12.75" hidden="false" customHeight="false" outlineLevel="0" collapsed="false">
      <c r="A30" s="445"/>
      <c r="B30" s="446" t="s">
        <v>1000</v>
      </c>
      <c r="C30" s="835"/>
      <c r="D30" s="447"/>
      <c r="E30" s="835"/>
      <c r="F30" s="1024"/>
      <c r="G30" s="446"/>
      <c r="H30" s="625" t="n">
        <f aca="false">SUM(H27:H29)</f>
        <v>0</v>
      </c>
      <c r="I30" s="625" t="n">
        <f aca="false">SUM(I27:I29)</f>
        <v>0</v>
      </c>
      <c r="J30" s="625" t="n">
        <f aca="false">SUM(J27:J29)</f>
        <v>132192.488171892</v>
      </c>
      <c r="K30" s="625" t="n">
        <f aca="false">SUM(K27:K29)</f>
        <v>117771.489462231</v>
      </c>
      <c r="L30" s="625" t="n">
        <f aca="false">SUM(L27:L29)</f>
        <v>103350.49075257</v>
      </c>
      <c r="M30" s="625" t="n">
        <f aca="false">SUM(M27:M29)</f>
        <v>88929.4920429089</v>
      </c>
      <c r="N30" s="625" t="n">
        <f aca="false">SUM(N27:N29)</f>
        <v>74508.493333248</v>
      </c>
      <c r="O30" s="625" t="n">
        <f aca="false">SUM(O27:O29)</f>
        <v>60087.4946235871</v>
      </c>
      <c r="P30" s="625" t="n">
        <f aca="false">SUM(P27:P29)</f>
        <v>45666.4959139262</v>
      </c>
      <c r="Q30" s="625" t="n">
        <f aca="false">SUM(Q27:Q29)</f>
        <v>31245.4972042653</v>
      </c>
      <c r="R30" s="625" t="n">
        <f aca="false">SUM(R27:R29)</f>
        <v>16824.4984946044</v>
      </c>
      <c r="S30" s="625" t="n">
        <f aca="false">SUM(S27:S29)</f>
        <v>2403.4997849435</v>
      </c>
      <c r="T30" s="625" t="n">
        <f aca="false">SUM(T27:T29)</f>
        <v>2.36468622460961E-011</v>
      </c>
      <c r="U30" s="625" t="n">
        <f aca="false">SUM(U27:U29)</f>
        <v>2.36468622460961E-011</v>
      </c>
      <c r="V30" s="625" t="n">
        <f aca="false">SUM(V27:V29)</f>
        <v>2.36468622460961E-011</v>
      </c>
      <c r="W30" s="625" t="n">
        <f aca="false">SUM(W27:W29)</f>
        <v>2.36468622460961E-011</v>
      </c>
      <c r="X30" s="625" t="n">
        <f aca="false">SUM(X27:X29)</f>
        <v>2.36468622460961E-011</v>
      </c>
      <c r="Y30" s="625" t="n">
        <f aca="false">SUM(Y27:Y29)</f>
        <v>2.36468622460961E-011</v>
      </c>
      <c r="Z30" s="625" t="n">
        <f aca="false">SUM(Z27:Z29)</f>
        <v>2.36468622460961E-011</v>
      </c>
      <c r="AA30" s="625" t="n">
        <f aca="false">SUM(AA27:AA29)</f>
        <v>2.36468622460961E-011</v>
      </c>
      <c r="AB30" s="625" t="n">
        <f aca="false">SUM(AB27:AB29)</f>
        <v>2.36468622460961E-011</v>
      </c>
      <c r="AC30" s="626" t="n">
        <f aca="false">SUM(AC27:AC29)</f>
        <v>0</v>
      </c>
      <c r="AD30" s="39"/>
      <c r="AE30" s="300" t="n">
        <f aca="false">AE29+1</f>
        <v>24</v>
      </c>
    </row>
    <row r="31" customFormat="false" ht="12.75" hidden="false" customHeight="false" outlineLevel="0" collapsed="false">
      <c r="A31" s="1025"/>
      <c r="B31" s="39"/>
      <c r="C31" s="826"/>
      <c r="D31" s="39"/>
      <c r="E31" s="826"/>
      <c r="F31" s="834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02"/>
      <c r="AD31" s="39"/>
      <c r="AE31" s="300" t="n">
        <f aca="false">AE30+1</f>
        <v>25</v>
      </c>
    </row>
    <row r="32" customFormat="false" ht="12.75" hidden="false" customHeight="false" outlineLevel="0" collapsed="false">
      <c r="A32" s="97" t="s">
        <v>1001</v>
      </c>
      <c r="B32" s="38"/>
      <c r="C32" s="952" t="s">
        <v>990</v>
      </c>
      <c r="D32" s="952"/>
      <c r="E32" s="1026" t="s">
        <v>991</v>
      </c>
      <c r="F32" s="1026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02"/>
      <c r="AD32" s="39"/>
      <c r="AE32" s="300" t="n">
        <f aca="false">AE31+1</f>
        <v>26</v>
      </c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</row>
    <row r="33" customFormat="false" ht="12.75" hidden="false" customHeight="false" outlineLevel="0" collapsed="false">
      <c r="A33" s="37" t="s">
        <v>1002</v>
      </c>
      <c r="B33" s="39"/>
      <c r="C33" s="961" t="s">
        <v>993</v>
      </c>
      <c r="D33" s="961"/>
      <c r="E33" s="1021" t="s">
        <v>994</v>
      </c>
      <c r="F33" s="1021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02"/>
      <c r="AD33" s="39"/>
      <c r="AE33" s="300" t="n">
        <f aca="false">AE32+1</f>
        <v>27</v>
      </c>
    </row>
    <row r="34" customFormat="false" ht="12.75" hidden="false" customHeight="false" outlineLevel="0" collapsed="false">
      <c r="A34" s="37"/>
      <c r="B34" s="39" t="s">
        <v>1003</v>
      </c>
      <c r="C34" s="1022" t="n">
        <f aca="false">Assm!$K$42</f>
        <v>20</v>
      </c>
      <c r="D34" s="1022"/>
      <c r="E34" s="1023" t="n">
        <f aca="false">Assm!$J$42</f>
        <v>144209.987096609</v>
      </c>
      <c r="F34" s="1023"/>
      <c r="G34" s="39"/>
      <c r="H34" s="61" t="n">
        <f aca="false">IF($C34&lt;=Term,IF(SUM($H$9:H$9)&gt;$C34*12,$E34-SUM($G34:G34),SLN($E34,0,$C34)*H$9/12),$E34/Term*H$9/12)</f>
        <v>0</v>
      </c>
      <c r="I34" s="61" t="n">
        <f aca="false">IF($C34&lt;=Term,IF(SUM($H$9:I$9)&gt;$C34*12,$E34-SUM($G34:H34),SLN($E34,0,$C34)*I$9/12),$E34/Term*I$9/12)</f>
        <v>0</v>
      </c>
      <c r="J34" s="61" t="n">
        <f aca="false">IF($C34&lt;=Term,IF(SUM($H$9:J$9)&gt;$C34*12,$E34-SUM($G34:I34),SLN($E34,0,$C34)*J$9/12),$E34/Term*J$9/12)</f>
        <v>6008.74946235871</v>
      </c>
      <c r="K34" s="61" t="n">
        <f aca="false">IF($C34&lt;=Term,IF(SUM($H$9:K$9)&gt;$C34*12,$E34-SUM($G34:J34),SLN($E34,0,$C34)*K$9/12),$E34/Term*K$9/12)</f>
        <v>7210.49935483045</v>
      </c>
      <c r="L34" s="61" t="n">
        <f aca="false">IF($C34&lt;=Term,IF(SUM($H$9:L$9)&gt;$C34*12,$E34-SUM($G34:K34),SLN($E34,0,$C34)*L$9/12),$E34/Term*L$9/12)</f>
        <v>7210.49935483045</v>
      </c>
      <c r="M34" s="61" t="n">
        <f aca="false">IF($C34&lt;=Term,IF(SUM($H$9:M$9)&gt;$C34*12,$E34-SUM($G34:L34),SLN($E34,0,$C34)*M$9/12),$E34/Term*M$9/12)</f>
        <v>7210.49935483045</v>
      </c>
      <c r="N34" s="61" t="n">
        <f aca="false">IF($C34&lt;=Term,IF(SUM($H$9:N$9)&gt;$C34*12,$E34-SUM($G34:M34),SLN($E34,0,$C34)*N$9/12),$E34/Term*N$9/12)</f>
        <v>7210.49935483045</v>
      </c>
      <c r="O34" s="61" t="n">
        <f aca="false">IF($C34&lt;=Term,IF(SUM($H$9:O$9)&gt;$C34*12,$E34-SUM($G34:N34),SLN($E34,0,$C34)*O$9/12),$E34/Term*O$9/12)</f>
        <v>7210.49935483045</v>
      </c>
      <c r="P34" s="61" t="n">
        <f aca="false">IF($C34&lt;=Term,IF(SUM($H$9:P$9)&gt;$C34*12,$E34-SUM($G34:O34),SLN($E34,0,$C34)*P$9/12),$E34/Term*P$9/12)</f>
        <v>7210.49935483045</v>
      </c>
      <c r="Q34" s="61" t="n">
        <f aca="false">IF($C34&lt;=Term,IF(SUM($H$9:Q$9)&gt;$C34*12,$E34-SUM($G34:P34),SLN($E34,0,$C34)*Q$9/12),$E34/Term*Q$9/12)</f>
        <v>7210.49935483045</v>
      </c>
      <c r="R34" s="61" t="n">
        <f aca="false">IF($C34&lt;=Term,IF(SUM($H$9:R$9)&gt;$C34*12,$E34-SUM($G34:Q34),SLN($E34,0,$C34)*R$9/12),$E34/Term*R$9/12)</f>
        <v>7210.49935483045</v>
      </c>
      <c r="S34" s="61" t="n">
        <f aca="false">IF($C34&lt;=Term,IF(SUM($H$9:S$9)&gt;$C34*12,$E34-SUM($G34:R34),SLN($E34,0,$C34)*S$9/12),$E34/Term*S$9/12)</f>
        <v>7210.49935483045</v>
      </c>
      <c r="T34" s="61" t="n">
        <f aca="false">IF($C34&lt;=Term,IF(SUM($H$9:T$9)&gt;$C34*12,$E34-SUM($G34:S34),SLN($E34,0,$C34)*T$9/12),$E34/Term*T$9/12)</f>
        <v>7210.49935483045</v>
      </c>
      <c r="U34" s="61" t="n">
        <f aca="false">IF($C34&lt;=Term,IF(SUM($H$9:U$9)&gt;$C34*12,$E34-SUM($G34:T34),SLN($E34,0,$C34)*U$9/12),$E34/Term*U$9/12)</f>
        <v>7210.49935483045</v>
      </c>
      <c r="V34" s="61" t="n">
        <f aca="false">IF($C34&lt;=Term,IF(SUM($H$9:V$9)&gt;$C34*12,$E34-SUM($G34:U34),SLN($E34,0,$C34)*V$9/12),$E34/Term*V$9/12)</f>
        <v>7210.49935483045</v>
      </c>
      <c r="W34" s="61" t="n">
        <f aca="false">IF($C34&lt;=Term,IF(SUM($H$9:W$9)&gt;$C34*12,$E34-SUM($G34:V34),SLN($E34,0,$C34)*W$9/12),$E34/Term*W$9/12)</f>
        <v>7210.49935483045</v>
      </c>
      <c r="X34" s="61" t="n">
        <f aca="false">IF($C34&lt;=Term,IF(SUM($H$9:X$9)&gt;$C34*12,$E34-SUM($G34:W34),SLN($E34,0,$C34)*X$9/12),$E34/Term*X$9/12)</f>
        <v>7210.49935483045</v>
      </c>
      <c r="Y34" s="61" t="n">
        <f aca="false">IF($C34&lt;=Term,IF(SUM($H$9:Y$9)&gt;$C34*12,$E34-SUM($G34:X34),SLN($E34,0,$C34)*Y$9/12),$E34/Term*Y$9/12)</f>
        <v>7210.49935483045</v>
      </c>
      <c r="Z34" s="61" t="n">
        <f aca="false">IF($C34&lt;=Term,IF(SUM($H$9:Z$9)&gt;$C34*12,$E34-SUM($G34:Y34),SLN($E34,0,$C34)*Z$9/12),$E34/Term*Z$9/12)</f>
        <v>7210.49935483045</v>
      </c>
      <c r="AA34" s="61" t="n">
        <f aca="false">IF($C34&lt;=Term,IF(SUM($H$9:AA$9)&gt;$C34*12,$E34-SUM($G34:Z34),SLN($E34,0,$C34)*AA$9/12),$E34/Term*AA$9/12)</f>
        <v>7210.49935483045</v>
      </c>
      <c r="AB34" s="61" t="n">
        <f aca="false">IF($C34&lt;=Term,IF(SUM($H$9:AB$9)&gt;$C34*12,$E34-SUM($G34:AA34),SLN($E34,0,$C34)*AB$9/12),$E34/Term*AB$9/12)</f>
        <v>2403.49978494348</v>
      </c>
      <c r="AC34" s="309" t="n">
        <f aca="false">SUM(H34:AB34)</f>
        <v>130990.73827942</v>
      </c>
      <c r="AD34" s="39"/>
      <c r="AE34" s="300" t="n">
        <f aca="false">AE33+1</f>
        <v>28</v>
      </c>
    </row>
    <row r="35" customFormat="false" ht="12.75" hidden="false" customHeight="false" outlineLevel="0" collapsed="false">
      <c r="A35" s="37"/>
      <c r="B35" s="39" t="s">
        <v>1004</v>
      </c>
      <c r="C35" s="826"/>
      <c r="D35" s="329"/>
      <c r="E35" s="826"/>
      <c r="F35" s="951"/>
      <c r="G35" s="39"/>
      <c r="H35" s="61" t="n">
        <f aca="false">SUM($H34:H34)</f>
        <v>0</v>
      </c>
      <c r="I35" s="61" t="n">
        <f aca="false">SUM($H34:I34)</f>
        <v>0</v>
      </c>
      <c r="J35" s="61" t="n">
        <f aca="false">SUM($H34:J34)</f>
        <v>6008.74946235871</v>
      </c>
      <c r="K35" s="61" t="n">
        <f aca="false">SUM($H34:K34)</f>
        <v>13219.2488171892</v>
      </c>
      <c r="L35" s="61" t="n">
        <f aca="false">SUM($H34:L34)</f>
        <v>20429.7481720196</v>
      </c>
      <c r="M35" s="61" t="n">
        <f aca="false">SUM($H34:M34)</f>
        <v>27640.2475268501</v>
      </c>
      <c r="N35" s="61" t="n">
        <f aca="false">SUM($H34:N34)</f>
        <v>34850.7468816805</v>
      </c>
      <c r="O35" s="61" t="n">
        <f aca="false">SUM($H34:O34)</f>
        <v>42061.246236511</v>
      </c>
      <c r="P35" s="61" t="n">
        <f aca="false">SUM($H34:P34)</f>
        <v>49271.7455913414</v>
      </c>
      <c r="Q35" s="61" t="n">
        <f aca="false">SUM($H34:Q34)</f>
        <v>56482.2449461719</v>
      </c>
      <c r="R35" s="61" t="n">
        <f aca="false">SUM($H34:R34)</f>
        <v>63692.7443010023</v>
      </c>
      <c r="S35" s="61" t="n">
        <f aca="false">SUM($H34:S34)</f>
        <v>70903.2436558328</v>
      </c>
      <c r="T35" s="61" t="n">
        <f aca="false">SUM($H34:T34)</f>
        <v>78113.7430106632</v>
      </c>
      <c r="U35" s="61" t="n">
        <f aca="false">SUM($H34:U34)</f>
        <v>85324.2423654937</v>
      </c>
      <c r="V35" s="61" t="n">
        <f aca="false">SUM($H34:V34)</f>
        <v>92534.7417203241</v>
      </c>
      <c r="W35" s="61" t="n">
        <f aca="false">SUM($H34:W34)</f>
        <v>99745.2410751546</v>
      </c>
      <c r="X35" s="61" t="n">
        <f aca="false">SUM($H34:X34)</f>
        <v>106955.740429985</v>
      </c>
      <c r="Y35" s="61" t="n">
        <f aca="false">SUM($H34:Y34)</f>
        <v>114166.239784815</v>
      </c>
      <c r="Z35" s="61" t="n">
        <f aca="false">SUM($H34:Z34)</f>
        <v>121376.739139646</v>
      </c>
      <c r="AA35" s="61" t="n">
        <f aca="false">SUM($H34:AA34)</f>
        <v>128587.238494476</v>
      </c>
      <c r="AB35" s="61" t="n">
        <f aca="false">SUM($H34:AB34)</f>
        <v>130990.73827942</v>
      </c>
      <c r="AC35" s="309"/>
      <c r="AD35" s="39"/>
      <c r="AE35" s="300" t="n">
        <f aca="false">AE34+1</f>
        <v>29</v>
      </c>
    </row>
    <row r="36" customFormat="false" ht="12.75" hidden="false" customHeight="false" outlineLevel="0" collapsed="false">
      <c r="A36" s="37"/>
      <c r="B36" s="39"/>
      <c r="C36" s="826"/>
      <c r="D36" s="329"/>
      <c r="E36" s="826"/>
      <c r="F36" s="951"/>
      <c r="G36" s="39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309"/>
      <c r="AD36" s="39"/>
      <c r="AE36" s="300" t="n">
        <f aca="false">AE35+1</f>
        <v>30</v>
      </c>
    </row>
    <row r="37" customFormat="false" ht="12.75" hidden="false" customHeight="false" outlineLevel="0" collapsed="false">
      <c r="A37" s="37"/>
      <c r="B37" s="39" t="s">
        <v>1005</v>
      </c>
      <c r="C37" s="826"/>
      <c r="D37" s="329"/>
      <c r="E37" s="826"/>
      <c r="F37" s="951"/>
      <c r="G37" s="39"/>
      <c r="H37" s="99" t="n">
        <v>0</v>
      </c>
      <c r="I37" s="61" t="n">
        <f aca="false">H40</f>
        <v>0</v>
      </c>
      <c r="J37" s="61" t="n">
        <f aca="false">I40</f>
        <v>0</v>
      </c>
      <c r="K37" s="61" t="n">
        <f aca="false">J40</f>
        <v>138201.23763425</v>
      </c>
      <c r="L37" s="61" t="n">
        <f aca="false">K40</f>
        <v>130990.73827942</v>
      </c>
      <c r="M37" s="61" t="n">
        <f aca="false">L40</f>
        <v>123780.238924589</v>
      </c>
      <c r="N37" s="61" t="n">
        <f aca="false">M40</f>
        <v>116569.739569759</v>
      </c>
      <c r="O37" s="61" t="n">
        <f aca="false">N40</f>
        <v>109359.240214929</v>
      </c>
      <c r="P37" s="61" t="n">
        <f aca="false">O40</f>
        <v>102148.740860098</v>
      </c>
      <c r="Q37" s="61" t="n">
        <f aca="false">P40</f>
        <v>94938.2415052676</v>
      </c>
      <c r="R37" s="61" t="n">
        <f aca="false">Q40</f>
        <v>87727.7421504372</v>
      </c>
      <c r="S37" s="61" t="n">
        <f aca="false">R40</f>
        <v>80517.2427956067</v>
      </c>
      <c r="T37" s="61" t="n">
        <f aca="false">S40</f>
        <v>73306.7434407763</v>
      </c>
      <c r="U37" s="61" t="n">
        <f aca="false">T40</f>
        <v>66096.2440859458</v>
      </c>
      <c r="V37" s="61" t="n">
        <f aca="false">U40</f>
        <v>58885.7447311154</v>
      </c>
      <c r="W37" s="61" t="n">
        <f aca="false">V40</f>
        <v>51675.2453762849</v>
      </c>
      <c r="X37" s="61" t="n">
        <f aca="false">W40</f>
        <v>44464.7460214545</v>
      </c>
      <c r="Y37" s="61" t="n">
        <f aca="false">X40</f>
        <v>37254.246666624</v>
      </c>
      <c r="Z37" s="61" t="n">
        <f aca="false">Y40</f>
        <v>30043.7473117936</v>
      </c>
      <c r="AA37" s="61" t="n">
        <f aca="false">Z40</f>
        <v>22833.2479569631</v>
      </c>
      <c r="AB37" s="61" t="n">
        <f aca="false">AA40</f>
        <v>15622.7486021327</v>
      </c>
      <c r="AC37" s="309" t="n">
        <f aca="false">H37</f>
        <v>0</v>
      </c>
      <c r="AD37" s="39"/>
      <c r="AE37" s="300" t="n">
        <f aca="false">AE36+1</f>
        <v>31</v>
      </c>
    </row>
    <row r="38" customFormat="false" ht="12.75" hidden="false" customHeight="false" outlineLevel="0" collapsed="false">
      <c r="A38" s="37"/>
      <c r="B38" s="39" t="s">
        <v>998</v>
      </c>
      <c r="C38" s="826"/>
      <c r="D38" s="329"/>
      <c r="E38" s="826"/>
      <c r="F38" s="951"/>
      <c r="G38" s="39"/>
      <c r="H38" s="61" t="n">
        <f aca="false">IF(H$7=YEAR(Startops1),$E34,0)</f>
        <v>0</v>
      </c>
      <c r="I38" s="61" t="n">
        <f aca="false">IF(I$7=YEAR(Startops1),$E34,0)</f>
        <v>0</v>
      </c>
      <c r="J38" s="61" t="n">
        <f aca="false">IF(J$7=YEAR(Startops1),$E34,0)</f>
        <v>144209.987096609</v>
      </c>
      <c r="K38" s="61" t="n">
        <f aca="false">IF(K$7=YEAR(Startops1),$E34,0)</f>
        <v>0</v>
      </c>
      <c r="L38" s="61" t="n">
        <f aca="false">IF(L$7=YEAR(Startops1),$E34,0)</f>
        <v>0</v>
      </c>
      <c r="M38" s="61" t="n">
        <f aca="false">IF(M$7=YEAR(Startops1),$E34,0)</f>
        <v>0</v>
      </c>
      <c r="N38" s="61" t="n">
        <f aca="false">IF(N$7=YEAR(Startops1),$E34,0)</f>
        <v>0</v>
      </c>
      <c r="O38" s="61" t="n">
        <f aca="false">IF(O$7=YEAR(Startops1),$E34,0)</f>
        <v>0</v>
      </c>
      <c r="P38" s="61" t="n">
        <f aca="false">IF(P$7=YEAR(Startops1),$E34,0)</f>
        <v>0</v>
      </c>
      <c r="Q38" s="61" t="n">
        <f aca="false">IF(Q$7=YEAR(Startops1),$E34,0)</f>
        <v>0</v>
      </c>
      <c r="R38" s="61" t="n">
        <f aca="false">IF(R$7=YEAR(Startops1),$E34,0)</f>
        <v>0</v>
      </c>
      <c r="S38" s="61" t="n">
        <f aca="false">IF(S$7=YEAR(Startops1),$E34,0)</f>
        <v>0</v>
      </c>
      <c r="T38" s="61" t="n">
        <f aca="false">IF(T$7=YEAR(Startops1),$E34,0)</f>
        <v>0</v>
      </c>
      <c r="U38" s="61" t="n">
        <f aca="false">IF(U$7=YEAR(Startops1),$E34,0)</f>
        <v>0</v>
      </c>
      <c r="V38" s="61" t="n">
        <f aca="false">IF(V$7=YEAR(Startops1),$E34,0)</f>
        <v>0</v>
      </c>
      <c r="W38" s="61" t="n">
        <f aca="false">IF(W$7=YEAR(Startops1),$E34,0)</f>
        <v>0</v>
      </c>
      <c r="X38" s="61" t="n">
        <f aca="false">IF(X$7=YEAR(Startops1),$E34,0)</f>
        <v>0</v>
      </c>
      <c r="Y38" s="61" t="n">
        <f aca="false">IF(Y$7=YEAR(Startops1),$E34,0)</f>
        <v>0</v>
      </c>
      <c r="Z38" s="61" t="n">
        <f aca="false">IF(Z$7=YEAR(Startops1),$E34,0)</f>
        <v>0</v>
      </c>
      <c r="AA38" s="61" t="n">
        <f aca="false">IF(AA$7=YEAR(Startops1),$E34,0)</f>
        <v>0</v>
      </c>
      <c r="AB38" s="61" t="n">
        <f aca="false">IF(AB$7=YEAR(Startops1),$E34,0)</f>
        <v>0</v>
      </c>
      <c r="AC38" s="309" t="n">
        <f aca="false">SUM(H38:AB38)</f>
        <v>144209.987096609</v>
      </c>
      <c r="AD38" s="39"/>
      <c r="AE38" s="300" t="n">
        <f aca="false">AE37+1</f>
        <v>32</v>
      </c>
    </row>
    <row r="39" customFormat="false" ht="12.75" hidden="false" customHeight="false" outlineLevel="0" collapsed="false">
      <c r="A39" s="37"/>
      <c r="B39" s="39" t="s">
        <v>999</v>
      </c>
      <c r="C39" s="826"/>
      <c r="D39" s="329"/>
      <c r="E39" s="826"/>
      <c r="F39" s="951"/>
      <c r="G39" s="39"/>
      <c r="H39" s="311" t="n">
        <f aca="false">-H34</f>
        <v>-0</v>
      </c>
      <c r="I39" s="311" t="n">
        <f aca="false">-I34</f>
        <v>-0</v>
      </c>
      <c r="J39" s="311" t="n">
        <f aca="false">-J34</f>
        <v>-6008.74946235871</v>
      </c>
      <c r="K39" s="311" t="n">
        <f aca="false">-K34</f>
        <v>-7210.49935483045</v>
      </c>
      <c r="L39" s="311" t="n">
        <f aca="false">-L34</f>
        <v>-7210.49935483045</v>
      </c>
      <c r="M39" s="311" t="n">
        <f aca="false">-M34</f>
        <v>-7210.49935483045</v>
      </c>
      <c r="N39" s="311" t="n">
        <f aca="false">-N34</f>
        <v>-7210.49935483045</v>
      </c>
      <c r="O39" s="311" t="n">
        <f aca="false">-O34</f>
        <v>-7210.49935483045</v>
      </c>
      <c r="P39" s="311" t="n">
        <f aca="false">-P34</f>
        <v>-7210.49935483045</v>
      </c>
      <c r="Q39" s="311" t="n">
        <f aca="false">-Q34</f>
        <v>-7210.49935483045</v>
      </c>
      <c r="R39" s="311" t="n">
        <f aca="false">-R34</f>
        <v>-7210.49935483045</v>
      </c>
      <c r="S39" s="311" t="n">
        <f aca="false">-S34</f>
        <v>-7210.49935483045</v>
      </c>
      <c r="T39" s="311" t="n">
        <f aca="false">-T34</f>
        <v>-7210.49935483045</v>
      </c>
      <c r="U39" s="311" t="n">
        <f aca="false">-U34</f>
        <v>-7210.49935483045</v>
      </c>
      <c r="V39" s="311" t="n">
        <f aca="false">-V34</f>
        <v>-7210.49935483045</v>
      </c>
      <c r="W39" s="311" t="n">
        <f aca="false">-W34</f>
        <v>-7210.49935483045</v>
      </c>
      <c r="X39" s="311" t="n">
        <f aca="false">-X34</f>
        <v>-7210.49935483045</v>
      </c>
      <c r="Y39" s="311" t="n">
        <f aca="false">-Y34</f>
        <v>-7210.49935483045</v>
      </c>
      <c r="Z39" s="311" t="n">
        <f aca="false">-Z34</f>
        <v>-7210.49935483045</v>
      </c>
      <c r="AA39" s="311" t="n">
        <f aca="false">-AA34</f>
        <v>-7210.49935483045</v>
      </c>
      <c r="AB39" s="311" t="n">
        <f aca="false">-AB34</f>
        <v>-2403.49978494348</v>
      </c>
      <c r="AC39" s="313" t="n">
        <f aca="false">SUM(H39:AB39)</f>
        <v>-130990.73827942</v>
      </c>
      <c r="AD39" s="39"/>
      <c r="AE39" s="300" t="n">
        <f aca="false">AE38+1</f>
        <v>33</v>
      </c>
    </row>
    <row r="40" customFormat="false" ht="12.75" hidden="false" customHeight="false" outlineLevel="0" collapsed="false">
      <c r="A40" s="445"/>
      <c r="B40" s="446" t="s">
        <v>1006</v>
      </c>
      <c r="C40" s="835"/>
      <c r="D40" s="447"/>
      <c r="E40" s="835"/>
      <c r="F40" s="1024"/>
      <c r="G40" s="446"/>
      <c r="H40" s="625" t="n">
        <f aca="false">SUM(H37:H39)</f>
        <v>0</v>
      </c>
      <c r="I40" s="625" t="n">
        <f aca="false">SUM(I37:I39)</f>
        <v>0</v>
      </c>
      <c r="J40" s="625" t="n">
        <f aca="false">SUM(J37:J39)</f>
        <v>138201.23763425</v>
      </c>
      <c r="K40" s="625" t="n">
        <f aca="false">SUM(K37:K39)</f>
        <v>130990.73827942</v>
      </c>
      <c r="L40" s="625" t="n">
        <f aca="false">SUM(L37:L39)</f>
        <v>123780.238924589</v>
      </c>
      <c r="M40" s="625" t="n">
        <f aca="false">SUM(M37:M39)</f>
        <v>116569.739569759</v>
      </c>
      <c r="N40" s="625" t="n">
        <f aca="false">SUM(N37:N39)</f>
        <v>109359.240214929</v>
      </c>
      <c r="O40" s="625" t="n">
        <f aca="false">SUM(O37:O39)</f>
        <v>102148.740860098</v>
      </c>
      <c r="P40" s="625" t="n">
        <f aca="false">SUM(P37:P39)</f>
        <v>94938.2415052676</v>
      </c>
      <c r="Q40" s="625" t="n">
        <f aca="false">SUM(Q37:Q39)</f>
        <v>87727.7421504372</v>
      </c>
      <c r="R40" s="625" t="n">
        <f aca="false">SUM(R37:R39)</f>
        <v>80517.2427956067</v>
      </c>
      <c r="S40" s="625" t="n">
        <f aca="false">SUM(S37:S39)</f>
        <v>73306.7434407763</v>
      </c>
      <c r="T40" s="625" t="n">
        <f aca="false">SUM(T37:T39)</f>
        <v>66096.2440859458</v>
      </c>
      <c r="U40" s="625" t="n">
        <f aca="false">SUM(U37:U39)</f>
        <v>58885.7447311154</v>
      </c>
      <c r="V40" s="625" t="n">
        <f aca="false">SUM(V37:V39)</f>
        <v>51675.2453762849</v>
      </c>
      <c r="W40" s="625" t="n">
        <f aca="false">SUM(W37:W39)</f>
        <v>44464.7460214545</v>
      </c>
      <c r="X40" s="625" t="n">
        <f aca="false">SUM(X37:X39)</f>
        <v>37254.246666624</v>
      </c>
      <c r="Y40" s="625" t="n">
        <f aca="false">SUM(Y37:Y39)</f>
        <v>30043.7473117936</v>
      </c>
      <c r="Z40" s="625" t="n">
        <f aca="false">SUM(Z37:Z39)</f>
        <v>22833.2479569631</v>
      </c>
      <c r="AA40" s="625" t="n">
        <f aca="false">SUM(AA37:AA39)</f>
        <v>15622.7486021327</v>
      </c>
      <c r="AB40" s="625" t="n">
        <f aca="false">SUM(AB37:AB39)</f>
        <v>13219.2488171892</v>
      </c>
      <c r="AC40" s="626" t="n">
        <f aca="false">SUM(AC37:AC39)</f>
        <v>13219.2488171892</v>
      </c>
      <c r="AD40" s="39"/>
      <c r="AE40" s="300" t="n">
        <f aca="false">AE39+1</f>
        <v>34</v>
      </c>
    </row>
    <row r="41" customFormat="false" ht="12.75" hidden="false" customHeight="false" outlineLevel="0" collapsed="false">
      <c r="A41" s="1025"/>
      <c r="B41" s="39"/>
      <c r="C41" s="826"/>
      <c r="D41" s="39"/>
      <c r="E41" s="826"/>
      <c r="F41" s="834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02"/>
      <c r="AD41" s="39"/>
      <c r="AE41" s="300" t="n">
        <f aca="false">AE40+1</f>
        <v>35</v>
      </c>
    </row>
    <row r="42" customFormat="false" ht="12.75" hidden="false" customHeight="false" outlineLevel="0" collapsed="false">
      <c r="A42" s="97" t="s">
        <v>1007</v>
      </c>
      <c r="B42" s="38"/>
      <c r="C42" s="952" t="s">
        <v>990</v>
      </c>
      <c r="D42" s="952"/>
      <c r="E42" s="1026" t="s">
        <v>991</v>
      </c>
      <c r="F42" s="1026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02"/>
      <c r="AD42" s="39"/>
      <c r="AE42" s="300" t="n">
        <f aca="false">AE41+1</f>
        <v>36</v>
      </c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</row>
    <row r="43" customFormat="false" ht="12.75" hidden="false" customHeight="false" outlineLevel="0" collapsed="false">
      <c r="A43" s="37" t="s">
        <v>1008</v>
      </c>
      <c r="B43" s="39"/>
      <c r="C43" s="961" t="s">
        <v>993</v>
      </c>
      <c r="D43" s="961"/>
      <c r="E43" s="1021" t="s">
        <v>994</v>
      </c>
      <c r="F43" s="1021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02"/>
      <c r="AD43" s="39"/>
      <c r="AE43" s="300" t="n">
        <f aca="false">AE42+1</f>
        <v>37</v>
      </c>
    </row>
    <row r="44" customFormat="false" ht="12.75" hidden="false" customHeight="false" outlineLevel="0" collapsed="false">
      <c r="A44" s="37"/>
      <c r="B44" s="39" t="s">
        <v>1009</v>
      </c>
      <c r="C44" s="1022" t="n">
        <f aca="false">Assm!$K$43</f>
        <v>20</v>
      </c>
      <c r="D44" s="1022"/>
      <c r="E44" s="1023" t="n">
        <f aca="false">Assm!$J$43</f>
        <v>144209.987096609</v>
      </c>
      <c r="F44" s="1023"/>
      <c r="G44" s="39"/>
      <c r="H44" s="61" t="n">
        <f aca="false">IF($C44&lt;=Term,IF(SUM($H$9:H$9)&gt;$C44*12,$E44-SUM($G44:G44),SLN($E44,0,$C44)*H$9/12),$E44/Term*H$9/12)</f>
        <v>0</v>
      </c>
      <c r="I44" s="61" t="n">
        <f aca="false">IF($C44&lt;=Term,IF(SUM($H$9:I$9)&gt;$C44*12,$E44-SUM($G44:H44),SLN($E44,0,$C44)*I$9/12),$E44/Term*I$9/12)</f>
        <v>0</v>
      </c>
      <c r="J44" s="61" t="n">
        <f aca="false">IF($C44&lt;=Term,IF(SUM($H$9:J$9)&gt;$C44*12,$E44-SUM($G44:I44),SLN($E44,0,$C44)*J$9/12),$E44/Term*J$9/12)</f>
        <v>6008.74946235871</v>
      </c>
      <c r="K44" s="61" t="n">
        <f aca="false">IF($C44&lt;=Term,IF(SUM($H$9:K$9)&gt;$C44*12,$E44-SUM($G44:J44),SLN($E44,0,$C44)*K$9/12),$E44/Term*K$9/12)</f>
        <v>7210.49935483045</v>
      </c>
      <c r="L44" s="61" t="n">
        <f aca="false">IF($C44&lt;=Term,IF(SUM($H$9:L$9)&gt;$C44*12,$E44-SUM($G44:K44),SLN($E44,0,$C44)*L$9/12),$E44/Term*L$9/12)</f>
        <v>7210.49935483045</v>
      </c>
      <c r="M44" s="61" t="n">
        <f aca="false">IF($C44&lt;=Term,IF(SUM($H$9:M$9)&gt;$C44*12,$E44-SUM($G44:L44),SLN($E44,0,$C44)*M$9/12),$E44/Term*M$9/12)</f>
        <v>7210.49935483045</v>
      </c>
      <c r="N44" s="61" t="n">
        <f aca="false">IF($C44&lt;=Term,IF(SUM($H$9:N$9)&gt;$C44*12,$E44-SUM($G44:M44),SLN($E44,0,$C44)*N$9/12),$E44/Term*N$9/12)</f>
        <v>7210.49935483045</v>
      </c>
      <c r="O44" s="61" t="n">
        <f aca="false">IF($C44&lt;=Term,IF(SUM($H$9:O$9)&gt;$C44*12,$E44-SUM($G44:N44),SLN($E44,0,$C44)*O$9/12),$E44/Term*O$9/12)</f>
        <v>7210.49935483045</v>
      </c>
      <c r="P44" s="61" t="n">
        <f aca="false">IF($C44&lt;=Term,IF(SUM($H$9:P$9)&gt;$C44*12,$E44-SUM($G44:O44),SLN($E44,0,$C44)*P$9/12),$E44/Term*P$9/12)</f>
        <v>7210.49935483045</v>
      </c>
      <c r="Q44" s="61" t="n">
        <f aca="false">IF($C44&lt;=Term,IF(SUM($H$9:Q$9)&gt;$C44*12,$E44-SUM($G44:P44),SLN($E44,0,$C44)*Q$9/12),$E44/Term*Q$9/12)</f>
        <v>7210.49935483045</v>
      </c>
      <c r="R44" s="61" t="n">
        <f aca="false">IF($C44&lt;=Term,IF(SUM($H$9:R$9)&gt;$C44*12,$E44-SUM($G44:Q44),SLN($E44,0,$C44)*R$9/12),$E44/Term*R$9/12)</f>
        <v>7210.49935483045</v>
      </c>
      <c r="S44" s="61" t="n">
        <f aca="false">IF($C44&lt;=Term,IF(SUM($H$9:S$9)&gt;$C44*12,$E44-SUM($G44:R44),SLN($E44,0,$C44)*S$9/12),$E44/Term*S$9/12)</f>
        <v>7210.49935483045</v>
      </c>
      <c r="T44" s="61" t="n">
        <f aca="false">IF($C44&lt;=Term,IF(SUM($H$9:T$9)&gt;$C44*12,$E44-SUM($G44:S44),SLN($E44,0,$C44)*T$9/12),$E44/Term*T$9/12)</f>
        <v>7210.49935483045</v>
      </c>
      <c r="U44" s="61" t="n">
        <f aca="false">IF($C44&lt;=Term,IF(SUM($H$9:U$9)&gt;$C44*12,$E44-SUM($G44:T44),SLN($E44,0,$C44)*U$9/12),$E44/Term*U$9/12)</f>
        <v>7210.49935483045</v>
      </c>
      <c r="V44" s="61" t="n">
        <f aca="false">IF($C44&lt;=Term,IF(SUM($H$9:V$9)&gt;$C44*12,$E44-SUM($G44:U44),SLN($E44,0,$C44)*V$9/12),$E44/Term*V$9/12)</f>
        <v>7210.49935483045</v>
      </c>
      <c r="W44" s="61" t="n">
        <f aca="false">IF($C44&lt;=Term,IF(SUM($H$9:W$9)&gt;$C44*12,$E44-SUM($G44:V44),SLN($E44,0,$C44)*W$9/12),$E44/Term*W$9/12)</f>
        <v>7210.49935483045</v>
      </c>
      <c r="X44" s="61" t="n">
        <f aca="false">IF($C44&lt;=Term,IF(SUM($H$9:X$9)&gt;$C44*12,$E44-SUM($G44:W44),SLN($E44,0,$C44)*X$9/12),$E44/Term*X$9/12)</f>
        <v>7210.49935483045</v>
      </c>
      <c r="Y44" s="61" t="n">
        <f aca="false">IF($C44&lt;=Term,IF(SUM($H$9:Y$9)&gt;$C44*12,$E44-SUM($G44:X44),SLN($E44,0,$C44)*Y$9/12),$E44/Term*Y$9/12)</f>
        <v>7210.49935483045</v>
      </c>
      <c r="Z44" s="61" t="n">
        <f aca="false">IF($C44&lt;=Term,IF(SUM($H$9:Z$9)&gt;$C44*12,$E44-SUM($G44:Y44),SLN($E44,0,$C44)*Z$9/12),$E44/Term*Z$9/12)</f>
        <v>7210.49935483045</v>
      </c>
      <c r="AA44" s="61" t="n">
        <f aca="false">IF($C44&lt;=Term,IF(SUM($H$9:AA$9)&gt;$C44*12,$E44-SUM($G44:Z44),SLN($E44,0,$C44)*AA$9/12),$E44/Term*AA$9/12)</f>
        <v>7210.49935483045</v>
      </c>
      <c r="AB44" s="61" t="n">
        <f aca="false">IF($C44&lt;=Term,IF(SUM($H$9:AB$9)&gt;$C44*12,$E44-SUM($G44:AA44),SLN($E44,0,$C44)*AB$9/12),$E44/Term*AB$9/12)</f>
        <v>2403.49978494348</v>
      </c>
      <c r="AC44" s="309" t="n">
        <f aca="false">SUM(H44:AB44)</f>
        <v>130990.73827942</v>
      </c>
      <c r="AD44" s="39"/>
      <c r="AE44" s="300" t="n">
        <f aca="false">AE43+1</f>
        <v>38</v>
      </c>
    </row>
    <row r="45" customFormat="false" ht="12.75" hidden="false" customHeight="false" outlineLevel="0" collapsed="false">
      <c r="A45" s="37"/>
      <c r="B45" s="39" t="s">
        <v>1010</v>
      </c>
      <c r="C45" s="826"/>
      <c r="D45" s="329"/>
      <c r="E45" s="826"/>
      <c r="F45" s="951"/>
      <c r="G45" s="39"/>
      <c r="H45" s="61" t="n">
        <f aca="false">SUM($H44:H44)</f>
        <v>0</v>
      </c>
      <c r="I45" s="61" t="n">
        <f aca="false">SUM($H44:I44)</f>
        <v>0</v>
      </c>
      <c r="J45" s="61" t="n">
        <f aca="false">SUM($H44:J44)</f>
        <v>6008.74946235871</v>
      </c>
      <c r="K45" s="61" t="n">
        <f aca="false">SUM($H44:K44)</f>
        <v>13219.2488171892</v>
      </c>
      <c r="L45" s="61" t="n">
        <f aca="false">SUM($H44:L44)</f>
        <v>20429.7481720196</v>
      </c>
      <c r="M45" s="61" t="n">
        <f aca="false">SUM($H44:M44)</f>
        <v>27640.2475268501</v>
      </c>
      <c r="N45" s="61" t="n">
        <f aca="false">SUM($H44:N44)</f>
        <v>34850.7468816805</v>
      </c>
      <c r="O45" s="61" t="n">
        <f aca="false">SUM($H44:O44)</f>
        <v>42061.246236511</v>
      </c>
      <c r="P45" s="61" t="n">
        <f aca="false">SUM($H44:P44)</f>
        <v>49271.7455913414</v>
      </c>
      <c r="Q45" s="61" t="n">
        <f aca="false">SUM($H44:Q44)</f>
        <v>56482.2449461719</v>
      </c>
      <c r="R45" s="61" t="n">
        <f aca="false">SUM($H44:R44)</f>
        <v>63692.7443010023</v>
      </c>
      <c r="S45" s="61" t="n">
        <f aca="false">SUM($H44:S44)</f>
        <v>70903.2436558328</v>
      </c>
      <c r="T45" s="61" t="n">
        <f aca="false">SUM($H44:T44)</f>
        <v>78113.7430106632</v>
      </c>
      <c r="U45" s="61" t="n">
        <f aca="false">SUM($H44:U44)</f>
        <v>85324.2423654937</v>
      </c>
      <c r="V45" s="61" t="n">
        <f aca="false">SUM($H44:V44)</f>
        <v>92534.7417203241</v>
      </c>
      <c r="W45" s="61" t="n">
        <f aca="false">SUM($H44:W44)</f>
        <v>99745.2410751546</v>
      </c>
      <c r="X45" s="61" t="n">
        <f aca="false">SUM($H44:X44)</f>
        <v>106955.740429985</v>
      </c>
      <c r="Y45" s="61" t="n">
        <f aca="false">SUM($H44:Y44)</f>
        <v>114166.239784815</v>
      </c>
      <c r="Z45" s="61" t="n">
        <f aca="false">SUM($H44:Z44)</f>
        <v>121376.739139646</v>
      </c>
      <c r="AA45" s="61" t="n">
        <f aca="false">SUM($H44:AA44)</f>
        <v>128587.238494476</v>
      </c>
      <c r="AB45" s="61" t="n">
        <f aca="false">SUM($H44:AB44)</f>
        <v>130990.73827942</v>
      </c>
      <c r="AC45" s="309"/>
      <c r="AD45" s="39"/>
      <c r="AE45" s="300" t="n">
        <f aca="false">AE44+1</f>
        <v>39</v>
      </c>
    </row>
    <row r="46" customFormat="false" ht="12.75" hidden="false" customHeight="false" outlineLevel="0" collapsed="false">
      <c r="A46" s="37"/>
      <c r="B46" s="39"/>
      <c r="C46" s="826"/>
      <c r="D46" s="329"/>
      <c r="E46" s="826"/>
      <c r="F46" s="951"/>
      <c r="G46" s="39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309"/>
      <c r="AD46" s="39"/>
      <c r="AE46" s="300" t="n">
        <f aca="false">AE45+1</f>
        <v>40</v>
      </c>
    </row>
    <row r="47" customFormat="false" ht="12.75" hidden="false" customHeight="false" outlineLevel="0" collapsed="false">
      <c r="A47" s="37"/>
      <c r="B47" s="39" t="s">
        <v>1011</v>
      </c>
      <c r="C47" s="826"/>
      <c r="D47" s="329"/>
      <c r="E47" s="826"/>
      <c r="F47" s="951"/>
      <c r="G47" s="39"/>
      <c r="H47" s="99" t="n">
        <v>0</v>
      </c>
      <c r="I47" s="61" t="n">
        <f aca="false">H50</f>
        <v>0</v>
      </c>
      <c r="J47" s="61" t="n">
        <f aca="false">I50</f>
        <v>0</v>
      </c>
      <c r="K47" s="61" t="n">
        <f aca="false">J50</f>
        <v>138201.23763425</v>
      </c>
      <c r="L47" s="61" t="n">
        <f aca="false">K50</f>
        <v>130990.73827942</v>
      </c>
      <c r="M47" s="61" t="n">
        <f aca="false">L50</f>
        <v>123780.238924589</v>
      </c>
      <c r="N47" s="61" t="n">
        <f aca="false">M50</f>
        <v>116569.739569759</v>
      </c>
      <c r="O47" s="61" t="n">
        <f aca="false">N50</f>
        <v>109359.240214929</v>
      </c>
      <c r="P47" s="61" t="n">
        <f aca="false">O50</f>
        <v>102148.740860098</v>
      </c>
      <c r="Q47" s="61" t="n">
        <f aca="false">P50</f>
        <v>94938.2415052676</v>
      </c>
      <c r="R47" s="61" t="n">
        <f aca="false">Q50</f>
        <v>87727.7421504372</v>
      </c>
      <c r="S47" s="61" t="n">
        <f aca="false">R50</f>
        <v>80517.2427956067</v>
      </c>
      <c r="T47" s="61" t="n">
        <f aca="false">S50</f>
        <v>73306.7434407763</v>
      </c>
      <c r="U47" s="61" t="n">
        <f aca="false">T50</f>
        <v>66096.2440859458</v>
      </c>
      <c r="V47" s="61" t="n">
        <f aca="false">U50</f>
        <v>58885.7447311154</v>
      </c>
      <c r="W47" s="61" t="n">
        <f aca="false">V50</f>
        <v>51675.2453762849</v>
      </c>
      <c r="X47" s="61" t="n">
        <f aca="false">W50</f>
        <v>44464.7460214545</v>
      </c>
      <c r="Y47" s="61" t="n">
        <f aca="false">X50</f>
        <v>37254.246666624</v>
      </c>
      <c r="Z47" s="61" t="n">
        <f aca="false">Y50</f>
        <v>30043.7473117936</v>
      </c>
      <c r="AA47" s="61" t="n">
        <f aca="false">Z50</f>
        <v>22833.2479569631</v>
      </c>
      <c r="AB47" s="61" t="n">
        <f aca="false">AA50</f>
        <v>15622.7486021327</v>
      </c>
      <c r="AC47" s="309" t="n">
        <f aca="false">H47</f>
        <v>0</v>
      </c>
      <c r="AD47" s="39"/>
      <c r="AE47" s="300" t="n">
        <f aca="false">AE46+1</f>
        <v>41</v>
      </c>
    </row>
    <row r="48" customFormat="false" ht="12.75" hidden="false" customHeight="false" outlineLevel="0" collapsed="false">
      <c r="A48" s="37"/>
      <c r="B48" s="39" t="s">
        <v>998</v>
      </c>
      <c r="C48" s="826"/>
      <c r="D48" s="329"/>
      <c r="E48" s="826"/>
      <c r="F48" s="951"/>
      <c r="G48" s="39"/>
      <c r="H48" s="61" t="n">
        <f aca="false">IF(H$7=YEAR(Startops1),$E44,0)</f>
        <v>0</v>
      </c>
      <c r="I48" s="61" t="n">
        <f aca="false">IF(I$7=YEAR(Startops1),$E44,0)</f>
        <v>0</v>
      </c>
      <c r="J48" s="61" t="n">
        <f aca="false">IF(J$7=YEAR(Startops1),$E44,0)</f>
        <v>144209.987096609</v>
      </c>
      <c r="K48" s="61" t="n">
        <f aca="false">IF(K$7=YEAR(Startops1),$E44,0)</f>
        <v>0</v>
      </c>
      <c r="L48" s="61" t="n">
        <f aca="false">IF(L$7=YEAR(Startops1),$E44,0)</f>
        <v>0</v>
      </c>
      <c r="M48" s="61" t="n">
        <f aca="false">IF(M$7=YEAR(Startops1),$E44,0)</f>
        <v>0</v>
      </c>
      <c r="N48" s="61" t="n">
        <f aca="false">IF(N$7=YEAR(Startops1),$E44,0)</f>
        <v>0</v>
      </c>
      <c r="O48" s="61" t="n">
        <f aca="false">IF(O$7=YEAR(Startops1),$E44,0)</f>
        <v>0</v>
      </c>
      <c r="P48" s="61" t="n">
        <f aca="false">IF(P$7=YEAR(Startops1),$E44,0)</f>
        <v>0</v>
      </c>
      <c r="Q48" s="61" t="n">
        <f aca="false">IF(Q$7=YEAR(Startops1),$E44,0)</f>
        <v>0</v>
      </c>
      <c r="R48" s="61" t="n">
        <f aca="false">IF(R$7=YEAR(Startops1),$E44,0)</f>
        <v>0</v>
      </c>
      <c r="S48" s="61" t="n">
        <f aca="false">IF(S$7=YEAR(Startops1),$E44,0)</f>
        <v>0</v>
      </c>
      <c r="T48" s="61" t="n">
        <f aca="false">IF(T$7=YEAR(Startops1),$E44,0)</f>
        <v>0</v>
      </c>
      <c r="U48" s="61" t="n">
        <f aca="false">IF(U$7=YEAR(Startops1),$E44,0)</f>
        <v>0</v>
      </c>
      <c r="V48" s="61" t="n">
        <f aca="false">IF(V$7=YEAR(Startops1),$E44,0)</f>
        <v>0</v>
      </c>
      <c r="W48" s="61" t="n">
        <f aca="false">IF(W$7=YEAR(Startops1),$E44,0)</f>
        <v>0</v>
      </c>
      <c r="X48" s="61" t="n">
        <f aca="false">IF(X$7=YEAR(Startops1),$E44,0)</f>
        <v>0</v>
      </c>
      <c r="Y48" s="61" t="n">
        <f aca="false">IF(Y$7=YEAR(Startops1),$E44,0)</f>
        <v>0</v>
      </c>
      <c r="Z48" s="61" t="n">
        <f aca="false">IF(Z$7=YEAR(Startops1),$E44,0)</f>
        <v>0</v>
      </c>
      <c r="AA48" s="61" t="n">
        <f aca="false">IF(AA$7=YEAR(Startops1),$E44,0)</f>
        <v>0</v>
      </c>
      <c r="AB48" s="61" t="n">
        <f aca="false">IF(AB$7=YEAR(Startops1),$E44,0)</f>
        <v>0</v>
      </c>
      <c r="AC48" s="309" t="n">
        <f aca="false">SUM(H48:AB48)</f>
        <v>144209.987096609</v>
      </c>
      <c r="AD48" s="39"/>
      <c r="AE48" s="300" t="n">
        <f aca="false">AE47+1</f>
        <v>42</v>
      </c>
    </row>
    <row r="49" customFormat="false" ht="12.75" hidden="false" customHeight="false" outlineLevel="0" collapsed="false">
      <c r="A49" s="37"/>
      <c r="B49" s="39" t="s">
        <v>999</v>
      </c>
      <c r="C49" s="826"/>
      <c r="D49" s="329"/>
      <c r="E49" s="826"/>
      <c r="F49" s="951"/>
      <c r="G49" s="39"/>
      <c r="H49" s="311" t="n">
        <f aca="false">-H44</f>
        <v>-0</v>
      </c>
      <c r="I49" s="311" t="n">
        <f aca="false">-I44</f>
        <v>-0</v>
      </c>
      <c r="J49" s="311" t="n">
        <f aca="false">-J44</f>
        <v>-6008.74946235871</v>
      </c>
      <c r="K49" s="311" t="n">
        <f aca="false">-K44</f>
        <v>-7210.49935483045</v>
      </c>
      <c r="L49" s="311" t="n">
        <f aca="false">-L44</f>
        <v>-7210.49935483045</v>
      </c>
      <c r="M49" s="311" t="n">
        <f aca="false">-M44</f>
        <v>-7210.49935483045</v>
      </c>
      <c r="N49" s="311" t="n">
        <f aca="false">-N44</f>
        <v>-7210.49935483045</v>
      </c>
      <c r="O49" s="311" t="n">
        <f aca="false">-O44</f>
        <v>-7210.49935483045</v>
      </c>
      <c r="P49" s="311" t="n">
        <f aca="false">-P44</f>
        <v>-7210.49935483045</v>
      </c>
      <c r="Q49" s="311" t="n">
        <f aca="false">-Q44</f>
        <v>-7210.49935483045</v>
      </c>
      <c r="R49" s="311" t="n">
        <f aca="false">-R44</f>
        <v>-7210.49935483045</v>
      </c>
      <c r="S49" s="311" t="n">
        <f aca="false">-S44</f>
        <v>-7210.49935483045</v>
      </c>
      <c r="T49" s="311" t="n">
        <f aca="false">-T44</f>
        <v>-7210.49935483045</v>
      </c>
      <c r="U49" s="311" t="n">
        <f aca="false">-U44</f>
        <v>-7210.49935483045</v>
      </c>
      <c r="V49" s="311" t="n">
        <f aca="false">-V44</f>
        <v>-7210.49935483045</v>
      </c>
      <c r="W49" s="311" t="n">
        <f aca="false">-W44</f>
        <v>-7210.49935483045</v>
      </c>
      <c r="X49" s="311" t="n">
        <f aca="false">-X44</f>
        <v>-7210.49935483045</v>
      </c>
      <c r="Y49" s="311" t="n">
        <f aca="false">-Y44</f>
        <v>-7210.49935483045</v>
      </c>
      <c r="Z49" s="311" t="n">
        <f aca="false">-Z44</f>
        <v>-7210.49935483045</v>
      </c>
      <c r="AA49" s="311" t="n">
        <f aca="false">-AA44</f>
        <v>-7210.49935483045</v>
      </c>
      <c r="AB49" s="311" t="n">
        <f aca="false">-AB44</f>
        <v>-2403.49978494348</v>
      </c>
      <c r="AC49" s="313" t="n">
        <f aca="false">SUM(H49:AB49)</f>
        <v>-130990.73827942</v>
      </c>
      <c r="AD49" s="39"/>
      <c r="AE49" s="300" t="n">
        <f aca="false">AE48+1</f>
        <v>43</v>
      </c>
    </row>
    <row r="50" customFormat="false" ht="12.75" hidden="false" customHeight="false" outlineLevel="0" collapsed="false">
      <c r="A50" s="445"/>
      <c r="B50" s="446" t="s">
        <v>1012</v>
      </c>
      <c r="C50" s="835"/>
      <c r="D50" s="447"/>
      <c r="E50" s="835"/>
      <c r="F50" s="1024"/>
      <c r="G50" s="446"/>
      <c r="H50" s="625" t="n">
        <f aca="false">SUM(H47:H49)</f>
        <v>0</v>
      </c>
      <c r="I50" s="625" t="n">
        <f aca="false">SUM(I47:I49)</f>
        <v>0</v>
      </c>
      <c r="J50" s="625" t="n">
        <f aca="false">SUM(J47:J49)</f>
        <v>138201.23763425</v>
      </c>
      <c r="K50" s="625" t="n">
        <f aca="false">SUM(K47:K49)</f>
        <v>130990.73827942</v>
      </c>
      <c r="L50" s="625" t="n">
        <f aca="false">SUM(L47:L49)</f>
        <v>123780.238924589</v>
      </c>
      <c r="M50" s="625" t="n">
        <f aca="false">SUM(M47:M49)</f>
        <v>116569.739569759</v>
      </c>
      <c r="N50" s="625" t="n">
        <f aca="false">SUM(N47:N49)</f>
        <v>109359.240214929</v>
      </c>
      <c r="O50" s="625" t="n">
        <f aca="false">SUM(O47:O49)</f>
        <v>102148.740860098</v>
      </c>
      <c r="P50" s="625" t="n">
        <f aca="false">SUM(P47:P49)</f>
        <v>94938.2415052676</v>
      </c>
      <c r="Q50" s="625" t="n">
        <f aca="false">SUM(Q47:Q49)</f>
        <v>87727.7421504372</v>
      </c>
      <c r="R50" s="625" t="n">
        <f aca="false">SUM(R47:R49)</f>
        <v>80517.2427956067</v>
      </c>
      <c r="S50" s="625" t="n">
        <f aca="false">SUM(S47:S49)</f>
        <v>73306.7434407763</v>
      </c>
      <c r="T50" s="625" t="n">
        <f aca="false">SUM(T47:T49)</f>
        <v>66096.2440859458</v>
      </c>
      <c r="U50" s="625" t="n">
        <f aca="false">SUM(U47:U49)</f>
        <v>58885.7447311154</v>
      </c>
      <c r="V50" s="625" t="n">
        <f aca="false">SUM(V47:V49)</f>
        <v>51675.2453762849</v>
      </c>
      <c r="W50" s="625" t="n">
        <f aca="false">SUM(W47:W49)</f>
        <v>44464.7460214545</v>
      </c>
      <c r="X50" s="625" t="n">
        <f aca="false">SUM(X47:X49)</f>
        <v>37254.246666624</v>
      </c>
      <c r="Y50" s="625" t="n">
        <f aca="false">SUM(Y47:Y49)</f>
        <v>30043.7473117936</v>
      </c>
      <c r="Z50" s="625" t="n">
        <f aca="false">SUM(Z47:Z49)</f>
        <v>22833.2479569631</v>
      </c>
      <c r="AA50" s="625" t="n">
        <f aca="false">SUM(AA47:AA49)</f>
        <v>15622.7486021327</v>
      </c>
      <c r="AB50" s="625" t="n">
        <f aca="false">SUM(AB47:AB49)</f>
        <v>13219.2488171892</v>
      </c>
      <c r="AC50" s="626" t="n">
        <f aca="false">SUM(AC47:AC49)</f>
        <v>13219.2488171892</v>
      </c>
      <c r="AD50" s="39"/>
      <c r="AE50" s="300" t="n">
        <f aca="false">AE49+1</f>
        <v>44</v>
      </c>
    </row>
    <row r="51" customFormat="false" ht="12.75" hidden="false" customHeight="false" outlineLevel="0" collapsed="false">
      <c r="C51" s="39"/>
      <c r="D51" s="39"/>
      <c r="E51" s="39"/>
      <c r="F51" s="39"/>
    </row>
  </sheetData>
  <mergeCells count="18">
    <mergeCell ref="C22:D22"/>
    <mergeCell ref="E22:F22"/>
    <mergeCell ref="C23:D23"/>
    <mergeCell ref="E23:F23"/>
    <mergeCell ref="C24:D24"/>
    <mergeCell ref="E24:F24"/>
    <mergeCell ref="C32:D32"/>
    <mergeCell ref="E32:F32"/>
    <mergeCell ref="C33:D33"/>
    <mergeCell ref="E33:F33"/>
    <mergeCell ref="C34:D34"/>
    <mergeCell ref="E34:F34"/>
    <mergeCell ref="C42:D42"/>
    <mergeCell ref="E42:F42"/>
    <mergeCell ref="C43:D43"/>
    <mergeCell ref="E43:F43"/>
    <mergeCell ref="C44:D44"/>
    <mergeCell ref="E44:F44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16"/>
      <c r="D1" s="414"/>
      <c r="E1" s="414"/>
      <c r="F1" s="415"/>
      <c r="G1" s="15"/>
      <c r="H1" s="415"/>
      <c r="I1" s="415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16"/>
      <c r="D2" s="414"/>
      <c r="E2" s="414"/>
      <c r="F2" s="415"/>
      <c r="G2" s="15"/>
      <c r="H2" s="415"/>
      <c r="I2" s="415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20"/>
      <c r="F3" s="415"/>
      <c r="G3" s="15"/>
      <c r="H3" s="415"/>
      <c r="I3" s="421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1013</v>
      </c>
      <c r="B4" s="1005"/>
      <c r="C4" s="116"/>
      <c r="D4" s="1005"/>
      <c r="E4" s="1005"/>
      <c r="F4" s="415"/>
      <c r="G4" s="15"/>
      <c r="H4" s="415"/>
      <c r="I4" s="421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1027"/>
      <c r="B6" s="1028"/>
      <c r="C6" s="1028"/>
      <c r="D6" s="1029"/>
      <c r="E6" s="1030"/>
      <c r="F6" s="941"/>
      <c r="G6" s="941"/>
      <c r="H6" s="941" t="s">
        <v>1014</v>
      </c>
      <c r="I6" s="1031"/>
    </row>
    <row r="7" customFormat="false" ht="12.75" hidden="false" customHeight="false" outlineLevel="0" collapsed="false">
      <c r="A7" s="1032"/>
      <c r="B7" s="952"/>
      <c r="C7" s="952"/>
      <c r="D7" s="43"/>
      <c r="E7" s="1033"/>
      <c r="F7" s="1026"/>
      <c r="G7" s="1026" t="s">
        <v>1015</v>
      </c>
      <c r="H7" s="1026" t="s">
        <v>1016</v>
      </c>
      <c r="I7" s="1034"/>
    </row>
    <row r="8" customFormat="false" ht="13.5" hidden="false" customHeight="false" outlineLevel="0" collapsed="false">
      <c r="A8" s="1035" t="s">
        <v>1017</v>
      </c>
      <c r="B8" s="1036" t="s">
        <v>1018</v>
      </c>
      <c r="C8" s="1037" t="s">
        <v>1019</v>
      </c>
      <c r="D8" s="1037"/>
      <c r="E8" s="1037"/>
      <c r="F8" s="1037" t="s">
        <v>1020</v>
      </c>
      <c r="G8" s="1037" t="s">
        <v>1021</v>
      </c>
      <c r="H8" s="1037" t="s">
        <v>1022</v>
      </c>
      <c r="I8" s="1038" t="s">
        <v>1023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580" t="str">
        <f aca="false">Assm!A6</f>
        <v>Pipeline Data</v>
      </c>
      <c r="B10" s="1039" t="str">
        <f aca="false">Assm!A7</f>
        <v>Pipeline Length - Bolivia</v>
      </c>
      <c r="C10" s="1040" t="n">
        <f aca="false">Assm!E7</f>
        <v>369</v>
      </c>
      <c r="D10" s="26" t="str">
        <f aca="false">Assm!F7</f>
        <v>Kilometers</v>
      </c>
      <c r="E10" s="26"/>
      <c r="F10" s="1041" t="s">
        <v>1024</v>
      </c>
      <c r="G10" s="1042" t="n">
        <v>36008</v>
      </c>
      <c r="H10" s="1041" t="s">
        <v>1025</v>
      </c>
      <c r="I10" s="1043" t="s">
        <v>1026</v>
      </c>
    </row>
    <row r="11" customFormat="false" ht="13.5" hidden="false" customHeight="false" outlineLevel="0" collapsed="false">
      <c r="A11" s="49"/>
      <c r="B11" s="1044" t="str">
        <f aca="false">Assm!A8</f>
        <v>Size of Pipe</v>
      </c>
      <c r="C11" s="1045" t="n">
        <f aca="false">Assm!E8</f>
        <v>18</v>
      </c>
      <c r="D11" s="22" t="str">
        <f aca="false">Assm!F8</f>
        <v>Inches</v>
      </c>
      <c r="E11" s="22"/>
      <c r="F11" s="1046" t="s">
        <v>1024</v>
      </c>
      <c r="G11" s="1047" t="n">
        <v>36008</v>
      </c>
      <c r="H11" s="1046" t="s">
        <v>1025</v>
      </c>
      <c r="I11" s="1048" t="s">
        <v>1027</v>
      </c>
    </row>
    <row r="12" customFormat="false" ht="13.5" hidden="false" customHeight="false" outlineLevel="0" collapsed="false">
      <c r="A12" s="39"/>
      <c r="B12" s="39"/>
      <c r="C12" s="39"/>
      <c r="D12" s="39"/>
      <c r="F12" s="47"/>
      <c r="G12" s="1049"/>
      <c r="H12" s="47"/>
      <c r="I12" s="39"/>
    </row>
    <row r="13" customFormat="false" ht="12.75" hidden="false" customHeight="false" outlineLevel="0" collapsed="false">
      <c r="A13" s="1050" t="str">
        <f aca="false">Assm!A10</f>
        <v>Project Operations</v>
      </c>
      <c r="B13" s="942" t="str">
        <f aca="false">Assm!A11</f>
        <v>Start Of Development</v>
      </c>
      <c r="C13" s="1051" t="n">
        <f aca="false">Assm!F11</f>
        <v>35886</v>
      </c>
      <c r="D13" s="26"/>
      <c r="E13" s="940"/>
      <c r="F13" s="1041" t="s">
        <v>1028</v>
      </c>
      <c r="G13" s="1042" t="n">
        <v>35664</v>
      </c>
      <c r="H13" s="1041" t="s">
        <v>1029</v>
      </c>
      <c r="I13" s="1043" t="s">
        <v>1030</v>
      </c>
    </row>
    <row r="14" customFormat="false" ht="12.75" hidden="false" customHeight="false" outlineLevel="0" collapsed="false">
      <c r="A14" s="1052"/>
      <c r="B14" s="826" t="str">
        <f aca="false">Assm!A12</f>
        <v>Pipeline Notice To Proceed (NTP)</v>
      </c>
      <c r="C14" s="1053" t="n">
        <f aca="false">Assm!F12</f>
        <v>36342</v>
      </c>
      <c r="D14" s="39"/>
      <c r="E14" s="834"/>
      <c r="F14" s="1054" t="s">
        <v>1031</v>
      </c>
      <c r="G14" s="1055" t="n">
        <v>36335</v>
      </c>
      <c r="H14" s="1054" t="s">
        <v>1032</v>
      </c>
      <c r="I14" s="1056"/>
    </row>
    <row r="15" customFormat="false" ht="12.75" hidden="false" customHeight="false" outlineLevel="0" collapsed="false">
      <c r="A15" s="1052"/>
      <c r="B15" s="826" t="str">
        <f aca="false">Assm!A13</f>
        <v>Pipeline Ready For Service (RFS)</v>
      </c>
      <c r="C15" s="1053" t="n">
        <f aca="false">Assm!F13</f>
        <v>36892</v>
      </c>
      <c r="D15" s="39"/>
      <c r="E15" s="834"/>
      <c r="F15" s="1054" t="s">
        <v>1033</v>
      </c>
      <c r="G15" s="1055" t="n">
        <v>36389</v>
      </c>
      <c r="H15" s="1054" t="s">
        <v>1029</v>
      </c>
      <c r="I15" s="1056" t="s">
        <v>1034</v>
      </c>
    </row>
    <row r="16" customFormat="false" ht="12.75" hidden="false" customHeight="false" outlineLevel="0" collapsed="false">
      <c r="A16" s="1052"/>
      <c r="B16" s="826" t="str">
        <f aca="false">Assm!A14</f>
        <v>Months Of Development (Until Start Of Phase II)</v>
      </c>
      <c r="C16" s="1057" t="n">
        <f aca="false">Assm!F14</f>
        <v>35</v>
      </c>
      <c r="D16" s="39"/>
      <c r="E16" s="834"/>
      <c r="F16" s="1054" t="s">
        <v>1035</v>
      </c>
      <c r="G16" s="1055"/>
      <c r="H16" s="1054"/>
      <c r="I16" s="1056"/>
    </row>
    <row r="17" customFormat="false" ht="12.75" hidden="false" customHeight="false" outlineLevel="0" collapsed="false">
      <c r="A17" s="1052"/>
      <c r="B17" s="826" t="str">
        <f aca="false">Assm!A15</f>
        <v>Start Date (Phase II - Power Plant)</v>
      </c>
      <c r="C17" s="1053" t="n">
        <f aca="false">Assm!F15</f>
        <v>36951</v>
      </c>
      <c r="D17" s="39"/>
      <c r="E17" s="834"/>
      <c r="F17" s="1054" t="s">
        <v>1033</v>
      </c>
      <c r="G17" s="1055" t="n">
        <v>36389</v>
      </c>
      <c r="H17" s="1054" t="s">
        <v>1029</v>
      </c>
      <c r="I17" s="1056" t="s">
        <v>1034</v>
      </c>
    </row>
    <row r="18" customFormat="false" ht="12.75" hidden="false" customHeight="false" outlineLevel="0" collapsed="false">
      <c r="A18" s="1052"/>
      <c r="B18" s="826" t="str">
        <f aca="false">Assm!A16</f>
        <v>Start Date (Phase III - Power Plant)</v>
      </c>
      <c r="C18" s="1053" t="n">
        <f aca="false">Assm!F16</f>
        <v>37104</v>
      </c>
      <c r="D18" s="39"/>
      <c r="E18" s="834"/>
      <c r="F18" s="1054" t="s">
        <v>1036</v>
      </c>
      <c r="G18" s="1055" t="n">
        <v>36407</v>
      </c>
      <c r="H18" s="1054" t="s">
        <v>1037</v>
      </c>
      <c r="I18" s="1056" t="s">
        <v>1038</v>
      </c>
    </row>
    <row r="19" customFormat="false" ht="12.75" hidden="false" customHeight="false" outlineLevel="0" collapsed="false">
      <c r="A19" s="1052"/>
      <c r="B19" s="826" t="str">
        <f aca="false">Assm!A17</f>
        <v>End Of Operations - Cuiaba I</v>
      </c>
      <c r="C19" s="1053" t="n">
        <f aca="false">Assm!F17</f>
        <v>43556</v>
      </c>
      <c r="D19" s="39"/>
      <c r="E19" s="834"/>
      <c r="F19" s="1054" t="s">
        <v>1039</v>
      </c>
      <c r="G19" s="1055" t="n">
        <v>35761</v>
      </c>
      <c r="H19" s="1054" t="s">
        <v>1037</v>
      </c>
      <c r="I19" s="1056" t="s">
        <v>1040</v>
      </c>
    </row>
    <row r="20" customFormat="false" ht="12.75" hidden="false" customHeight="false" outlineLevel="0" collapsed="false">
      <c r="A20" s="1052"/>
      <c r="B20" s="826" t="str">
        <f aca="false">Assm!A18</f>
        <v>Term Of Contract (Yrs)</v>
      </c>
      <c r="C20" s="1057" t="n">
        <f aca="false">Assm!F18</f>
        <v>20</v>
      </c>
      <c r="D20" s="1058" t="s">
        <v>1041</v>
      </c>
      <c r="E20" s="1059"/>
      <c r="F20" s="1054" t="s">
        <v>1042</v>
      </c>
      <c r="G20" s="1055" t="n">
        <v>36224</v>
      </c>
      <c r="H20" s="1054" t="s">
        <v>1029</v>
      </c>
      <c r="I20" s="1056" t="s">
        <v>1043</v>
      </c>
    </row>
    <row r="21" customFormat="false" ht="13.5" hidden="false" customHeight="false" outlineLevel="0" collapsed="false">
      <c r="A21" s="49"/>
      <c r="B21" s="1044" t="str">
        <f aca="false">Assm!A19</f>
        <v>Project Type</v>
      </c>
      <c r="C21" s="1060" t="str">
        <f aca="false">Assm!F19</f>
        <v>BOO</v>
      </c>
      <c r="D21" s="22"/>
      <c r="E21" s="22"/>
      <c r="F21" s="1046" t="s">
        <v>1024</v>
      </c>
      <c r="G21" s="1047"/>
      <c r="H21" s="1046"/>
      <c r="I21" s="1048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3.5" hidden="false" customHeight="false" outlineLevel="0" collapsed="false">
      <c r="A22" s="39"/>
      <c r="B22" s="39"/>
      <c r="C22" s="39"/>
      <c r="D22" s="39"/>
      <c r="F22" s="47"/>
      <c r="G22" s="1049"/>
      <c r="H22" s="47"/>
      <c r="I22" s="39"/>
    </row>
    <row r="23" customFormat="false" ht="12.75" hidden="false" customHeight="false" outlineLevel="0" collapsed="false">
      <c r="A23" s="1050" t="str">
        <f aca="false">Assm!A21</f>
        <v>Financial Closing</v>
      </c>
      <c r="B23" s="942" t="str">
        <f aca="false">Assm!A22</f>
        <v>Date Of Financial Close</v>
      </c>
      <c r="C23" s="1061" t="n">
        <f aca="false">Fin_Close</f>
        <v>36770</v>
      </c>
      <c r="D23" s="26"/>
      <c r="E23" s="940"/>
      <c r="F23" s="1041" t="s">
        <v>1044</v>
      </c>
      <c r="G23" s="1042" t="n">
        <v>36436</v>
      </c>
      <c r="H23" s="1041" t="s">
        <v>1045</v>
      </c>
      <c r="I23" s="1043"/>
    </row>
    <row r="24" customFormat="false" ht="12.75" hidden="false" customHeight="false" outlineLevel="0" collapsed="false">
      <c r="A24" s="1052"/>
      <c r="B24" s="826" t="str">
        <f aca="false">Assm!A23</f>
        <v>NTP To Financial Close  (Mos)</v>
      </c>
      <c r="C24" s="1057" t="n">
        <f aca="false">Assm!F23</f>
        <v>29</v>
      </c>
      <c r="D24" s="39"/>
      <c r="E24" s="834"/>
      <c r="F24" s="1054" t="s">
        <v>1035</v>
      </c>
      <c r="G24" s="1055"/>
      <c r="H24" s="1054"/>
      <c r="I24" s="1056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</row>
    <row r="25" customFormat="false" ht="13.5" hidden="false" customHeight="false" outlineLevel="0" collapsed="false">
      <c r="A25" s="1062"/>
      <c r="B25" s="988" t="str">
        <f aca="false">Assm!A25</f>
        <v>First Debt Service Payment</v>
      </c>
      <c r="C25" s="1063" t="n">
        <f aca="false">Debt_Serv</f>
        <v>37288</v>
      </c>
      <c r="D25" s="22"/>
      <c r="E25" s="987"/>
      <c r="F25" s="1046" t="s">
        <v>1035</v>
      </c>
      <c r="G25" s="1047"/>
      <c r="H25" s="1046"/>
      <c r="I25" s="1048" t="s">
        <v>1046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13.5" hidden="false" customHeight="false" outlineLevel="0" collapsed="false">
      <c r="A26" s="39"/>
      <c r="B26" s="39"/>
      <c r="C26" s="39"/>
      <c r="D26" s="39"/>
      <c r="F26" s="47"/>
      <c r="G26" s="39"/>
      <c r="H26" s="47"/>
      <c r="I26" s="39"/>
    </row>
    <row r="27" customFormat="false" ht="12.75" hidden="false" customHeight="false" outlineLevel="0" collapsed="false">
      <c r="A27" s="580" t="str">
        <f aca="false">Assm!A27</f>
        <v>Transport Charges</v>
      </c>
      <c r="B27" s="1064" t="s">
        <v>1047</v>
      </c>
      <c r="C27" s="1065" t="n">
        <f aca="false">C37</f>
        <v>1998</v>
      </c>
      <c r="D27" s="1066"/>
      <c r="E27" s="1067"/>
      <c r="F27" s="1041"/>
      <c r="G27" s="1042"/>
      <c r="H27" s="1041"/>
      <c r="I27" s="1068"/>
    </row>
    <row r="28" customFormat="false" ht="12.75" hidden="false" customHeight="false" outlineLevel="0" collapsed="false">
      <c r="A28" s="37"/>
      <c r="B28" s="1069" t="str">
        <f aca="false">Assm!A29</f>
        <v>Capacity Charge</v>
      </c>
      <c r="C28" s="1070" t="n">
        <f aca="false">Assm!D29</f>
        <v>0.5668</v>
      </c>
      <c r="D28" s="1071" t="str">
        <f aca="false">Assm!C29</f>
        <v>$ / MMBTU</v>
      </c>
      <c r="E28" s="1072"/>
      <c r="F28" s="1054" t="s">
        <v>1042</v>
      </c>
      <c r="G28" s="1055" t="n">
        <v>36224</v>
      </c>
      <c r="H28" s="1054" t="s">
        <v>1029</v>
      </c>
      <c r="I28" s="1056" t="s">
        <v>1048</v>
      </c>
    </row>
    <row r="29" customFormat="false" ht="12.75" hidden="false" customHeight="false" outlineLevel="0" collapsed="false">
      <c r="A29" s="37"/>
      <c r="B29" s="1069" t="str">
        <f aca="false">Assm!A30</f>
        <v>Variable Charge</v>
      </c>
      <c r="C29" s="1070" t="n">
        <f aca="false">Assm!D30</f>
        <v>0.0064</v>
      </c>
      <c r="D29" s="1071" t="str">
        <f aca="false">Assm!C30</f>
        <v>$ / MMBTU</v>
      </c>
      <c r="E29" s="1072"/>
      <c r="F29" s="1054" t="s">
        <v>1042</v>
      </c>
      <c r="G29" s="1055" t="n">
        <v>36224</v>
      </c>
      <c r="H29" s="1054" t="s">
        <v>1029</v>
      </c>
      <c r="I29" s="1056" t="s">
        <v>1048</v>
      </c>
    </row>
    <row r="30" customFormat="false" ht="13.5" hidden="false" customHeight="false" outlineLevel="0" collapsed="false">
      <c r="A30" s="49"/>
      <c r="B30" s="1073" t="s">
        <v>1049</v>
      </c>
      <c r="C30" s="1074" t="str">
        <f aca="false">Assm!$F$29</f>
        <v>Greater Of CPI Or 1.005</v>
      </c>
      <c r="D30" s="1075"/>
      <c r="E30" s="1076"/>
      <c r="F30" s="1046" t="s">
        <v>1042</v>
      </c>
      <c r="G30" s="1047" t="n">
        <v>36224</v>
      </c>
      <c r="H30" s="1046" t="s">
        <v>1029</v>
      </c>
      <c r="I30" s="1048" t="s">
        <v>1048</v>
      </c>
    </row>
    <row r="31" customFormat="false" ht="13.5" hidden="false" customHeight="false" outlineLevel="0" collapsed="false">
      <c r="A31" s="39"/>
      <c r="B31" s="39"/>
      <c r="C31" s="39"/>
      <c r="D31" s="39"/>
      <c r="F31" s="47"/>
      <c r="G31" s="39"/>
      <c r="H31" s="47"/>
      <c r="I31" s="39"/>
    </row>
    <row r="32" customFormat="false" ht="12.75" hidden="false" customHeight="false" outlineLevel="0" collapsed="false">
      <c r="A32" s="580" t="str">
        <f aca="false">Assm!A32</f>
        <v>Firm Service TOP</v>
      </c>
      <c r="B32" s="1039" t="str">
        <f aca="false">Assm!E32</f>
        <v>Start Date</v>
      </c>
      <c r="C32" s="1061" t="n">
        <f aca="false">Assm!F32</f>
        <v>37104</v>
      </c>
      <c r="D32" s="26"/>
      <c r="E32" s="26"/>
      <c r="F32" s="1041" t="s">
        <v>1042</v>
      </c>
      <c r="G32" s="1042" t="n">
        <v>36224</v>
      </c>
      <c r="H32" s="1041" t="s">
        <v>1029</v>
      </c>
      <c r="I32" s="1043" t="s">
        <v>1050</v>
      </c>
    </row>
    <row r="33" customFormat="false" ht="12.75" hidden="false" customHeight="false" outlineLevel="0" collapsed="false">
      <c r="A33" s="37"/>
      <c r="B33" s="1069"/>
      <c r="C33" s="1077" t="str">
        <f aca="false">Assm!D33</f>
        <v>Average</v>
      </c>
      <c r="D33" s="73"/>
      <c r="E33" s="73"/>
      <c r="F33" s="1054"/>
      <c r="G33" s="1055"/>
      <c r="H33" s="1054"/>
      <c r="I33" s="1056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</row>
    <row r="34" customFormat="false" ht="12.75" hidden="false" customHeight="false" outlineLevel="0" collapsed="false">
      <c r="A34" s="37"/>
      <c r="B34" s="1069"/>
      <c r="C34" s="1078" t="str">
        <f aca="false">Assm!D34</f>
        <v>MAXDTQ</v>
      </c>
      <c r="D34" s="1079" t="str">
        <f aca="false">Assm!E34</f>
        <v>TOP%</v>
      </c>
      <c r="E34" s="1079" t="str">
        <f aca="false">Assm!F34</f>
        <v>TOP Vol</v>
      </c>
      <c r="F34" s="1054"/>
      <c r="G34" s="1055"/>
      <c r="H34" s="1054"/>
      <c r="I34" s="1056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13.5" hidden="false" customHeight="false" outlineLevel="0" collapsed="false">
      <c r="A35" s="49"/>
      <c r="B35" s="1044"/>
      <c r="C35" s="1045" t="n">
        <f aca="false">Assm!D35</f>
        <v>102990</v>
      </c>
      <c r="D35" s="1080" t="n">
        <f aca="false">Assm!E35</f>
        <v>1</v>
      </c>
      <c r="E35" s="1045" t="n">
        <f aca="false">Assm!F35</f>
        <v>102990</v>
      </c>
      <c r="F35" s="1046" t="s">
        <v>1042</v>
      </c>
      <c r="G35" s="1047" t="n">
        <v>36224</v>
      </c>
      <c r="H35" s="1046" t="s">
        <v>1029</v>
      </c>
      <c r="I35" s="1048" t="s">
        <v>1050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</row>
    <row r="36" customFormat="false" ht="13.5" hidden="false" customHeight="false" outlineLevel="0" collapsed="false">
      <c r="A36" s="39"/>
      <c r="B36" s="39"/>
      <c r="C36" s="39"/>
      <c r="D36" s="39"/>
      <c r="F36" s="47"/>
      <c r="G36" s="39"/>
      <c r="H36" s="47"/>
      <c r="I36" s="39"/>
    </row>
    <row r="37" customFormat="false" ht="12.75" hidden="false" customHeight="false" outlineLevel="0" collapsed="false">
      <c r="A37" s="1050" t="str">
        <f aca="false">Assm!A37</f>
        <v>Operating Expenses ($000)</v>
      </c>
      <c r="B37" s="1081" t="s">
        <v>1047</v>
      </c>
      <c r="C37" s="1065" t="n">
        <f aca="false">Assm!E39</f>
        <v>1998</v>
      </c>
      <c r="D37" s="26"/>
      <c r="E37" s="940"/>
      <c r="F37" s="1041"/>
      <c r="G37" s="1042"/>
      <c r="H37" s="1041"/>
      <c r="I37" s="1068"/>
    </row>
    <row r="38" customFormat="false" ht="12.75" hidden="false" customHeight="false" outlineLevel="0" collapsed="false">
      <c r="A38" s="1052"/>
      <c r="B38" s="1082" t="s">
        <v>722</v>
      </c>
      <c r="C38" s="1083" t="str">
        <f aca="false">Assm!F37</f>
        <v>CPI Annual</v>
      </c>
      <c r="D38" s="39"/>
      <c r="E38" s="834"/>
      <c r="F38" s="1054"/>
      <c r="G38" s="1055"/>
      <c r="H38" s="1054"/>
      <c r="I38" s="107" t="s">
        <v>1051</v>
      </c>
    </row>
    <row r="39" customFormat="false" ht="12.75" hidden="false" customHeight="false" outlineLevel="0" collapsed="false">
      <c r="A39" s="1052"/>
      <c r="B39" s="1084" t="str">
        <f aca="false">Assm!A39</f>
        <v>Fixed</v>
      </c>
      <c r="C39" s="1085"/>
      <c r="D39" s="289"/>
      <c r="E39" s="1086"/>
      <c r="F39" s="1054"/>
      <c r="G39" s="1055"/>
      <c r="H39" s="1054"/>
      <c r="I39" s="107"/>
    </row>
    <row r="40" customFormat="false" ht="12.75" hidden="false" customHeight="false" outlineLevel="0" collapsed="false">
      <c r="A40" s="1052"/>
      <c r="B40" s="1069" t="str">
        <f aca="false">Assm!A40</f>
        <v>Salaries &amp; Benefits</v>
      </c>
      <c r="C40" s="1087" t="n">
        <f aca="false">Assm!E40</f>
        <v>236</v>
      </c>
      <c r="D40" s="218"/>
      <c r="E40" s="1088"/>
      <c r="F40" s="1054" t="s">
        <v>1052</v>
      </c>
      <c r="G40" s="1055" t="n">
        <v>35860</v>
      </c>
      <c r="H40" s="1054" t="s">
        <v>1053</v>
      </c>
      <c r="I40" s="107" t="s">
        <v>1054</v>
      </c>
    </row>
    <row r="41" customFormat="false" ht="12.75" hidden="false" customHeight="false" outlineLevel="0" collapsed="false">
      <c r="A41" s="1052"/>
      <c r="B41" s="1069" t="str">
        <f aca="false">Assm!A41</f>
        <v>Administrative Expenses - General</v>
      </c>
      <c r="C41" s="1087" t="n">
        <f aca="false">Assm!E41</f>
        <v>81</v>
      </c>
      <c r="D41" s="218"/>
      <c r="E41" s="1088"/>
      <c r="F41" s="1054" t="s">
        <v>1052</v>
      </c>
      <c r="G41" s="1055" t="n">
        <v>35860</v>
      </c>
      <c r="H41" s="1054" t="s">
        <v>1053</v>
      </c>
      <c r="I41" s="107" t="s">
        <v>1054</v>
      </c>
    </row>
    <row r="42" customFormat="false" ht="12.75" hidden="false" customHeight="false" outlineLevel="0" collapsed="false">
      <c r="A42" s="1052"/>
      <c r="B42" s="1069" t="str">
        <f aca="false">Assm!A42</f>
        <v>Administrative Expenses - Transredes</v>
      </c>
      <c r="C42" s="1087" t="n">
        <f aca="false">Assm!E42</f>
        <v>375</v>
      </c>
      <c r="D42" s="218"/>
      <c r="E42" s="1088"/>
      <c r="F42" s="1054" t="s">
        <v>1052</v>
      </c>
      <c r="G42" s="1055" t="n">
        <v>35860</v>
      </c>
      <c r="H42" s="1054" t="s">
        <v>1053</v>
      </c>
      <c r="I42" s="107" t="s">
        <v>1054</v>
      </c>
    </row>
    <row r="43" customFormat="false" ht="12.75" hidden="false" customHeight="false" outlineLevel="0" collapsed="false">
      <c r="A43" s="1052"/>
      <c r="B43" s="1069" t="str">
        <f aca="false">Assm!A43</f>
        <v>Equipment Rental</v>
      </c>
      <c r="C43" s="1087" t="n">
        <f aca="false">Assm!E43</f>
        <v>995.193</v>
      </c>
      <c r="D43" s="1089"/>
      <c r="E43" s="1090"/>
      <c r="F43" s="1054" t="s">
        <v>1052</v>
      </c>
      <c r="G43" s="1055" t="n">
        <v>35860</v>
      </c>
      <c r="H43" s="1054" t="s">
        <v>1053</v>
      </c>
      <c r="I43" s="107" t="s">
        <v>1054</v>
      </c>
    </row>
    <row r="44" customFormat="false" ht="12.75" hidden="false" customHeight="false" outlineLevel="0" collapsed="false">
      <c r="A44" s="1052"/>
      <c r="B44" s="1069" t="str">
        <f aca="false">Assm!A44</f>
        <v>Other O&amp;M Expenses</v>
      </c>
      <c r="C44" s="1087" t="n">
        <f aca="false">Assm!E44</f>
        <v>7.2</v>
      </c>
      <c r="D44" s="469"/>
      <c r="E44" s="1091"/>
      <c r="F44" s="1054" t="s">
        <v>1052</v>
      </c>
      <c r="G44" s="1055" t="n">
        <v>35860</v>
      </c>
      <c r="H44" s="1054" t="s">
        <v>1053</v>
      </c>
      <c r="I44" s="107" t="s">
        <v>1054</v>
      </c>
    </row>
    <row r="45" customFormat="false" ht="12.75" hidden="false" customHeight="false" outlineLevel="0" collapsed="false">
      <c r="A45" s="1052"/>
      <c r="B45" s="1069" t="str">
        <f aca="false">Assm!A45</f>
        <v>Gas Loss</v>
      </c>
      <c r="C45" s="1087" t="n">
        <f aca="false">Assm!E45</f>
        <v>0</v>
      </c>
      <c r="D45" s="1092"/>
      <c r="E45" s="944"/>
      <c r="F45" s="1054" t="s">
        <v>1052</v>
      </c>
      <c r="G45" s="1055" t="n">
        <v>35860</v>
      </c>
      <c r="H45" s="1054" t="s">
        <v>1053</v>
      </c>
      <c r="I45" s="107" t="s">
        <v>1054</v>
      </c>
    </row>
    <row r="46" customFormat="false" ht="12.75" hidden="false" customHeight="false" outlineLevel="0" collapsed="false">
      <c r="A46" s="1052"/>
      <c r="B46" s="1069" t="str">
        <f aca="false">Assm!A46</f>
        <v>Technical Services Fee</v>
      </c>
      <c r="C46" s="1087" t="n">
        <f aca="false">Assm!E46</f>
        <v>253.968</v>
      </c>
      <c r="D46" s="39"/>
      <c r="E46" s="834"/>
      <c r="F46" s="1054" t="s">
        <v>1052</v>
      </c>
      <c r="G46" s="1055" t="n">
        <v>35860</v>
      </c>
      <c r="H46" s="1054" t="s">
        <v>1053</v>
      </c>
      <c r="I46" s="107" t="s">
        <v>1054</v>
      </c>
    </row>
    <row r="47" customFormat="false" ht="12.75" hidden="false" customHeight="false" outlineLevel="0" collapsed="false">
      <c r="A47" s="1052"/>
      <c r="B47" s="1069" t="str">
        <f aca="false">Assm!A47</f>
        <v>Capital Budget Expenses (See Trapped Cash Sheet)</v>
      </c>
      <c r="C47" s="1087" t="n">
        <f aca="false">Assm!E47</f>
        <v>118.43119266055</v>
      </c>
      <c r="D47" s="1093"/>
      <c r="E47" s="1094"/>
      <c r="F47" s="1054" t="s">
        <v>1052</v>
      </c>
      <c r="G47" s="1055" t="n">
        <v>35860</v>
      </c>
      <c r="H47" s="1054" t="s">
        <v>1053</v>
      </c>
      <c r="I47" s="107" t="s">
        <v>1054</v>
      </c>
    </row>
    <row r="48" customFormat="false" ht="13.5" hidden="false" customHeight="false" outlineLevel="0" collapsed="false">
      <c r="A48" s="1062"/>
      <c r="B48" s="1044" t="str">
        <f aca="false">Assm!A48</f>
        <v>Operating Insurance</v>
      </c>
      <c r="C48" s="1095" t="n">
        <f aca="false">Assm!E48</f>
        <v>462.913</v>
      </c>
      <c r="D48" s="22"/>
      <c r="E48" s="987"/>
      <c r="F48" s="1046" t="s">
        <v>1055</v>
      </c>
      <c r="G48" s="1047" t="n">
        <v>36157</v>
      </c>
      <c r="H48" s="1046" t="s">
        <v>1056</v>
      </c>
      <c r="I48" s="1048" t="s">
        <v>1057</v>
      </c>
    </row>
    <row r="49" customFormat="false" ht="13.5" hidden="false" customHeight="false" outlineLevel="0" collapsed="false">
      <c r="F49" s="576"/>
      <c r="H49" s="576"/>
    </row>
    <row r="50" customFormat="false" ht="12.75" hidden="false" customHeight="false" outlineLevel="0" collapsed="false">
      <c r="A50" s="580" t="str">
        <f aca="false">Assm!A51</f>
        <v>TBS Transport Option ($000)</v>
      </c>
      <c r="B50" s="1096" t="str">
        <f aca="false">CONCATENATE(Assm!C51," ",Assm!C52)</f>
        <v>Option Paid By TBS To GasBol To Expand Pipeline Facilities From 102,990 To 182,540 MMBTU/Day</v>
      </c>
      <c r="C50" s="1097"/>
      <c r="D50" s="743"/>
      <c r="E50" s="1098"/>
      <c r="F50" s="1041"/>
      <c r="G50" s="1042"/>
      <c r="H50" s="1041"/>
      <c r="I50" s="1068"/>
    </row>
    <row r="51" customFormat="false" ht="12.75" hidden="false" customHeight="false" outlineLevel="0" collapsed="false">
      <c r="A51" s="37"/>
      <c r="B51" s="1069"/>
      <c r="C51" s="809"/>
      <c r="D51" s="85"/>
      <c r="E51" s="825"/>
      <c r="F51" s="1054"/>
      <c r="G51" s="1055"/>
      <c r="H51" s="1054"/>
      <c r="I51" s="107"/>
    </row>
    <row r="52" customFormat="false" ht="12.75" hidden="false" customHeight="false" outlineLevel="0" collapsed="false">
      <c r="A52" s="37"/>
      <c r="B52" s="1069" t="str">
        <f aca="false">Assm!A54</f>
        <v>Option Scenario</v>
      </c>
      <c r="C52" s="1099" t="n">
        <f aca="false">Assm!B54</f>
        <v>0</v>
      </c>
      <c r="D52" s="47"/>
      <c r="E52" s="1100"/>
      <c r="F52" s="1054"/>
      <c r="G52" s="1055"/>
      <c r="H52" s="1054"/>
      <c r="I52" s="107"/>
    </row>
    <row r="53" customFormat="false" ht="12.75" hidden="false" customHeight="false" outlineLevel="0" collapsed="false">
      <c r="A53" s="37"/>
      <c r="B53" s="1069" t="str">
        <f aca="false">Assm!D54</f>
        <v>Year Of Option Payment</v>
      </c>
      <c r="C53" s="809" t="n">
        <f aca="false">Assm!F54</f>
        <v>2004</v>
      </c>
      <c r="D53" s="47"/>
      <c r="E53" s="1100"/>
      <c r="F53" s="1054" t="s">
        <v>1058</v>
      </c>
      <c r="G53" s="1055" t="n">
        <v>36063</v>
      </c>
      <c r="H53" s="1054" t="s">
        <v>1059</v>
      </c>
      <c r="I53" s="107"/>
    </row>
    <row r="54" customFormat="false" ht="13.5" hidden="false" customHeight="false" outlineLevel="0" collapsed="false">
      <c r="A54" s="49"/>
      <c r="B54" s="1044" t="str">
        <f aca="false">Assm!D55</f>
        <v>Option Amount</v>
      </c>
      <c r="C54" s="1101" t="n">
        <f aca="false">Assm!F55</f>
        <v>5000</v>
      </c>
      <c r="D54" s="1075"/>
      <c r="E54" s="1076"/>
      <c r="F54" s="1046" t="s">
        <v>1060</v>
      </c>
      <c r="G54" s="1047" t="n">
        <v>35927</v>
      </c>
      <c r="H54" s="1046" t="s">
        <v>1029</v>
      </c>
      <c r="I54" s="1102" t="s">
        <v>1061</v>
      </c>
    </row>
    <row r="55" customFormat="false" ht="13.5" hidden="false" customHeight="false" outlineLevel="0" collapsed="false">
      <c r="F55" s="576"/>
      <c r="H55" s="576"/>
    </row>
    <row r="56" customFormat="false" ht="12.75" hidden="false" customHeight="false" outlineLevel="0" collapsed="false">
      <c r="A56" s="580" t="str">
        <f aca="false">Assm!A57</f>
        <v>Fuel Conversion</v>
      </c>
      <c r="B56" s="1039" t="s">
        <v>1062</v>
      </c>
      <c r="C56" s="1103" t="n">
        <f aca="false">Assm!D59</f>
        <v>9.2</v>
      </c>
      <c r="D56" s="1104" t="s">
        <v>1063</v>
      </c>
      <c r="E56" s="1105"/>
      <c r="F56" s="1041" t="s">
        <v>1064</v>
      </c>
      <c r="G56" s="1042"/>
      <c r="H56" s="1041"/>
      <c r="I56" s="1068"/>
    </row>
    <row r="57" customFormat="false" ht="12.75" hidden="false" customHeight="false" outlineLevel="0" collapsed="false">
      <c r="A57" s="37"/>
      <c r="B57" s="1069" t="s">
        <v>1065</v>
      </c>
      <c r="C57" s="1106" t="n">
        <f aca="false">Assm!D60</f>
        <v>3.9683</v>
      </c>
      <c r="D57" s="1107" t="s">
        <v>1066</v>
      </c>
      <c r="E57" s="1100"/>
      <c r="F57" s="1054" t="s">
        <v>1064</v>
      </c>
      <c r="G57" s="1055"/>
      <c r="H57" s="1054"/>
      <c r="I57" s="107"/>
    </row>
    <row r="58" customFormat="false" ht="13.5" hidden="false" customHeight="false" outlineLevel="0" collapsed="false">
      <c r="A58" s="49"/>
      <c r="B58" s="1073" t="s">
        <v>231</v>
      </c>
      <c r="C58" s="1108" t="n">
        <f aca="false">Assm!D61</f>
        <v>36.50836</v>
      </c>
      <c r="D58" s="118" t="s">
        <v>1067</v>
      </c>
      <c r="E58" s="1076"/>
      <c r="F58" s="1046" t="s">
        <v>1035</v>
      </c>
      <c r="G58" s="1047"/>
      <c r="H58" s="1046"/>
      <c r="I58" s="1102"/>
    </row>
    <row r="59" customFormat="false" ht="13.5" hidden="false" customHeight="false" outlineLevel="0" collapsed="false"/>
    <row r="60" customFormat="false" ht="13.5" hidden="false" customHeight="false" outlineLevel="0" collapsed="false">
      <c r="A60" s="1109" t="str">
        <f aca="false">Assm!A63</f>
        <v>NGO Settlement ($000)</v>
      </c>
      <c r="B60" s="1110" t="s">
        <v>1068</v>
      </c>
      <c r="C60" s="1111"/>
      <c r="D60" s="1112"/>
      <c r="E60" s="1113"/>
      <c r="F60" s="1114" t="s">
        <v>1069</v>
      </c>
      <c r="G60" s="1115" t="n">
        <v>36293</v>
      </c>
      <c r="H60" s="1114" t="s">
        <v>1037</v>
      </c>
      <c r="I60" s="1116" t="s">
        <v>1070</v>
      </c>
    </row>
  </sheetData>
  <mergeCells count="1"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16"/>
      <c r="D1" s="414"/>
      <c r="E1" s="414"/>
      <c r="F1" s="415"/>
      <c r="G1" s="15"/>
      <c r="H1" s="415"/>
      <c r="I1" s="415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16"/>
      <c r="D2" s="414"/>
      <c r="E2" s="414"/>
      <c r="F2" s="415"/>
      <c r="G2" s="15"/>
      <c r="H2" s="415"/>
      <c r="I2" s="415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20"/>
      <c r="F3" s="415"/>
      <c r="G3" s="15"/>
      <c r="H3" s="415"/>
      <c r="I3" s="421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1071</v>
      </c>
      <c r="B4" s="1005"/>
      <c r="C4" s="116"/>
      <c r="D4" s="1005"/>
      <c r="E4" s="1005"/>
      <c r="F4" s="415"/>
      <c r="G4" s="15"/>
      <c r="H4" s="415"/>
      <c r="I4" s="421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1027"/>
      <c r="B6" s="941"/>
      <c r="C6" s="1028"/>
      <c r="D6" s="1029"/>
      <c r="E6" s="1030"/>
      <c r="F6" s="941"/>
      <c r="G6" s="941"/>
      <c r="H6" s="941" t="s">
        <v>1014</v>
      </c>
      <c r="I6" s="1031"/>
    </row>
    <row r="7" customFormat="false" ht="12.75" hidden="false" customHeight="false" outlineLevel="0" collapsed="false">
      <c r="A7" s="1032"/>
      <c r="B7" s="1026"/>
      <c r="C7" s="1026" t="s">
        <v>1072</v>
      </c>
      <c r="D7" s="1026"/>
      <c r="E7" s="1026"/>
      <c r="F7" s="1026"/>
      <c r="G7" s="1026" t="s">
        <v>1015</v>
      </c>
      <c r="H7" s="1026" t="s">
        <v>1073</v>
      </c>
      <c r="I7" s="1034"/>
    </row>
    <row r="8" customFormat="false" ht="13.5" hidden="false" customHeight="false" outlineLevel="0" collapsed="false">
      <c r="A8" s="1035" t="s">
        <v>1017</v>
      </c>
      <c r="B8" s="1037" t="s">
        <v>1018</v>
      </c>
      <c r="C8" s="1037" t="s">
        <v>1074</v>
      </c>
      <c r="D8" s="1037"/>
      <c r="E8" s="1037"/>
      <c r="F8" s="1037" t="s">
        <v>1020</v>
      </c>
      <c r="G8" s="1037" t="s">
        <v>1021</v>
      </c>
      <c r="H8" s="1037" t="s">
        <v>1022</v>
      </c>
      <c r="I8" s="1038" t="s">
        <v>1023</v>
      </c>
    </row>
    <row r="9" customFormat="false" ht="13.5" hidden="false" customHeight="false" outlineLevel="0" collapsed="false">
      <c r="A9" s="39"/>
      <c r="B9" s="38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50" t="str">
        <f aca="false">Assm!H6</f>
        <v>Bolivia Taxes</v>
      </c>
      <c r="B10" s="1117" t="str">
        <f aca="false">Assm!H7</f>
        <v>Operating Taxes</v>
      </c>
      <c r="C10" s="1118"/>
      <c r="D10" s="1119"/>
      <c r="E10" s="940"/>
      <c r="F10" s="1041"/>
      <c r="G10" s="1042"/>
      <c r="H10" s="1041"/>
      <c r="I10" s="1043"/>
    </row>
    <row r="11" customFormat="false" ht="12.75" hidden="false" customHeight="false" outlineLevel="0" collapsed="false">
      <c r="A11" s="1052"/>
      <c r="B11" s="1069" t="str">
        <f aca="false">Assm!H8</f>
        <v>Corporate Tax</v>
      </c>
      <c r="C11" s="1120" t="n">
        <f aca="false">Assm!J8</f>
        <v>0.25</v>
      </c>
      <c r="D11" s="1121" t="str">
        <f aca="false">IF(Assm!K8=0," ",Assm!K8)</f>
        <v>Of Taxable Income</v>
      </c>
      <c r="E11" s="834"/>
      <c r="F11" s="1054" t="s">
        <v>1075</v>
      </c>
      <c r="G11" s="1055" t="n">
        <v>35888</v>
      </c>
      <c r="H11" s="1054" t="s">
        <v>1076</v>
      </c>
      <c r="I11" s="1056" t="s">
        <v>1077</v>
      </c>
    </row>
    <row r="12" customFormat="false" ht="12.75" hidden="false" customHeight="false" outlineLevel="0" collapsed="false">
      <c r="A12" s="1052"/>
      <c r="B12" s="1069" t="str">
        <f aca="false">Assm!H9</f>
        <v>Transaction Tax (Payable If &gt; Corporate Taxes)</v>
      </c>
      <c r="C12" s="1120" t="n">
        <f aca="false">Assm!J9</f>
        <v>0.03</v>
      </c>
      <c r="D12" s="1121" t="str">
        <f aca="false">IF(Assm!K9=0," ",Assm!K9)</f>
        <v>On Gross Receipts</v>
      </c>
      <c r="E12" s="834"/>
      <c r="F12" s="1054" t="s">
        <v>1075</v>
      </c>
      <c r="G12" s="1055" t="n">
        <v>35888</v>
      </c>
      <c r="H12" s="1054" t="s">
        <v>1076</v>
      </c>
      <c r="I12" s="1056" t="s">
        <v>1078</v>
      </c>
    </row>
    <row r="13" customFormat="false" ht="12.75" hidden="false" customHeight="false" outlineLevel="0" collapsed="false">
      <c r="A13" s="1052"/>
      <c r="B13" s="1069" t="str">
        <f aca="false">Assm!H10</f>
        <v>NOL (Unlimited Carryforward, No Carryback) - Capped @</v>
      </c>
      <c r="C13" s="1120" t="n">
        <f aca="false">Assm!J10</f>
        <v>1</v>
      </c>
      <c r="D13" s="1121" t="str">
        <f aca="false">IF(Assm!K10=0," ",Assm!K10)</f>
        <v>Of Taxable Income </v>
      </c>
      <c r="E13" s="834"/>
      <c r="F13" s="1054" t="s">
        <v>1075</v>
      </c>
      <c r="G13" s="1055" t="n">
        <v>35888</v>
      </c>
      <c r="H13" s="1054" t="s">
        <v>1076</v>
      </c>
      <c r="I13" s="1056" t="s">
        <v>1079</v>
      </c>
    </row>
    <row r="14" customFormat="false" ht="12.75" hidden="false" customHeight="false" outlineLevel="0" collapsed="false">
      <c r="A14" s="1052"/>
      <c r="B14" s="1069" t="str">
        <f aca="false">Assm!H11</f>
        <v>Real Estate Tax</v>
      </c>
      <c r="C14" s="1120" t="n">
        <f aca="false">Assm!J11</f>
        <v>0.03</v>
      </c>
      <c r="D14" s="1121" t="str">
        <f aca="false">IF(Assm!K11=0," ",Assm!K11)</f>
        <v>Not Applicable - Non-Land Owner</v>
      </c>
      <c r="E14" s="834"/>
      <c r="F14" s="1054" t="s">
        <v>1075</v>
      </c>
      <c r="G14" s="1055" t="n">
        <v>35888</v>
      </c>
      <c r="H14" s="1054" t="s">
        <v>1076</v>
      </c>
      <c r="I14" s="1056" t="s">
        <v>1080</v>
      </c>
    </row>
    <row r="15" customFormat="false" ht="12.75" hidden="false" customHeight="false" outlineLevel="0" collapsed="false">
      <c r="A15" s="1052"/>
      <c r="B15" s="1069" t="str">
        <f aca="false">Assm!H12</f>
        <v>Withholding Tax - Dividends (Non-Residents)</v>
      </c>
      <c r="C15" s="1120" t="n">
        <f aca="false">Assm!J12</f>
        <v>0.125</v>
      </c>
      <c r="D15" s="1121" t="str">
        <f aca="false">IF(Assm!K12=0," ",Assm!K12)</f>
        <v>On Dividend Payments</v>
      </c>
      <c r="E15" s="834"/>
      <c r="F15" s="1054" t="s">
        <v>1075</v>
      </c>
      <c r="G15" s="1055" t="n">
        <v>35888</v>
      </c>
      <c r="H15" s="1054" t="s">
        <v>1076</v>
      </c>
      <c r="I15" s="1056" t="s">
        <v>1081</v>
      </c>
    </row>
    <row r="16" customFormat="false" ht="12.75" hidden="false" customHeight="false" outlineLevel="0" collapsed="false">
      <c r="A16" s="1052"/>
      <c r="B16" s="1069" t="str">
        <f aca="false">Assm!H13</f>
        <v>Withholding Tax - Interest (Non-MLA's)</v>
      </c>
      <c r="C16" s="1120" t="n">
        <f aca="false">Assm!J13</f>
        <v>0.125</v>
      </c>
      <c r="D16" s="1121" t="str">
        <f aca="false">IF(Assm!K13=0," ",Assm!K13)</f>
        <v>On Interest Paid To Non MLA's</v>
      </c>
      <c r="E16" s="834"/>
      <c r="F16" s="1054" t="s">
        <v>1075</v>
      </c>
      <c r="G16" s="1055" t="n">
        <v>35888</v>
      </c>
      <c r="H16" s="1054" t="s">
        <v>1076</v>
      </c>
      <c r="I16" s="1056" t="s">
        <v>1082</v>
      </c>
    </row>
    <row r="17" customFormat="false" ht="12.75" hidden="false" customHeight="false" outlineLevel="0" collapsed="false">
      <c r="A17" s="1052"/>
      <c r="B17" s="1069" t="str">
        <f aca="false">Assm!H14</f>
        <v>Withholding Tax - Services (Non-Residents)</v>
      </c>
      <c r="C17" s="1120" t="n">
        <f aca="false">Assm!J14</f>
        <v>0.125</v>
      </c>
      <c r="D17" s="1121" t="str">
        <f aca="false">IF(Assm!K14=0," ",Assm!K14)</f>
        <v>On Services Abroad</v>
      </c>
      <c r="E17" s="834"/>
      <c r="F17" s="1054" t="s">
        <v>1075</v>
      </c>
      <c r="G17" s="1055" t="n">
        <v>35888</v>
      </c>
      <c r="H17" s="1054" t="s">
        <v>1076</v>
      </c>
      <c r="I17" s="1056" t="s">
        <v>1083</v>
      </c>
    </row>
    <row r="18" customFormat="false" ht="12.75" hidden="false" customHeight="false" outlineLevel="0" collapsed="false">
      <c r="A18" s="1052"/>
      <c r="B18" s="1069" t="str">
        <f aca="false">Assm!H15</f>
        <v>Value Added Tax - Sales</v>
      </c>
      <c r="C18" s="1120" t="n">
        <f aca="false">Assm!J15</f>
        <v>0.13</v>
      </c>
      <c r="D18" s="1121" t="str">
        <f aca="false">IF(Assm!K15=0," ",Assm!K15)</f>
        <v>Not Applicable - 0% Rated</v>
      </c>
      <c r="E18" s="834"/>
      <c r="F18" s="1054" t="s">
        <v>1075</v>
      </c>
      <c r="G18" s="1055" t="n">
        <v>35888</v>
      </c>
      <c r="H18" s="1054" t="s">
        <v>1076</v>
      </c>
      <c r="I18" s="1056" t="s">
        <v>1084</v>
      </c>
    </row>
    <row r="19" customFormat="false" ht="12.75" hidden="false" customHeight="false" outlineLevel="0" collapsed="false">
      <c r="A19" s="1052"/>
      <c r="B19" s="1069" t="str">
        <f aca="false">Assm!H16</f>
        <v>Value Added Tax - Goods / Services</v>
      </c>
      <c r="C19" s="1120" t="n">
        <f aca="false">Assm!J16</f>
        <v>0.149425287356322</v>
      </c>
      <c r="D19" s="1121" t="str">
        <f aca="false">IF(Assm!K16=0," ",Assm!K16)</f>
        <v>Grossed Up</v>
      </c>
      <c r="E19" s="834"/>
      <c r="F19" s="1054" t="s">
        <v>1075</v>
      </c>
      <c r="G19" s="1055" t="n">
        <v>35888</v>
      </c>
      <c r="H19" s="1054" t="s">
        <v>1076</v>
      </c>
      <c r="I19" s="1056" t="s">
        <v>1084</v>
      </c>
    </row>
    <row r="20" customFormat="false" ht="12.75" hidden="false" customHeight="false" outlineLevel="0" collapsed="false">
      <c r="A20" s="1052"/>
      <c r="B20" s="1084" t="str">
        <f aca="false">Assm!H17</f>
        <v>Customs Duties</v>
      </c>
      <c r="C20" s="1122"/>
      <c r="D20" s="1121"/>
      <c r="E20" s="834"/>
      <c r="F20" s="1054"/>
      <c r="G20" s="1055"/>
      <c r="H20" s="1054"/>
      <c r="I20" s="1056"/>
    </row>
    <row r="21" customFormat="false" ht="12.75" hidden="false" customHeight="false" outlineLevel="0" collapsed="false">
      <c r="A21" s="1052"/>
      <c r="B21" s="1069" t="str">
        <f aca="false">Assm!H18</f>
        <v>Import Duties</v>
      </c>
      <c r="C21" s="1120" t="n">
        <f aca="false">Assm!J18</f>
        <v>0.1</v>
      </c>
      <c r="D21" s="1121" t="str">
        <f aca="false">IF(Assm!K18=0," ",Assm!K18)</f>
        <v>On CIF Value, Subject To VAT</v>
      </c>
      <c r="E21" s="834"/>
      <c r="F21" s="1054" t="s">
        <v>1075</v>
      </c>
      <c r="G21" s="1055" t="n">
        <v>35888</v>
      </c>
      <c r="H21" s="1054" t="s">
        <v>1076</v>
      </c>
      <c r="I21" s="1056" t="s">
        <v>1085</v>
      </c>
    </row>
    <row r="22" customFormat="false" ht="12.75" hidden="false" customHeight="false" outlineLevel="0" collapsed="false">
      <c r="A22" s="1052"/>
      <c r="B22" s="1069" t="str">
        <f aca="false">Assm!H19</f>
        <v>Customs Agency Fees</v>
      </c>
      <c r="C22" s="1120" t="n">
        <f aca="false">Assm!J19</f>
        <v>0.02</v>
      </c>
      <c r="D22" s="1121" t="str">
        <f aca="false">IF(Assm!K19=0," ",Assm!K19)</f>
        <v>On CIF Value, Subject To VAT</v>
      </c>
      <c r="E22" s="834"/>
      <c r="F22" s="1054" t="s">
        <v>1075</v>
      </c>
      <c r="G22" s="1055" t="n">
        <v>35888</v>
      </c>
      <c r="H22" s="1054" t="s">
        <v>1076</v>
      </c>
      <c r="I22" s="1056" t="s">
        <v>1085</v>
      </c>
    </row>
    <row r="23" customFormat="false" ht="12.75" hidden="false" customHeight="false" outlineLevel="0" collapsed="false">
      <c r="A23" s="1052"/>
      <c r="B23" s="1069" t="str">
        <f aca="false">Assm!H20</f>
        <v>Inspection / Verification Fees</v>
      </c>
      <c r="C23" s="1120" t="n">
        <f aca="false">Assm!J20</f>
        <v>0.0192</v>
      </c>
      <c r="D23" s="1121" t="str">
        <f aca="false">IF(Assm!K20=0," ",Assm!K20)</f>
        <v>On CIF Value, Subject To VAT</v>
      </c>
      <c r="E23" s="834"/>
      <c r="F23" s="1054" t="s">
        <v>1075</v>
      </c>
      <c r="G23" s="1055" t="n">
        <v>35888</v>
      </c>
      <c r="H23" s="1054" t="s">
        <v>1076</v>
      </c>
      <c r="I23" s="1056" t="s">
        <v>1085</v>
      </c>
    </row>
    <row r="24" customFormat="false" ht="12.75" hidden="false" customHeight="false" outlineLevel="0" collapsed="false">
      <c r="A24" s="1052"/>
      <c r="B24" s="1069" t="str">
        <f aca="false">Assm!H21</f>
        <v>Customs Warehouse (AADAA) Fees</v>
      </c>
      <c r="C24" s="1120" t="n">
        <f aca="false">Assm!J21</f>
        <v>0.005</v>
      </c>
      <c r="D24" s="1121" t="str">
        <f aca="false">IF(Assm!K21=0," ",Assm!K21)</f>
        <v>On CIF Value, Subject To VAT</v>
      </c>
      <c r="E24" s="834"/>
      <c r="F24" s="1054" t="s">
        <v>1075</v>
      </c>
      <c r="G24" s="1055" t="n">
        <v>35888</v>
      </c>
      <c r="H24" s="1054" t="s">
        <v>1076</v>
      </c>
      <c r="I24" s="1056" t="s">
        <v>1085</v>
      </c>
    </row>
    <row r="25" customFormat="false" ht="12.75" hidden="false" customHeight="false" outlineLevel="0" collapsed="false">
      <c r="A25" s="1052"/>
      <c r="B25" s="1069" t="str">
        <f aca="false">Assm!H22</f>
        <v>GAC (Brazilian Imports)</v>
      </c>
      <c r="C25" s="1120" t="n">
        <f aca="false">Assm!J22</f>
        <v>0.065</v>
      </c>
      <c r="D25" s="1121" t="str">
        <f aca="false">IF(Assm!K22=0," ",Assm!K22)</f>
        <v>On CIF Value</v>
      </c>
      <c r="E25" s="834"/>
      <c r="F25" s="1054" t="s">
        <v>1075</v>
      </c>
      <c r="G25" s="1055" t="n">
        <v>35888</v>
      </c>
      <c r="H25" s="1054" t="s">
        <v>1076</v>
      </c>
      <c r="I25" s="1056" t="s">
        <v>1085</v>
      </c>
    </row>
    <row r="26" customFormat="false" ht="12.75" hidden="false" customHeight="false" outlineLevel="0" collapsed="false">
      <c r="A26" s="1052"/>
      <c r="B26" s="1069" t="str">
        <f aca="false">Assm!H23</f>
        <v>GAC (Non-Brazilian Imports)</v>
      </c>
      <c r="C26" s="1120" t="n">
        <f aca="false">Assm!J23</f>
        <v>0.1</v>
      </c>
      <c r="D26" s="1121" t="str">
        <f aca="false">IF(Assm!K23=0," ",Assm!K23)</f>
        <v>On CIF Value</v>
      </c>
      <c r="E26" s="834"/>
      <c r="F26" s="1054" t="s">
        <v>1075</v>
      </c>
      <c r="G26" s="1055" t="n">
        <v>35888</v>
      </c>
      <c r="H26" s="1054" t="s">
        <v>1076</v>
      </c>
      <c r="I26" s="1056" t="s">
        <v>1085</v>
      </c>
    </row>
    <row r="27" customFormat="false" ht="12.75" hidden="false" customHeight="false" outlineLevel="0" collapsed="false">
      <c r="A27" s="1052"/>
      <c r="B27" s="1084" t="str">
        <f aca="false">Assm!H24</f>
        <v>Other Fees</v>
      </c>
      <c r="C27" s="1122"/>
      <c r="D27" s="1121"/>
      <c r="E27" s="834"/>
      <c r="F27" s="1054"/>
      <c r="G27" s="1055"/>
      <c r="H27" s="1054"/>
      <c r="I27" s="1056"/>
    </row>
    <row r="28" customFormat="false" ht="13.5" hidden="false" customHeight="false" outlineLevel="0" collapsed="false">
      <c r="A28" s="1062"/>
      <c r="B28" s="1044" t="str">
        <f aca="false">Assm!H25</f>
        <v>SIRESE Fee</v>
      </c>
      <c r="C28" s="1123" t="n">
        <f aca="false">Assm!J25</f>
        <v>0.01</v>
      </c>
      <c r="D28" s="1124" t="str">
        <f aca="false">IF(Assm!K25=0," ",Assm!K25)</f>
        <v>On Gross Invoice Amount</v>
      </c>
      <c r="E28" s="987"/>
      <c r="F28" s="1046" t="s">
        <v>1075</v>
      </c>
      <c r="G28" s="1047" t="n">
        <v>35888</v>
      </c>
      <c r="H28" s="1046" t="s">
        <v>1076</v>
      </c>
      <c r="I28" s="1048" t="s">
        <v>1086</v>
      </c>
    </row>
    <row r="29" customFormat="false" ht="13.5" hidden="false" customHeight="false" outlineLevel="0" collapsed="false">
      <c r="A29" s="39"/>
      <c r="B29" s="39"/>
      <c r="C29" s="39"/>
      <c r="F29" s="39"/>
      <c r="G29" s="39"/>
      <c r="H29" s="39"/>
      <c r="I29" s="39"/>
      <c r="J29" s="39"/>
    </row>
    <row r="30" customFormat="false" ht="12.75" hidden="false" customHeight="false" outlineLevel="0" collapsed="false">
      <c r="A30" s="1050" t="str">
        <f aca="false">Assm!H27</f>
        <v>US Taxes</v>
      </c>
      <c r="B30" s="1039" t="str">
        <f aca="false">Assm!H28</f>
        <v>Tax Position</v>
      </c>
      <c r="C30" s="1125" t="str">
        <f aca="false">Assm!J28</f>
        <v>Deferral</v>
      </c>
      <c r="D30" s="1125"/>
      <c r="E30" s="1125"/>
      <c r="F30" s="1041" t="s">
        <v>1087</v>
      </c>
      <c r="G30" s="1042" t="n">
        <v>36004</v>
      </c>
      <c r="H30" s="1041" t="s">
        <v>1029</v>
      </c>
      <c r="I30" s="1043"/>
    </row>
    <row r="31" customFormat="false" ht="13.5" hidden="false" customHeight="false" outlineLevel="0" collapsed="false">
      <c r="A31" s="1062"/>
      <c r="B31" s="1044" t="str">
        <f aca="false">Assm!H29</f>
        <v>Federal Income Tax</v>
      </c>
      <c r="C31" s="1126" t="n">
        <f aca="false">Assm!J29</f>
        <v>0.37</v>
      </c>
      <c r="D31" s="1126"/>
      <c r="E31" s="1126"/>
      <c r="F31" s="1046" t="s">
        <v>1088</v>
      </c>
      <c r="G31" s="1047"/>
      <c r="H31" s="1046"/>
      <c r="I31" s="1048"/>
    </row>
    <row r="32" customFormat="false" ht="13.5" hidden="false" customHeight="false" outlineLevel="0" collapsed="false">
      <c r="A32" s="39"/>
      <c r="B32" s="39"/>
      <c r="C32" s="39"/>
      <c r="D32" s="39"/>
      <c r="F32" s="39"/>
      <c r="G32" s="39"/>
      <c r="H32" s="39"/>
      <c r="I32" s="39"/>
      <c r="J32" s="39"/>
    </row>
    <row r="33" customFormat="false" ht="12.75" hidden="false" customHeight="false" outlineLevel="0" collapsed="false">
      <c r="A33" s="1050" t="str">
        <f aca="false">Assm!H31</f>
        <v>VAT</v>
      </c>
      <c r="B33" s="942" t="str">
        <f aca="false">Assm!H32</f>
        <v>Assume we are a 0% rated company (no VAT received on revenues).</v>
      </c>
      <c r="C33" s="1127"/>
      <c r="D33" s="425"/>
      <c r="E33" s="1128"/>
      <c r="F33" s="1041"/>
      <c r="G33" s="1042"/>
      <c r="H33" s="1041"/>
      <c r="I33" s="1043"/>
    </row>
    <row r="34" customFormat="false" ht="12.75" hidden="false" customHeight="false" outlineLevel="0" collapsed="false">
      <c r="A34" s="1052"/>
      <c r="B34" s="826" t="str">
        <f aca="false">Assm!H33</f>
        <v>Receive VAT certificates annually (based on calc'd amount) to be sold to 3rd parties.</v>
      </c>
      <c r="C34" s="1129"/>
      <c r="D34" s="824"/>
      <c r="E34" s="1130"/>
      <c r="F34" s="1054"/>
      <c r="G34" s="1055"/>
      <c r="H34" s="1054"/>
      <c r="I34" s="1056"/>
    </row>
    <row r="35" customFormat="false" ht="13.5" hidden="false" customHeight="false" outlineLevel="0" collapsed="false">
      <c r="A35" s="1062"/>
      <c r="B35" s="988" t="str">
        <f aca="false">Assm!H34</f>
        <v>Loss On Sale Of Certificate</v>
      </c>
      <c r="C35" s="1126" t="n">
        <f aca="false">Assm!J34</f>
        <v>0.02</v>
      </c>
      <c r="D35" s="1126"/>
      <c r="E35" s="1126"/>
      <c r="F35" s="1046" t="s">
        <v>1075</v>
      </c>
      <c r="G35" s="1047" t="n">
        <v>35888</v>
      </c>
      <c r="H35" s="1046" t="s">
        <v>1076</v>
      </c>
      <c r="I35" s="1048" t="s">
        <v>1089</v>
      </c>
    </row>
    <row r="36" customFormat="false" ht="13.5" hidden="false" customHeight="false" outlineLevel="0" collapsed="false">
      <c r="A36" s="39"/>
      <c r="B36" s="39"/>
      <c r="C36" s="39"/>
      <c r="D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</row>
    <row r="37" customFormat="false" ht="12.75" hidden="false" customHeight="false" outlineLevel="0" collapsed="false">
      <c r="A37" s="1050" t="s">
        <v>166</v>
      </c>
      <c r="B37" s="1039" t="s">
        <v>1090</v>
      </c>
      <c r="C37" s="1131" t="n">
        <f aca="false">Assm!I36</f>
        <v>0.05</v>
      </c>
      <c r="D37" s="26"/>
      <c r="E37" s="940"/>
      <c r="F37" s="1041"/>
      <c r="G37" s="1042"/>
      <c r="H37" s="1041"/>
      <c r="I37" s="1068"/>
    </row>
    <row r="38" customFormat="false" ht="13.5" hidden="false" customHeight="false" outlineLevel="0" collapsed="false">
      <c r="A38" s="1062"/>
      <c r="B38" s="1044" t="str">
        <f aca="false">CONCATENATE("Capped @ ",TEXT(Assm!I37,"0.00%")," ",Assm!J37)</f>
        <v>Capped @ 50.00% Of Original Equity Equal To</v>
      </c>
      <c r="C38" s="1132" t="n">
        <f aca="false">Assm!L37</f>
        <v>20000</v>
      </c>
      <c r="D38" s="128"/>
      <c r="E38" s="1133"/>
      <c r="F38" s="1046" t="s">
        <v>1075</v>
      </c>
      <c r="G38" s="1047" t="n">
        <v>36172</v>
      </c>
      <c r="H38" s="1046" t="s">
        <v>1076</v>
      </c>
      <c r="I38" s="1102" t="s">
        <v>1091</v>
      </c>
    </row>
    <row r="39" customFormat="false" ht="13.5" hidden="false" customHeight="false" outlineLevel="0" collapsed="false">
      <c r="A39" s="39"/>
      <c r="B39" s="39"/>
      <c r="C39" s="39"/>
      <c r="D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</row>
    <row r="40" customFormat="false" ht="12.75" hidden="false" customHeight="false" outlineLevel="0" collapsed="false">
      <c r="A40" s="1050" t="str">
        <f aca="false">Assm!H39</f>
        <v>Depreciation Assumptions</v>
      </c>
      <c r="B40" s="942"/>
      <c r="C40" s="1134" t="s">
        <v>1092</v>
      </c>
      <c r="D40" s="1066" t="s">
        <v>179</v>
      </c>
      <c r="E40" s="1066" t="s">
        <v>1093</v>
      </c>
      <c r="F40" s="1041"/>
      <c r="G40" s="1042"/>
      <c r="H40" s="1041"/>
      <c r="I40" s="1043"/>
    </row>
    <row r="41" customFormat="false" ht="12.75" hidden="false" customHeight="false" outlineLevel="0" collapsed="false">
      <c r="A41" s="1052"/>
      <c r="B41" s="826" t="str">
        <f aca="false">Assm!H41</f>
        <v>Tax</v>
      </c>
      <c r="C41" s="1135" t="n">
        <f aca="false">Assm!J41</f>
        <v>144209.987096609</v>
      </c>
      <c r="D41" s="153" t="str">
        <f aca="false">Assm!L41</f>
        <v>S/L</v>
      </c>
      <c r="E41" s="321" t="n">
        <f aca="false">Assm!K41</f>
        <v>10</v>
      </c>
      <c r="F41" s="1054" t="s">
        <v>1075</v>
      </c>
      <c r="G41" s="1055" t="n">
        <v>35888</v>
      </c>
      <c r="H41" s="1054" t="s">
        <v>1076</v>
      </c>
      <c r="I41" s="1056" t="s">
        <v>1094</v>
      </c>
    </row>
    <row r="42" customFormat="false" ht="12.75" hidden="false" customHeight="false" outlineLevel="0" collapsed="false">
      <c r="A42" s="1052"/>
      <c r="B42" s="826" t="str">
        <f aca="false">Assm!H42</f>
        <v>Book</v>
      </c>
      <c r="C42" s="1135" t="n">
        <f aca="false">Assm!J42</f>
        <v>144209.987096609</v>
      </c>
      <c r="D42" s="153" t="str">
        <f aca="false">Assm!L42</f>
        <v>S/L</v>
      </c>
      <c r="E42" s="321" t="n">
        <f aca="false">Assm!K42</f>
        <v>20</v>
      </c>
      <c r="F42" s="1054" t="s">
        <v>1095</v>
      </c>
      <c r="G42" s="1055"/>
      <c r="H42" s="1054"/>
      <c r="I42" s="1056"/>
    </row>
    <row r="43" customFormat="false" ht="13.5" hidden="false" customHeight="false" outlineLevel="0" collapsed="false">
      <c r="A43" s="1062"/>
      <c r="B43" s="988" t="str">
        <f aca="false">Assm!H43</f>
        <v>GAAP</v>
      </c>
      <c r="C43" s="1136" t="n">
        <f aca="false">Assm!J43</f>
        <v>144209.987096609</v>
      </c>
      <c r="D43" s="1137" t="str">
        <f aca="false">Assm!L43</f>
        <v>S/L</v>
      </c>
      <c r="E43" s="1137" t="n">
        <f aca="false">Assm!K43</f>
        <v>20</v>
      </c>
      <c r="F43" s="1046" t="s">
        <v>1095</v>
      </c>
      <c r="G43" s="1047"/>
      <c r="H43" s="1046"/>
      <c r="I43" s="1048"/>
    </row>
    <row r="44" customFormat="false" ht="13.5" hidden="false" customHeight="false" outlineLevel="0" collapsed="false">
      <c r="A44" s="39"/>
      <c r="B44" s="39"/>
      <c r="C44" s="39"/>
      <c r="D44" s="39"/>
      <c r="F44" s="39"/>
      <c r="G44" s="39"/>
      <c r="H44" s="73"/>
      <c r="I44" s="39"/>
    </row>
    <row r="45" customFormat="false" ht="12.75" hidden="false" customHeight="false" outlineLevel="0" collapsed="false">
      <c r="A45" s="1050" t="str">
        <f aca="false">Assm!H45</f>
        <v>Trapped Cash</v>
      </c>
      <c r="B45" s="1039" t="str">
        <f aca="false">Assm!H46</f>
        <v>Distributions Limited To Retained Earnings</v>
      </c>
      <c r="C45" s="1097"/>
      <c r="D45" s="743"/>
      <c r="E45" s="1098"/>
      <c r="F45" s="1041" t="s">
        <v>1075</v>
      </c>
      <c r="G45" s="1042" t="n">
        <v>36172</v>
      </c>
      <c r="H45" s="1041" t="s">
        <v>1076</v>
      </c>
      <c r="I45" s="1068" t="s">
        <v>1091</v>
      </c>
    </row>
    <row r="46" customFormat="false" ht="12.75" hidden="false" customHeight="false" outlineLevel="0" collapsed="false">
      <c r="A46" s="37"/>
      <c r="B46" s="1069" t="str">
        <f aca="false">Assm!H51</f>
        <v>Interest Income To Project On Trapped Cash Loans</v>
      </c>
      <c r="C46" s="809"/>
      <c r="D46" s="531" t="n">
        <f aca="false">Assm!L51</f>
        <v>0.05</v>
      </c>
      <c r="E46" s="825"/>
      <c r="F46" s="1054" t="s">
        <v>1087</v>
      </c>
      <c r="G46" s="1055" t="n">
        <v>36004</v>
      </c>
      <c r="H46" s="1054" t="s">
        <v>1029</v>
      </c>
      <c r="I46" s="107"/>
    </row>
    <row r="47" customFormat="false" ht="13.5" hidden="false" customHeight="false" outlineLevel="0" collapsed="false">
      <c r="A47" s="49"/>
      <c r="B47" s="1044" t="str">
        <f aca="false">Assm!H52</f>
        <v>Interest Expense To Shareholders On Trapped Cash Loans</v>
      </c>
      <c r="C47" s="1138"/>
      <c r="D47" s="1139" t="n">
        <f aca="false">Assm!L52</f>
        <v>0.06</v>
      </c>
      <c r="E47" s="1140"/>
      <c r="F47" s="1046" t="s">
        <v>1087</v>
      </c>
      <c r="G47" s="1047" t="n">
        <v>36004</v>
      </c>
      <c r="H47" s="1046" t="s">
        <v>1029</v>
      </c>
      <c r="I47" s="1102"/>
    </row>
    <row r="48" customFormat="false" ht="13.5" hidden="false" customHeight="false" outlineLevel="0" collapsed="false">
      <c r="A48" s="39"/>
      <c r="B48" s="32"/>
      <c r="C48" s="39"/>
      <c r="D48" s="133"/>
      <c r="E48" s="133"/>
      <c r="F48" s="39"/>
      <c r="G48" s="1141"/>
      <c r="H48" s="39"/>
      <c r="I48" s="39"/>
    </row>
    <row r="49" customFormat="false" ht="12.75" hidden="false" customHeight="false" outlineLevel="0" collapsed="false">
      <c r="A49" s="1050" t="str">
        <f aca="false">Assm!H78</f>
        <v>Political Risk Insurance</v>
      </c>
      <c r="B49" s="1039"/>
      <c r="C49" s="942"/>
      <c r="D49" s="26"/>
      <c r="E49" s="940"/>
      <c r="F49" s="1041"/>
      <c r="G49" s="1042"/>
      <c r="H49" s="1041"/>
      <c r="I49" s="1068"/>
    </row>
    <row r="50" customFormat="false" ht="13.5" hidden="false" customHeight="false" outlineLevel="0" collapsed="false">
      <c r="A50" s="1062"/>
      <c r="B50" s="1044" t="str">
        <f aca="false">Assm!H79</f>
        <v>Book Earnings Method</v>
      </c>
      <c r="C50" s="1142" t="n">
        <f aca="false">Opic</f>
        <v>0.01</v>
      </c>
      <c r="D50" s="128"/>
      <c r="E50" s="1133"/>
      <c r="F50" s="1046" t="s">
        <v>1096</v>
      </c>
      <c r="G50" s="1047" t="n">
        <v>36084</v>
      </c>
      <c r="H50" s="1046" t="s">
        <v>1097</v>
      </c>
      <c r="I50" s="1102" t="s">
        <v>1098</v>
      </c>
    </row>
  </sheetData>
  <mergeCells count="5">
    <mergeCell ref="C7:E7"/>
    <mergeCell ref="C8:E8"/>
    <mergeCell ref="C30:E30"/>
    <mergeCell ref="C31:E31"/>
    <mergeCell ref="C35:E35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91"/>
  <sheetViews>
    <sheetView showFormulas="false" showGridLines="false" showRowColHeaders="true" showZeros="true" rightToLeft="false" tabSelected="false" showOutlineSymbols="true" defaultGridColor="true" view="normal" topLeftCell="A16" colorId="64" zoomScale="75" zoomScaleNormal="75" zoomScalePageLayoutView="100" workbookViewId="0">
      <selection pane="topLeft" activeCell="F35" activeCellId="0" sqref="F3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6" min="2" style="1" width="11.7"/>
    <col collapsed="false" customWidth="true" hidden="false" outlineLevel="0" max="7" min="7" style="1" width="3.7"/>
    <col collapsed="false" customWidth="true" hidden="false" outlineLevel="0" max="8" min="8" style="1" width="25.7"/>
    <col collapsed="false" customWidth="true" hidden="false" outlineLevel="0" max="11" min="9" style="1" width="13.7"/>
    <col collapsed="false" customWidth="true" hidden="false" outlineLevel="0" max="12" min="12" style="1" width="14.99"/>
    <col collapsed="false" customWidth="true" hidden="false" outlineLevel="0" max="13" min="13" style="1" width="3.7"/>
    <col collapsed="false" customWidth="true" hidden="false" outlineLevel="0" max="14" min="14" style="1" width="20.7"/>
    <col collapsed="false" customWidth="true" hidden="false" outlineLevel="0" max="18" min="15" style="1" width="12.7"/>
    <col collapsed="false" customWidth="true" hidden="false" outlineLevel="0" max="19" min="19" style="1" width="3.7"/>
    <col collapsed="false" customWidth="true" hidden="false" outlineLevel="0" max="20" min="20" style="1" width="28.7"/>
    <col collapsed="false" customWidth="true" hidden="false" outlineLevel="0" max="24" min="21" style="1" width="12.7"/>
    <col collapsed="false" customWidth="false" hidden="false" outlineLevel="0" max="25" min="25" style="1" width="9.14"/>
    <col collapsed="false" customWidth="true" hidden="false" outlineLevel="0" max="27" min="26" style="1" width="9.7"/>
    <col collapsed="false" customWidth="false" hidden="false" outlineLevel="0" max="28" min="28" style="1" width="9.14"/>
    <col collapsed="false" customWidth="true" hidden="false" outlineLevel="0" max="29" min="29" style="1" width="20.7"/>
    <col collapsed="false" customWidth="true" hidden="false" outlineLevel="0" max="32" min="30" style="1" width="11.7"/>
    <col collapsed="false" customWidth="false" hidden="false" outlineLevel="0" max="257" min="33" style="1" width="9.14"/>
  </cols>
  <sheetData>
    <row r="1" customFormat="false" ht="15.75" hidden="false" customHeight="false" outlineLevel="0" collapsed="false">
      <c r="A1" s="14" t="str">
        <f aca="false">CONCATENATE(TOC!B2," ",TOC!B6)</f>
        <v>GAS ORIENTE BOLIVIANO S.A. (GASBOL) *** DRAFT COPY ***</v>
      </c>
      <c r="B1" s="15"/>
      <c r="C1" s="15"/>
      <c r="I1" s="16" t="str">
        <f aca="false">IF(Loopfactor=0," ","WARNING: MODEL HAS NOT BEEN CONVERGED")</f>
        <v> </v>
      </c>
      <c r="O1" s="16" t="str">
        <f aca="false">IF(((X9+X18+X27+X36+X45))-Debt&lt;0.05," ","WARNING:  THE SUM OF THE DEBT LISTED IN THE TRANCHES DOES NOT EQUAL TOTAL DEBT")</f>
        <v> </v>
      </c>
      <c r="S1" s="17"/>
    </row>
    <row r="2" customFormat="false" ht="15.75" hidden="false" customHeight="false" outlineLevel="0" collapsed="false">
      <c r="A2" s="14" t="str">
        <f aca="false">TOC!B3</f>
        <v>369 KM PIPELINE SPUR FOR CUIABA POWER PLANT (BOLIVIA)</v>
      </c>
      <c r="B2" s="15"/>
      <c r="C2" s="15"/>
      <c r="I2" s="16" t="str">
        <f aca="false">IF(Commit_Factor=0," ","WARNING: COMMITMENT FEE HAS NOT BEEN CONVERGED")</f>
        <v> </v>
      </c>
      <c r="O2" s="16" t="str">
        <f aca="false">IF(ABS(Returns!AA10+Equity)&lt;0.5," ","WARNING:  EQUITY DISTRIBUTED IN THE RETURNS CALC DOES NOT EQUAL TOTAL EQUITY")</f>
        <v> </v>
      </c>
      <c r="S2" s="17"/>
    </row>
    <row r="3" customFormat="false" ht="15.75" hidden="false" customHeight="false" outlineLevel="0" collapsed="false">
      <c r="A3" s="18" t="str">
        <f aca="false">TOC!B4</f>
        <v>ENRON INTERNATIONAL</v>
      </c>
      <c r="B3" s="15"/>
      <c r="C3" s="15"/>
      <c r="F3" s="19"/>
      <c r="I3" s="16" t="str">
        <f aca="false">IF(ABS(BS_IS!AC35)&lt;0.1," ","WARNING: BALANCE SHEET IS NOT BALANCED")</f>
        <v> </v>
      </c>
      <c r="T3" s="20"/>
    </row>
    <row r="4" customFormat="false" ht="15.75" hidden="false" customHeight="false" outlineLevel="0" collapsed="false">
      <c r="A4" s="21" t="s">
        <v>34</v>
      </c>
      <c r="B4" s="15"/>
      <c r="C4" s="15"/>
      <c r="F4" s="19"/>
      <c r="I4" s="16" t="str">
        <f aca="false">IF(V78&lt;W78,"WARNING: A-TAX TARGET MINIMUM DCR HAS NOT BEEN MET"," ")</f>
        <v>WARNING: A-TAX TARGET MINIMUM DCR HAS NOT BEEN MET</v>
      </c>
      <c r="O4" s="16" t="str">
        <f aca="false">IF(V79&lt;W79,"WARNING:  A-TAX TARGET AVERAGE DCR HAS NOT BEEN MET"," ")</f>
        <v> </v>
      </c>
    </row>
    <row r="5" customFormat="false" ht="13.5" hidden="false" customHeight="false" outlineLevel="0" collapsed="false">
      <c r="A5" s="22" t="s">
        <v>35</v>
      </c>
      <c r="E5" s="23"/>
      <c r="F5" s="19"/>
    </row>
    <row r="6" customFormat="false" ht="13.5" hidden="false" customHeight="false" outlineLevel="0" collapsed="false">
      <c r="A6" s="24" t="s">
        <v>36</v>
      </c>
      <c r="B6" s="25"/>
      <c r="C6" s="25"/>
      <c r="D6" s="26"/>
      <c r="E6" s="27" t="n">
        <f aca="false">YEAR(Startops1)</f>
        <v>2001</v>
      </c>
      <c r="F6" s="28"/>
      <c r="H6" s="24" t="s">
        <v>37</v>
      </c>
      <c r="I6" s="25"/>
      <c r="J6" s="26"/>
      <c r="K6" s="29" t="s">
        <v>38</v>
      </c>
      <c r="L6" s="30" t="s">
        <v>39</v>
      </c>
      <c r="N6" s="24" t="s">
        <v>40</v>
      </c>
      <c r="O6" s="26"/>
      <c r="P6" s="26"/>
      <c r="Q6" s="26"/>
      <c r="R6" s="31" t="s">
        <v>41</v>
      </c>
      <c r="S6" s="32"/>
      <c r="T6" s="24" t="s">
        <v>42</v>
      </c>
      <c r="U6" s="26"/>
      <c r="V6" s="26"/>
      <c r="W6" s="26"/>
      <c r="X6" s="33"/>
      <c r="AC6" s="34" t="s">
        <v>43</v>
      </c>
      <c r="AD6" s="35" t="s">
        <v>44</v>
      </c>
      <c r="AE6" s="35" t="s">
        <v>45</v>
      </c>
      <c r="AF6" s="36" t="s">
        <v>46</v>
      </c>
    </row>
    <row r="7" customFormat="false" ht="12.75" hidden="false" customHeight="false" outlineLevel="0" collapsed="false">
      <c r="A7" s="37" t="s">
        <v>47</v>
      </c>
      <c r="B7" s="38"/>
      <c r="C7" s="38"/>
      <c r="D7" s="39"/>
      <c r="E7" s="40" t="n">
        <v>369</v>
      </c>
      <c r="F7" s="41" t="s">
        <v>48</v>
      </c>
      <c r="H7" s="42" t="s">
        <v>49</v>
      </c>
      <c r="I7" s="39"/>
      <c r="J7" s="43"/>
      <c r="K7" s="39"/>
      <c r="L7" s="44"/>
      <c r="N7" s="37" t="s">
        <v>50</v>
      </c>
      <c r="O7" s="39"/>
      <c r="P7" s="39"/>
      <c r="Q7" s="39"/>
      <c r="R7" s="45" t="n">
        <f aca="false">Turnkey!C21</f>
        <v>92999.028</v>
      </c>
      <c r="S7" s="46"/>
      <c r="T7" s="37"/>
      <c r="U7" s="39"/>
      <c r="V7" s="39"/>
      <c r="W7" s="39"/>
      <c r="X7" s="44"/>
      <c r="AC7" s="37"/>
      <c r="AD7" s="47"/>
      <c r="AE7" s="47"/>
      <c r="AF7" s="48"/>
    </row>
    <row r="8" customFormat="false" ht="13.5" hidden="false" customHeight="false" outlineLevel="0" collapsed="false">
      <c r="A8" s="49" t="s">
        <v>51</v>
      </c>
      <c r="B8" s="50"/>
      <c r="C8" s="50"/>
      <c r="D8" s="22"/>
      <c r="E8" s="51" t="n">
        <v>18</v>
      </c>
      <c r="F8" s="52" t="s">
        <v>52</v>
      </c>
      <c r="H8" s="37" t="s">
        <v>53</v>
      </c>
      <c r="I8" s="39"/>
      <c r="J8" s="53" t="n">
        <v>0.25</v>
      </c>
      <c r="K8" s="54" t="s">
        <v>54</v>
      </c>
      <c r="L8" s="44"/>
      <c r="N8" s="37" t="s">
        <v>55</v>
      </c>
      <c r="O8" s="39"/>
      <c r="P8" s="39"/>
      <c r="Q8" s="39"/>
      <c r="R8" s="45" t="n">
        <f aca="false">Turnkey!D48</f>
        <v>6173.819</v>
      </c>
      <c r="S8" s="55"/>
      <c r="T8" s="56" t="s">
        <v>56</v>
      </c>
      <c r="U8" s="57"/>
      <c r="V8" s="58"/>
      <c r="W8" s="58"/>
      <c r="X8" s="59"/>
      <c r="AC8" s="37" t="s">
        <v>57</v>
      </c>
      <c r="AD8" s="60" t="n">
        <f aca="false">AE8</f>
        <v>156184.092515464</v>
      </c>
      <c r="AE8" s="61" t="n">
        <f aca="false">Cost</f>
        <v>156184.092515464</v>
      </c>
      <c r="AF8" s="62" t="n">
        <f aca="false">AE8-Est_Cost</f>
        <v>0</v>
      </c>
    </row>
    <row r="9" customFormat="false" ht="13.5" hidden="false" customHeight="false" outlineLevel="0" collapsed="false">
      <c r="B9" s="39"/>
      <c r="C9" s="39"/>
      <c r="H9" s="37" t="s">
        <v>58</v>
      </c>
      <c r="I9" s="39"/>
      <c r="J9" s="53" t="n">
        <v>0.03</v>
      </c>
      <c r="K9" s="54" t="s">
        <v>59</v>
      </c>
      <c r="L9" s="44"/>
      <c r="N9" s="37" t="s">
        <v>60</v>
      </c>
      <c r="O9" s="39"/>
      <c r="P9" s="39"/>
      <c r="Q9" s="39"/>
      <c r="R9" s="45" t="n">
        <f aca="false">Turnkey!D54</f>
        <v>0</v>
      </c>
      <c r="S9" s="55"/>
      <c r="T9" s="37" t="s">
        <v>61</v>
      </c>
      <c r="U9" s="39"/>
      <c r="V9" s="39"/>
      <c r="W9" s="63" t="n">
        <f aca="false">X9/Debt</f>
        <v>1</v>
      </c>
      <c r="X9" s="64" t="n">
        <f aca="false">Debt-SUM(X18,X27,X36,X45)</f>
        <v>93710.4555092785</v>
      </c>
      <c r="AC9" s="37" t="s">
        <v>62</v>
      </c>
      <c r="AD9" s="60" t="n">
        <f aca="false">AE9</f>
        <v>7955.10896950503</v>
      </c>
      <c r="AE9" s="61" t="n">
        <f aca="false">IDC!$D$69</f>
        <v>7955.10896950503</v>
      </c>
      <c r="AF9" s="62" t="n">
        <f aca="false">AE9-Est_IDC</f>
        <v>0</v>
      </c>
    </row>
    <row r="10" customFormat="false" ht="13.5" hidden="false" customHeight="false" outlineLevel="0" collapsed="false">
      <c r="A10" s="24" t="s">
        <v>63</v>
      </c>
      <c r="B10" s="26"/>
      <c r="C10" s="26"/>
      <c r="D10" s="26"/>
      <c r="E10" s="26"/>
      <c r="F10" s="33"/>
      <c r="H10" s="37" t="s">
        <v>64</v>
      </c>
      <c r="I10" s="65"/>
      <c r="J10" s="66" t="n">
        <v>1</v>
      </c>
      <c r="K10" s="54" t="s">
        <v>65</v>
      </c>
      <c r="L10" s="44"/>
      <c r="N10" s="37" t="s">
        <v>66</v>
      </c>
      <c r="O10" s="39"/>
      <c r="P10" s="67"/>
      <c r="Q10" s="39"/>
      <c r="R10" s="45" t="n">
        <f aca="false">Turnkey!D60</f>
        <v>7914</v>
      </c>
      <c r="S10" s="55"/>
      <c r="T10" s="37" t="s">
        <v>67</v>
      </c>
      <c r="U10" s="39"/>
      <c r="V10" s="39"/>
      <c r="W10" s="68"/>
      <c r="X10" s="69" t="n">
        <v>3</v>
      </c>
      <c r="AC10" s="37" t="s">
        <v>68</v>
      </c>
      <c r="AD10" s="60" t="n">
        <f aca="false">AE10</f>
        <v>475.77727694755</v>
      </c>
      <c r="AE10" s="61" t="n">
        <f aca="false">IDC!AO53</f>
        <v>475.77727694755</v>
      </c>
      <c r="AF10" s="62" t="n">
        <f aca="false">AE10-AD10</f>
        <v>0</v>
      </c>
    </row>
    <row r="11" customFormat="false" ht="12.75" hidden="false" customHeight="false" outlineLevel="0" collapsed="false">
      <c r="A11" s="37" t="s">
        <v>69</v>
      </c>
      <c r="B11" s="39"/>
      <c r="C11" s="39"/>
      <c r="D11" s="39"/>
      <c r="F11" s="70" t="n">
        <v>35886</v>
      </c>
      <c r="H11" s="37" t="s">
        <v>70</v>
      </c>
      <c r="I11" s="39"/>
      <c r="J11" s="53" t="n">
        <v>0.03</v>
      </c>
      <c r="K11" s="54" t="s">
        <v>71</v>
      </c>
      <c r="L11" s="44"/>
      <c r="N11" s="37" t="s">
        <v>72</v>
      </c>
      <c r="O11" s="39"/>
      <c r="P11" s="67"/>
      <c r="Q11" s="39"/>
      <c r="R11" s="71" t="n">
        <v>0</v>
      </c>
      <c r="S11" s="55"/>
      <c r="T11" s="37" t="s">
        <v>73</v>
      </c>
      <c r="U11" s="72" t="n">
        <v>15</v>
      </c>
      <c r="W11" s="73" t="s">
        <v>74</v>
      </c>
      <c r="X11" s="74" t="n">
        <f aca="false">IF(U11=0,0,U11-ROUND(((Startops2-Fin_Close)/365),0)+X12/2)*2</f>
        <v>29</v>
      </c>
      <c r="Z11" s="75" t="s">
        <v>75</v>
      </c>
      <c r="AA11" s="75"/>
      <c r="AC11" s="37" t="s">
        <v>76</v>
      </c>
      <c r="AD11" s="60" t="n">
        <f aca="false">AE11</f>
        <v>18.0419761241514</v>
      </c>
      <c r="AE11" s="61" t="n">
        <f aca="false">IDC!D86</f>
        <v>18.0419761241514</v>
      </c>
      <c r="AF11" s="62" t="n">
        <f aca="false">AE11-Est_Commit</f>
        <v>0</v>
      </c>
    </row>
    <row r="12" customFormat="false" ht="13.5" hidden="false" customHeight="false" outlineLevel="0" collapsed="false">
      <c r="A12" s="37" t="s">
        <v>77</v>
      </c>
      <c r="B12" s="39"/>
      <c r="C12" s="39"/>
      <c r="D12" s="39"/>
      <c r="F12" s="70" t="n">
        <v>36342</v>
      </c>
      <c r="H12" s="37" t="s">
        <v>78</v>
      </c>
      <c r="I12" s="39"/>
      <c r="J12" s="53" t="n">
        <v>0.125</v>
      </c>
      <c r="K12" s="54" t="s">
        <v>79</v>
      </c>
      <c r="L12" s="44"/>
      <c r="N12" s="37" t="s">
        <v>80</v>
      </c>
      <c r="O12" s="39"/>
      <c r="P12" s="76" t="n">
        <v>1</v>
      </c>
      <c r="R12" s="77" t="n">
        <f aca="false">(-Turnkey!C20+Turnkey!D20)*$P12</f>
        <v>810.689943448277</v>
      </c>
      <c r="S12" s="55"/>
      <c r="T12" s="37" t="s">
        <v>81</v>
      </c>
      <c r="U12" s="78" t="n">
        <f aca="false">IF(X12=0,0,X12+ROUND(((Startops2-Fin_Close)/365),2))</f>
        <v>1.92</v>
      </c>
      <c r="W12" s="73" t="s">
        <v>82</v>
      </c>
      <c r="X12" s="79" t="n">
        <v>1</v>
      </c>
      <c r="Z12" s="80" t="n">
        <f aca="false">IF(ABS(SUM(AF14))&lt;0.05,0,1)</f>
        <v>0</v>
      </c>
      <c r="AA12" s="80"/>
      <c r="AC12" s="37" t="s">
        <v>83</v>
      </c>
      <c r="AD12" s="60" t="n">
        <f aca="false">AE12</f>
        <v>1405.65683263918</v>
      </c>
      <c r="AE12" s="61" t="n">
        <f aca="false">Debt*X74</f>
        <v>1405.65683263918</v>
      </c>
      <c r="AF12" s="62" t="n">
        <f aca="false">AE12-AD12</f>
        <v>0</v>
      </c>
    </row>
    <row r="13" customFormat="false" ht="12.75" hidden="false" customHeight="false" outlineLevel="0" collapsed="false">
      <c r="A13" s="81" t="s">
        <v>84</v>
      </c>
      <c r="B13" s="39"/>
      <c r="C13" s="39"/>
      <c r="D13" s="39"/>
      <c r="E13" s="82"/>
      <c r="F13" s="70" t="n">
        <f aca="false">[1]RAROC!$J$50</f>
        <v>36892</v>
      </c>
      <c r="H13" s="37" t="s">
        <v>85</v>
      </c>
      <c r="I13" s="39"/>
      <c r="J13" s="53" t="n">
        <v>0.125</v>
      </c>
      <c r="K13" s="54" t="s">
        <v>86</v>
      </c>
      <c r="L13" s="44"/>
      <c r="N13" s="83" t="s">
        <v>87</v>
      </c>
      <c r="O13" s="67"/>
      <c r="P13" s="67"/>
      <c r="Q13" s="39"/>
      <c r="R13" s="84" t="n">
        <f aca="false">SUM(R7:R12)</f>
        <v>107897.536943448</v>
      </c>
      <c r="S13" s="55"/>
      <c r="T13" s="37" t="s">
        <v>88</v>
      </c>
      <c r="U13" s="39"/>
      <c r="V13" s="39"/>
      <c r="W13" s="85"/>
      <c r="X13" s="86" t="n">
        <f aca="false">IF(X9=0,0,ROUND(U11/2+(Term_C/12),1))</f>
        <v>10.4</v>
      </c>
      <c r="AC13" s="37"/>
      <c r="AD13" s="39"/>
      <c r="AE13" s="39"/>
      <c r="AF13" s="44"/>
    </row>
    <row r="14" customFormat="false" ht="13.5" hidden="false" customHeight="false" outlineLevel="0" collapsed="false">
      <c r="A14" s="81" t="s">
        <v>89</v>
      </c>
      <c r="B14" s="39"/>
      <c r="C14" s="39"/>
      <c r="D14" s="39"/>
      <c r="E14" s="82"/>
      <c r="F14" s="44" t="n">
        <f aca="false">ROUND((Startops1-Startconst)/(365/12),0)</f>
        <v>35</v>
      </c>
      <c r="H14" s="37" t="s">
        <v>90</v>
      </c>
      <c r="I14" s="39"/>
      <c r="J14" s="53" t="n">
        <v>0.125</v>
      </c>
      <c r="K14" s="54" t="s">
        <v>91</v>
      </c>
      <c r="L14" s="44"/>
      <c r="N14" s="83"/>
      <c r="O14" s="67"/>
      <c r="P14" s="67"/>
      <c r="Q14" s="39"/>
      <c r="R14" s="87"/>
      <c r="S14" s="55"/>
      <c r="T14" s="37" t="s">
        <v>92</v>
      </c>
      <c r="U14" s="39"/>
      <c r="V14" s="88" t="n">
        <v>0.063125</v>
      </c>
      <c r="W14" s="88" t="n">
        <v>0.047</v>
      </c>
      <c r="X14" s="89" t="n">
        <f aca="false">[1]RAROC!$E$92</f>
        <v>0.1101</v>
      </c>
      <c r="AC14" s="90" t="s">
        <v>93</v>
      </c>
      <c r="AD14" s="91"/>
      <c r="AE14" s="91"/>
      <c r="AF14" s="92" t="n">
        <f aca="false">SUM(AF8:AF13)</f>
        <v>0</v>
      </c>
    </row>
    <row r="15" customFormat="false" ht="12.75" hidden="false" customHeight="false" outlineLevel="0" collapsed="false">
      <c r="A15" s="37" t="s">
        <v>94</v>
      </c>
      <c r="B15" s="39"/>
      <c r="C15" s="93"/>
      <c r="F15" s="70" t="n">
        <f aca="false">[1]RAROC!$J$51</f>
        <v>36951</v>
      </c>
      <c r="H15" s="37" t="s">
        <v>95</v>
      </c>
      <c r="I15" s="39"/>
      <c r="J15" s="53" t="n">
        <v>0.13</v>
      </c>
      <c r="K15" s="54" t="s">
        <v>96</v>
      </c>
      <c r="L15" s="44"/>
      <c r="N15" s="37" t="s">
        <v>97</v>
      </c>
      <c r="O15" s="39"/>
      <c r="P15" s="39"/>
      <c r="Q15" s="39"/>
      <c r="R15" s="71" t="n">
        <f aca="false">303-83</f>
        <v>220</v>
      </c>
      <c r="S15" s="55"/>
      <c r="T15" s="37" t="s">
        <v>83</v>
      </c>
      <c r="U15" s="39"/>
      <c r="V15" s="47"/>
      <c r="W15" s="47"/>
      <c r="X15" s="94" t="n">
        <v>0.015</v>
      </c>
    </row>
    <row r="16" customFormat="false" ht="12.75" hidden="false" customHeight="false" outlineLevel="0" collapsed="false">
      <c r="A16" s="37" t="s">
        <v>98</v>
      </c>
      <c r="B16" s="39"/>
      <c r="C16" s="93"/>
      <c r="F16" s="70" t="n">
        <f aca="false">[1]RAROC!$J$52</f>
        <v>37104</v>
      </c>
      <c r="H16" s="37" t="s">
        <v>99</v>
      </c>
      <c r="I16" s="39"/>
      <c r="J16" s="95" t="n">
        <f aca="false">Vat/(1-Vat)</f>
        <v>0.149425287356322</v>
      </c>
      <c r="K16" s="54" t="s">
        <v>100</v>
      </c>
      <c r="L16" s="44"/>
      <c r="N16" s="37" t="s">
        <v>101</v>
      </c>
      <c r="O16" s="39"/>
      <c r="P16" s="39"/>
      <c r="Q16" s="39"/>
      <c r="R16" s="71" t="n">
        <v>600</v>
      </c>
      <c r="S16" s="55"/>
      <c r="T16" s="37" t="s">
        <v>76</v>
      </c>
      <c r="U16" s="39"/>
      <c r="V16" s="47"/>
      <c r="W16" s="47"/>
      <c r="X16" s="94" t="n">
        <v>0.005</v>
      </c>
    </row>
    <row r="17" customFormat="false" ht="12.75" hidden="false" customHeight="false" outlineLevel="0" collapsed="false">
      <c r="A17" s="37" t="s">
        <v>102</v>
      </c>
      <c r="B17" s="39"/>
      <c r="C17" s="93"/>
      <c r="D17" s="39"/>
      <c r="F17" s="96" t="n">
        <v>43556</v>
      </c>
      <c r="H17" s="97" t="s">
        <v>103</v>
      </c>
      <c r="I17" s="39"/>
      <c r="J17" s="98"/>
      <c r="K17" s="54"/>
      <c r="L17" s="44"/>
      <c r="N17" s="37" t="s">
        <v>104</v>
      </c>
      <c r="O17" s="99" t="n">
        <v>802</v>
      </c>
      <c r="P17" s="100" t="s">
        <v>105</v>
      </c>
      <c r="Q17" s="99" t="n">
        <v>0</v>
      </c>
      <c r="R17" s="45" t="n">
        <f aca="false">SUM(O17,Q17)</f>
        <v>802</v>
      </c>
      <c r="S17" s="101"/>
      <c r="T17" s="102" t="s">
        <v>106</v>
      </c>
      <c r="U17" s="103"/>
      <c r="V17" s="104"/>
      <c r="W17" s="104"/>
      <c r="X17" s="105"/>
    </row>
    <row r="18" customFormat="false" ht="12.75" hidden="false" customHeight="false" outlineLevel="0" collapsed="false">
      <c r="A18" s="37" t="s">
        <v>107</v>
      </c>
      <c r="B18" s="39"/>
      <c r="C18" s="106"/>
      <c r="D18" s="39"/>
      <c r="E18" s="39"/>
      <c r="F18" s="107" t="n">
        <v>20</v>
      </c>
      <c r="H18" s="37" t="s">
        <v>108</v>
      </c>
      <c r="I18" s="39"/>
      <c r="J18" s="53" t="n">
        <v>0.1</v>
      </c>
      <c r="K18" s="54" t="s">
        <v>109</v>
      </c>
      <c r="L18" s="44"/>
      <c r="N18" s="37" t="s">
        <v>110</v>
      </c>
      <c r="O18" s="39"/>
      <c r="P18" s="95"/>
      <c r="Q18" s="39"/>
      <c r="R18" s="71" t="n">
        <f aca="false">1100+150</f>
        <v>1250</v>
      </c>
      <c r="S18" s="108"/>
      <c r="T18" s="109" t="s">
        <v>61</v>
      </c>
      <c r="U18" s="67"/>
      <c r="V18" s="67"/>
      <c r="W18" s="63" t="n">
        <f aca="false">X18/Debt</f>
        <v>0</v>
      </c>
      <c r="X18" s="71" t="n">
        <v>0</v>
      </c>
    </row>
    <row r="19" customFormat="false" ht="13.5" hidden="false" customHeight="false" outlineLevel="0" collapsed="false">
      <c r="A19" s="49" t="s">
        <v>111</v>
      </c>
      <c r="B19" s="50"/>
      <c r="C19" s="50"/>
      <c r="D19" s="22"/>
      <c r="E19" s="22"/>
      <c r="F19" s="110" t="s">
        <v>112</v>
      </c>
      <c r="H19" s="37" t="s">
        <v>113</v>
      </c>
      <c r="I19" s="39"/>
      <c r="J19" s="53" t="n">
        <v>0.02</v>
      </c>
      <c r="K19" s="54" t="s">
        <v>109</v>
      </c>
      <c r="L19" s="44"/>
      <c r="N19" s="37" t="s">
        <v>114</v>
      </c>
      <c r="O19" s="39"/>
      <c r="P19" s="95"/>
      <c r="Q19" s="39"/>
      <c r="R19" s="71" t="n">
        <v>0</v>
      </c>
      <c r="S19" s="108"/>
      <c r="T19" s="109" t="s">
        <v>67</v>
      </c>
      <c r="U19" s="67"/>
      <c r="V19" s="67"/>
      <c r="W19" s="111"/>
      <c r="X19" s="69" t="n">
        <v>2</v>
      </c>
    </row>
    <row r="20" customFormat="false" ht="13.5" hidden="false" customHeight="false" outlineLevel="0" collapsed="false">
      <c r="B20" s="39"/>
      <c r="C20" s="39"/>
      <c r="H20" s="37" t="s">
        <v>115</v>
      </c>
      <c r="I20" s="39"/>
      <c r="J20" s="53" t="n">
        <v>0.0192</v>
      </c>
      <c r="K20" s="54" t="s">
        <v>109</v>
      </c>
      <c r="L20" s="44"/>
      <c r="N20" s="37" t="s">
        <v>116</v>
      </c>
      <c r="O20" s="39"/>
      <c r="P20" s="39"/>
      <c r="Q20" s="39"/>
      <c r="R20" s="71" t="n">
        <v>11183.5134</v>
      </c>
      <c r="S20" s="108"/>
      <c r="T20" s="37" t="s">
        <v>73</v>
      </c>
      <c r="U20" s="72" t="n">
        <v>0</v>
      </c>
      <c r="W20" s="73" t="s">
        <v>74</v>
      </c>
      <c r="X20" s="74" t="n">
        <f aca="false">IF(U20=0,0,U20-ROUND(((Startops2-Fin_Close)/365),0)+X21/2)*2</f>
        <v>0</v>
      </c>
    </row>
    <row r="21" customFormat="false" ht="13.5" hidden="false" customHeight="false" outlineLevel="0" collapsed="false">
      <c r="A21" s="24" t="s">
        <v>117</v>
      </c>
      <c r="B21" s="26"/>
      <c r="C21" s="26"/>
      <c r="D21" s="26"/>
      <c r="E21" s="26"/>
      <c r="F21" s="33"/>
      <c r="H21" s="37" t="s">
        <v>118</v>
      </c>
      <c r="I21" s="39"/>
      <c r="J21" s="53" t="n">
        <v>0.005</v>
      </c>
      <c r="K21" s="54" t="s">
        <v>109</v>
      </c>
      <c r="L21" s="44"/>
      <c r="N21" s="37" t="s">
        <v>119</v>
      </c>
      <c r="O21" s="39"/>
      <c r="P21" s="39"/>
      <c r="Q21" s="39"/>
      <c r="R21" s="112" t="n">
        <v>5150.8</v>
      </c>
      <c r="S21" s="108"/>
      <c r="T21" s="37" t="s">
        <v>81</v>
      </c>
      <c r="U21" s="78" t="n">
        <f aca="false">IF(X21=0,0,X21+ROUND(((Startops2-Fin_Close)/365),2))</f>
        <v>1.92</v>
      </c>
      <c r="W21" s="73" t="s">
        <v>82</v>
      </c>
      <c r="X21" s="79" t="n">
        <v>1</v>
      </c>
    </row>
    <row r="22" customFormat="false" ht="12.75" hidden="false" customHeight="false" outlineLevel="0" collapsed="false">
      <c r="A22" s="37" t="s">
        <v>120</v>
      </c>
      <c r="B22" s="39"/>
      <c r="C22" s="39"/>
      <c r="D22" s="39"/>
      <c r="E22" s="39"/>
      <c r="F22" s="113" t="n">
        <f aca="false">[2]RAC_ASSUMP!$C$15</f>
        <v>36770</v>
      </c>
      <c r="H22" s="37" t="s">
        <v>121</v>
      </c>
      <c r="I22" s="39"/>
      <c r="J22" s="53" t="n">
        <v>0.065</v>
      </c>
      <c r="K22" s="54" t="s">
        <v>122</v>
      </c>
      <c r="L22" s="44"/>
      <c r="N22" s="83" t="s">
        <v>123</v>
      </c>
      <c r="O22" s="67"/>
      <c r="P22" s="67"/>
      <c r="Q22" s="39"/>
      <c r="R22" s="84" t="n">
        <f aca="false">SUM(R15:R21)</f>
        <v>19206.3134</v>
      </c>
      <c r="S22" s="55"/>
      <c r="T22" s="37" t="s">
        <v>124</v>
      </c>
      <c r="U22" s="67"/>
      <c r="V22" s="67"/>
      <c r="W22" s="114"/>
      <c r="X22" s="86" t="n">
        <f aca="false">IF(X18=0,0,ROUND(U20/2+(Term_C/12),1))</f>
        <v>0</v>
      </c>
    </row>
    <row r="23" customFormat="false" ht="12.75" hidden="false" customHeight="false" outlineLevel="0" collapsed="false">
      <c r="A23" s="37" t="s">
        <v>125</v>
      </c>
      <c r="B23" s="39"/>
      <c r="C23" s="39"/>
      <c r="D23" s="39"/>
      <c r="E23" s="39"/>
      <c r="F23" s="44" t="n">
        <f aca="false">ROUND((Fin_Close-Startconst)/(365/12),0)</f>
        <v>29</v>
      </c>
      <c r="H23" s="37" t="s">
        <v>126</v>
      </c>
      <c r="I23" s="39"/>
      <c r="J23" s="53" t="n">
        <v>0.1</v>
      </c>
      <c r="K23" s="54" t="s">
        <v>122</v>
      </c>
      <c r="L23" s="44"/>
      <c r="N23" s="83"/>
      <c r="O23" s="67"/>
      <c r="P23" s="67"/>
      <c r="Q23" s="39"/>
      <c r="R23" s="87"/>
      <c r="S23" s="55"/>
      <c r="T23" s="37" t="s">
        <v>92</v>
      </c>
      <c r="U23" s="67"/>
      <c r="V23" s="88" t="n">
        <v>0.0677</v>
      </c>
      <c r="W23" s="88" t="n">
        <v>0.025</v>
      </c>
      <c r="X23" s="115" t="n">
        <f aca="false">W23+V23</f>
        <v>0.0927</v>
      </c>
    </row>
    <row r="24" customFormat="false" ht="12.75" hidden="false" customHeight="false" outlineLevel="0" collapsed="false">
      <c r="A24" s="37" t="s">
        <v>127</v>
      </c>
      <c r="B24" s="39"/>
      <c r="C24" s="39"/>
      <c r="D24" s="39"/>
      <c r="E24" s="39"/>
      <c r="F24" s="107" t="n">
        <v>6</v>
      </c>
      <c r="H24" s="97" t="s">
        <v>128</v>
      </c>
      <c r="I24" s="39"/>
      <c r="J24" s="98"/>
      <c r="K24" s="54"/>
      <c r="L24" s="44"/>
      <c r="N24" s="37" t="s">
        <v>129</v>
      </c>
      <c r="O24" s="39"/>
      <c r="P24" s="39"/>
      <c r="Q24" s="39"/>
      <c r="R24" s="45" t="n">
        <f aca="false">Est_IDC</f>
        <v>7955.10896950503</v>
      </c>
      <c r="S24" s="55"/>
      <c r="T24" s="109" t="s">
        <v>83</v>
      </c>
      <c r="U24" s="67"/>
      <c r="V24" s="116"/>
      <c r="W24" s="116"/>
      <c r="X24" s="94" t="n">
        <v>0.015</v>
      </c>
    </row>
    <row r="25" customFormat="false" ht="13.5" hidden="false" customHeight="false" outlineLevel="0" collapsed="false">
      <c r="A25" s="49" t="s">
        <v>130</v>
      </c>
      <c r="B25" s="22"/>
      <c r="C25" s="22"/>
      <c r="D25" s="22"/>
      <c r="E25" s="22"/>
      <c r="F25" s="117" t="n">
        <f aca="false">EDATE(Startops2,F24)</f>
        <v>37288</v>
      </c>
      <c r="H25" s="49" t="s">
        <v>131</v>
      </c>
      <c r="I25" s="22"/>
      <c r="J25" s="118" t="n">
        <v>0.01</v>
      </c>
      <c r="K25" s="119" t="s">
        <v>132</v>
      </c>
      <c r="L25" s="120"/>
      <c r="N25" s="37" t="s">
        <v>133</v>
      </c>
      <c r="O25" s="39"/>
      <c r="P25" s="39"/>
      <c r="Q25" s="39"/>
      <c r="R25" s="45" t="n">
        <f aca="false">AD10</f>
        <v>475.77727694755</v>
      </c>
      <c r="S25" s="55"/>
      <c r="T25" s="109" t="s">
        <v>76</v>
      </c>
      <c r="U25" s="67"/>
      <c r="V25" s="116"/>
      <c r="W25" s="116"/>
      <c r="X25" s="94" t="n">
        <v>0.0025</v>
      </c>
    </row>
    <row r="26" customFormat="false" ht="13.5" hidden="false" customHeight="false" outlineLevel="0" collapsed="false">
      <c r="N26" s="37" t="s">
        <v>76</v>
      </c>
      <c r="O26" s="39"/>
      <c r="P26" s="39"/>
      <c r="Q26" s="39"/>
      <c r="R26" s="45" t="n">
        <f aca="false">Est_Commit</f>
        <v>18.0419761241514</v>
      </c>
      <c r="S26" s="55"/>
      <c r="T26" s="102" t="s">
        <v>134</v>
      </c>
      <c r="U26" s="103"/>
      <c r="V26" s="104"/>
      <c r="W26" s="104"/>
      <c r="X26" s="105"/>
    </row>
    <row r="27" customFormat="false" ht="13.5" hidden="false" customHeight="false" outlineLevel="0" collapsed="false">
      <c r="A27" s="24" t="s">
        <v>135</v>
      </c>
      <c r="B27" s="26"/>
      <c r="C27" s="121" t="n">
        <v>0.5732</v>
      </c>
      <c r="D27" s="122"/>
      <c r="E27" s="122"/>
      <c r="F27" s="33"/>
      <c r="H27" s="24" t="s">
        <v>136</v>
      </c>
      <c r="I27" s="26"/>
      <c r="J27" s="26"/>
      <c r="K27" s="26"/>
      <c r="L27" s="33"/>
      <c r="N27" s="37" t="s">
        <v>83</v>
      </c>
      <c r="O27" s="39"/>
      <c r="P27" s="39"/>
      <c r="Q27" s="39"/>
      <c r="R27" s="45" t="n">
        <f aca="false">AD12</f>
        <v>1405.65683263918</v>
      </c>
      <c r="S27" s="55"/>
      <c r="T27" s="109" t="s">
        <v>61</v>
      </c>
      <c r="U27" s="67"/>
      <c r="V27" s="67"/>
      <c r="W27" s="63" t="n">
        <f aca="false">X27/Debt</f>
        <v>0</v>
      </c>
      <c r="X27" s="71" t="n">
        <v>0</v>
      </c>
    </row>
    <row r="28" customFormat="false" ht="12.75" hidden="false" customHeight="false" outlineLevel="0" collapsed="false">
      <c r="A28" s="37"/>
      <c r="B28" s="39"/>
      <c r="C28" s="39"/>
      <c r="D28" s="123" t="n">
        <v>1998</v>
      </c>
      <c r="F28" s="124" t="s">
        <v>137</v>
      </c>
      <c r="H28" s="37" t="s">
        <v>138</v>
      </c>
      <c r="I28" s="39"/>
      <c r="J28" s="40" t="s">
        <v>139</v>
      </c>
      <c r="K28" s="39"/>
      <c r="L28" s="44"/>
      <c r="N28" s="37" t="s">
        <v>140</v>
      </c>
      <c r="O28" s="39"/>
      <c r="P28" s="39"/>
      <c r="Q28" s="39"/>
      <c r="R28" s="71" t="n">
        <v>3055.55</v>
      </c>
      <c r="S28" s="55"/>
      <c r="T28" s="109" t="s">
        <v>67</v>
      </c>
      <c r="U28" s="67"/>
      <c r="V28" s="67"/>
      <c r="W28" s="111"/>
      <c r="X28" s="69" t="n">
        <v>0</v>
      </c>
    </row>
    <row r="29" customFormat="false" ht="13.5" hidden="false" customHeight="false" outlineLevel="0" collapsed="false">
      <c r="A29" s="37" t="s">
        <v>141</v>
      </c>
      <c r="B29" s="39"/>
      <c r="C29" s="47" t="s">
        <v>142</v>
      </c>
      <c r="D29" s="125" t="n">
        <f aca="false">ROUND($C$27*(0.4606/(0.4606+0.0052)),4)*[1]RAROC!$B$135</f>
        <v>0.5668</v>
      </c>
      <c r="E29" s="126"/>
      <c r="F29" s="127" t="s">
        <v>143</v>
      </c>
      <c r="H29" s="49" t="s">
        <v>144</v>
      </c>
      <c r="I29" s="22"/>
      <c r="J29" s="118" t="n">
        <v>0.37</v>
      </c>
      <c r="K29" s="22"/>
      <c r="L29" s="120"/>
      <c r="N29" s="37" t="s">
        <v>145</v>
      </c>
      <c r="O29" s="39"/>
      <c r="P29" s="39"/>
      <c r="Q29" s="39"/>
      <c r="R29" s="71" t="n">
        <v>0</v>
      </c>
      <c r="S29" s="55"/>
      <c r="T29" s="37" t="s">
        <v>73</v>
      </c>
      <c r="U29" s="72" t="n">
        <v>0</v>
      </c>
      <c r="W29" s="73" t="s">
        <v>74</v>
      </c>
      <c r="X29" s="74" t="n">
        <f aca="false">IF(U29=0,0,U29-ROUND(((Startops2-Fin_Close)/365),0)+X30/2)*2</f>
        <v>0</v>
      </c>
    </row>
    <row r="30" customFormat="false" ht="13.5" hidden="false" customHeight="false" outlineLevel="0" collapsed="false">
      <c r="A30" s="49" t="s">
        <v>146</v>
      </c>
      <c r="B30" s="22"/>
      <c r="C30" s="128" t="s">
        <v>142</v>
      </c>
      <c r="D30" s="129" t="n">
        <f aca="false">ROUND($C$27*(0.0052/(0.4606+0.0052)),4)</f>
        <v>0.0064</v>
      </c>
      <c r="E30" s="22"/>
      <c r="F30" s="130" t="str">
        <f aca="false">F29</f>
        <v>Greater Of CPI Or 1.005</v>
      </c>
      <c r="N30" s="37" t="s">
        <v>147</v>
      </c>
      <c r="O30" s="39"/>
      <c r="P30" s="39"/>
      <c r="Q30" s="39"/>
      <c r="R30" s="71" t="n">
        <v>1526.85</v>
      </c>
      <c r="S30" s="55"/>
      <c r="T30" s="37" t="s">
        <v>81</v>
      </c>
      <c r="U30" s="78" t="n">
        <f aca="false">IF(X30=0,0,X30+ROUND(((Startops2-Fin_Close)/365),2))</f>
        <v>0</v>
      </c>
      <c r="W30" s="73" t="s">
        <v>82</v>
      </c>
      <c r="X30" s="79" t="n">
        <v>0</v>
      </c>
    </row>
    <row r="31" customFormat="false" ht="13.5" hidden="false" customHeight="false" outlineLevel="0" collapsed="false">
      <c r="B31" s="39"/>
      <c r="C31" s="39"/>
      <c r="H31" s="24" t="s">
        <v>148</v>
      </c>
      <c r="I31" s="26"/>
      <c r="J31" s="26"/>
      <c r="K31" s="26"/>
      <c r="L31" s="33"/>
      <c r="N31" s="37" t="s">
        <v>149</v>
      </c>
      <c r="O31" s="39" t="s">
        <v>150</v>
      </c>
      <c r="P31" s="39"/>
      <c r="Q31" s="39"/>
      <c r="R31" s="112" t="n">
        <f aca="false">839.522</f>
        <v>839.522</v>
      </c>
      <c r="S31" s="55"/>
      <c r="T31" s="37" t="s">
        <v>88</v>
      </c>
      <c r="U31" s="67"/>
      <c r="V31" s="67"/>
      <c r="W31" s="114"/>
      <c r="X31" s="86" t="n">
        <f aca="false">IF(X27=0,0,ROUND(U29/2+(Term_C/12),1))</f>
        <v>0</v>
      </c>
    </row>
    <row r="32" customFormat="false" ht="13.5" hidden="false" customHeight="false" outlineLevel="0" collapsed="false">
      <c r="A32" s="24" t="s">
        <v>151</v>
      </c>
      <c r="B32" s="26"/>
      <c r="C32" s="26"/>
      <c r="D32" s="26"/>
      <c r="E32" s="131" t="s">
        <v>152</v>
      </c>
      <c r="F32" s="132" t="n">
        <f aca="false">Startops2</f>
        <v>37104</v>
      </c>
      <c r="H32" s="37" t="s">
        <v>153</v>
      </c>
      <c r="I32" s="39"/>
      <c r="J32" s="39"/>
      <c r="K32" s="133"/>
      <c r="L32" s="44"/>
      <c r="N32" s="83" t="s">
        <v>154</v>
      </c>
      <c r="O32" s="67"/>
      <c r="P32" s="67"/>
      <c r="Q32" s="39"/>
      <c r="R32" s="84" t="n">
        <f aca="false">SUM(R24:R31)</f>
        <v>15276.5070552159</v>
      </c>
      <c r="S32" s="55"/>
      <c r="T32" s="37" t="s">
        <v>92</v>
      </c>
      <c r="U32" s="67"/>
      <c r="V32" s="88" t="n">
        <v>0</v>
      </c>
      <c r="W32" s="88" t="n">
        <v>0</v>
      </c>
      <c r="X32" s="115" t="n">
        <f aca="false">W32+V32</f>
        <v>0</v>
      </c>
    </row>
    <row r="33" customFormat="false" ht="12.75" hidden="false" customHeight="false" outlineLevel="0" collapsed="false">
      <c r="A33" s="37"/>
      <c r="B33" s="39"/>
      <c r="C33" s="134" t="s">
        <v>155</v>
      </c>
      <c r="D33" s="135" t="s">
        <v>156</v>
      </c>
      <c r="E33" s="135"/>
      <c r="F33" s="136"/>
      <c r="H33" s="37" t="s">
        <v>157</v>
      </c>
      <c r="I33" s="39"/>
      <c r="J33" s="39"/>
      <c r="K33" s="133"/>
      <c r="L33" s="44"/>
      <c r="N33" s="83"/>
      <c r="O33" s="67"/>
      <c r="P33" s="67"/>
      <c r="Q33" s="39"/>
      <c r="R33" s="87"/>
      <c r="S33" s="55"/>
      <c r="T33" s="109" t="s">
        <v>83</v>
      </c>
      <c r="U33" s="67"/>
      <c r="V33" s="116"/>
      <c r="W33" s="116"/>
      <c r="X33" s="94" t="n">
        <v>0</v>
      </c>
    </row>
    <row r="34" customFormat="false" ht="13.5" hidden="false" customHeight="false" outlineLevel="0" collapsed="false">
      <c r="A34" s="37"/>
      <c r="B34" s="137" t="s">
        <v>158</v>
      </c>
      <c r="C34" s="138" t="s">
        <v>159</v>
      </c>
      <c r="D34" s="137" t="s">
        <v>158</v>
      </c>
      <c r="E34" s="138" t="s">
        <v>160</v>
      </c>
      <c r="F34" s="139" t="s">
        <v>161</v>
      </c>
      <c r="H34" s="49" t="s">
        <v>162</v>
      </c>
      <c r="I34" s="22"/>
      <c r="J34" s="118" t="n">
        <v>0.02</v>
      </c>
      <c r="K34" s="22"/>
      <c r="L34" s="120"/>
      <c r="N34" s="37" t="s">
        <v>163</v>
      </c>
      <c r="O34" s="99" t="n">
        <v>7384.6381168</v>
      </c>
      <c r="P34" s="100" t="s">
        <v>105</v>
      </c>
      <c r="Q34" s="99" t="n">
        <v>0</v>
      </c>
      <c r="R34" s="45" t="n">
        <f aca="false">SUM(O34,Q34)</f>
        <v>7384.6381168</v>
      </c>
      <c r="S34" s="55"/>
      <c r="T34" s="109" t="s">
        <v>76</v>
      </c>
      <c r="U34" s="67"/>
      <c r="V34" s="116"/>
      <c r="W34" s="116"/>
      <c r="X34" s="94" t="n">
        <v>0</v>
      </c>
    </row>
    <row r="35" customFormat="false" ht="13.5" hidden="false" customHeight="false" outlineLevel="0" collapsed="false">
      <c r="A35" s="49"/>
      <c r="B35" s="140" t="n">
        <v>102990</v>
      </c>
      <c r="C35" s="141" t="n">
        <v>0</v>
      </c>
      <c r="D35" s="142" t="n">
        <f aca="false">B35*((365-C35)/365)</f>
        <v>102990</v>
      </c>
      <c r="E35" s="143" t="n">
        <v>1</v>
      </c>
      <c r="F35" s="144" t="n">
        <f aca="false">D35*E35</f>
        <v>102990</v>
      </c>
      <c r="N35" s="37" t="s">
        <v>164</v>
      </c>
      <c r="O35" s="99" t="n">
        <v>0</v>
      </c>
      <c r="P35" s="100" t="s">
        <v>105</v>
      </c>
      <c r="Q35" s="99" t="n">
        <v>0</v>
      </c>
      <c r="R35" s="45" t="n">
        <f aca="false">SUM(O35,Q35)</f>
        <v>0</v>
      </c>
      <c r="S35" s="55"/>
      <c r="T35" s="102" t="s">
        <v>165</v>
      </c>
      <c r="U35" s="103"/>
      <c r="V35" s="104"/>
      <c r="W35" s="104"/>
      <c r="X35" s="105"/>
    </row>
    <row r="36" customFormat="false" ht="13.5" hidden="false" customHeight="false" outlineLevel="0" collapsed="false">
      <c r="B36" s="39"/>
      <c r="C36" s="39"/>
      <c r="H36" s="24" t="s">
        <v>166</v>
      </c>
      <c r="I36" s="145" t="n">
        <v>0.05</v>
      </c>
      <c r="J36" s="26" t="s">
        <v>167</v>
      </c>
      <c r="K36" s="26"/>
      <c r="L36" s="33"/>
      <c r="N36" s="37" t="s">
        <v>168</v>
      </c>
      <c r="O36" s="146"/>
      <c r="P36" s="39"/>
      <c r="Q36" s="39"/>
      <c r="R36" s="112" t="n">
        <f aca="false">923+269</f>
        <v>1192</v>
      </c>
      <c r="S36" s="101"/>
      <c r="T36" s="109" t="s">
        <v>61</v>
      </c>
      <c r="U36" s="67"/>
      <c r="V36" s="67"/>
      <c r="W36" s="63" t="n">
        <f aca="false">X36/Debt</f>
        <v>0</v>
      </c>
      <c r="X36" s="71" t="n">
        <v>0</v>
      </c>
    </row>
    <row r="37" customFormat="false" ht="13.5" hidden="false" customHeight="false" outlineLevel="0" collapsed="false">
      <c r="A37" s="147" t="s">
        <v>169</v>
      </c>
      <c r="B37" s="148"/>
      <c r="C37" s="26"/>
      <c r="D37" s="26"/>
      <c r="E37" s="29" t="s">
        <v>170</v>
      </c>
      <c r="F37" s="149" t="s">
        <v>171</v>
      </c>
      <c r="H37" s="150" t="s">
        <v>172</v>
      </c>
      <c r="I37" s="118" t="n">
        <v>0.5</v>
      </c>
      <c r="J37" s="22" t="s">
        <v>173</v>
      </c>
      <c r="K37" s="22"/>
      <c r="L37" s="151" t="n">
        <f aca="false">I37*J64</f>
        <v>20000</v>
      </c>
      <c r="N37" s="83" t="s">
        <v>174</v>
      </c>
      <c r="O37" s="67"/>
      <c r="P37" s="67"/>
      <c r="Q37" s="39"/>
      <c r="R37" s="84" t="n">
        <f aca="false">SUM(R34:R36)</f>
        <v>8576.6381168</v>
      </c>
      <c r="S37" s="152"/>
      <c r="T37" s="109" t="s">
        <v>67</v>
      </c>
      <c r="U37" s="67"/>
      <c r="V37" s="67"/>
      <c r="W37" s="111"/>
      <c r="X37" s="69" t="n">
        <v>0</v>
      </c>
    </row>
    <row r="38" customFormat="false" ht="13.5" hidden="false" customHeight="false" outlineLevel="0" collapsed="false">
      <c r="A38" s="37"/>
      <c r="B38" s="39"/>
      <c r="C38" s="39"/>
      <c r="D38" s="39"/>
      <c r="E38" s="153"/>
      <c r="F38" s="44"/>
      <c r="N38" s="83"/>
      <c r="O38" s="67"/>
      <c r="P38" s="67"/>
      <c r="Q38" s="39"/>
      <c r="R38" s="87"/>
      <c r="S38" s="55"/>
      <c r="T38" s="37" t="s">
        <v>73</v>
      </c>
      <c r="U38" s="72" t="n">
        <v>0</v>
      </c>
      <c r="W38" s="73" t="s">
        <v>74</v>
      </c>
      <c r="X38" s="74" t="n">
        <f aca="false">IF(U38=0,0,U38-ROUND(((Startops2-Fin_Close)/365),0)+X39/2)*2</f>
        <v>0</v>
      </c>
    </row>
    <row r="39" customFormat="false" ht="13.5" hidden="false" customHeight="false" outlineLevel="0" collapsed="false">
      <c r="A39" s="97" t="s">
        <v>175</v>
      </c>
      <c r="B39" s="39"/>
      <c r="C39" s="39"/>
      <c r="D39" s="39"/>
      <c r="E39" s="123" t="n">
        <v>1998</v>
      </c>
      <c r="F39" s="124" t="s">
        <v>137</v>
      </c>
      <c r="H39" s="24" t="s">
        <v>176</v>
      </c>
      <c r="I39" s="26"/>
      <c r="J39" s="35" t="s">
        <v>177</v>
      </c>
      <c r="K39" s="35" t="s">
        <v>178</v>
      </c>
      <c r="L39" s="36" t="s">
        <v>179</v>
      </c>
      <c r="N39" s="37" t="s">
        <v>180</v>
      </c>
      <c r="O39" s="54" t="s">
        <v>181</v>
      </c>
      <c r="P39" s="39"/>
      <c r="Q39" s="39"/>
      <c r="R39" s="112" t="n">
        <v>0</v>
      </c>
      <c r="S39" s="55"/>
      <c r="T39" s="37" t="s">
        <v>81</v>
      </c>
      <c r="U39" s="78" t="n">
        <f aca="false">IF(X39=0,0,X39+ROUND(((Startops2-Fin_Close)/365),2))</f>
        <v>0</v>
      </c>
      <c r="W39" s="73" t="s">
        <v>82</v>
      </c>
      <c r="X39" s="79" t="n">
        <v>0</v>
      </c>
    </row>
    <row r="40" customFormat="false" ht="12.75" hidden="false" customHeight="false" outlineLevel="0" collapsed="false">
      <c r="A40" s="37" t="s">
        <v>182</v>
      </c>
      <c r="B40" s="39"/>
      <c r="C40" s="39"/>
      <c r="D40" s="39"/>
      <c r="E40" s="154" t="n">
        <v>236</v>
      </c>
      <c r="F40" s="155" t="str">
        <f aca="false">CPI</f>
        <v>CPI Annual</v>
      </c>
      <c r="H40" s="37"/>
      <c r="I40" s="39"/>
      <c r="J40" s="153"/>
      <c r="K40" s="153"/>
      <c r="L40" s="156"/>
      <c r="N40" s="83" t="s">
        <v>183</v>
      </c>
      <c r="O40" s="67"/>
      <c r="P40" s="67"/>
      <c r="Q40" s="39"/>
      <c r="R40" s="84" t="n">
        <f aca="false">SUM(R39)</f>
        <v>0</v>
      </c>
      <c r="S40" s="55"/>
      <c r="T40" s="37" t="s">
        <v>88</v>
      </c>
      <c r="U40" s="67"/>
      <c r="V40" s="67"/>
      <c r="W40" s="114"/>
      <c r="X40" s="86" t="n">
        <f aca="false">IF(X36=0,0,ROUND(U38/2+(Term_C/12),1))</f>
        <v>0</v>
      </c>
    </row>
    <row r="41" customFormat="false" ht="12.75" hidden="false" customHeight="false" outlineLevel="0" collapsed="false">
      <c r="A41" s="37" t="s">
        <v>184</v>
      </c>
      <c r="B41" s="39"/>
      <c r="C41" s="39"/>
      <c r="D41" s="39"/>
      <c r="E41" s="154" t="n">
        <v>81</v>
      </c>
      <c r="F41" s="155" t="str">
        <f aca="false">CPI</f>
        <v>CPI Annual</v>
      </c>
      <c r="H41" s="37" t="s">
        <v>185</v>
      </c>
      <c r="I41" s="39"/>
      <c r="J41" s="157" t="n">
        <f aca="false">Depr!D19</f>
        <v>144209.987096609</v>
      </c>
      <c r="K41" s="158" t="n">
        <v>10</v>
      </c>
      <c r="L41" s="156" t="s">
        <v>186</v>
      </c>
      <c r="N41" s="83"/>
      <c r="O41" s="67"/>
      <c r="P41" s="67"/>
      <c r="Q41" s="39"/>
      <c r="R41" s="87"/>
      <c r="S41" s="55"/>
      <c r="T41" s="37" t="s">
        <v>92</v>
      </c>
      <c r="U41" s="67"/>
      <c r="V41" s="88" t="n">
        <v>0</v>
      </c>
      <c r="W41" s="88" t="n">
        <v>0</v>
      </c>
      <c r="X41" s="115" t="n">
        <f aca="false">W41+V41</f>
        <v>0</v>
      </c>
    </row>
    <row r="42" customFormat="false" ht="12.75" hidden="false" customHeight="false" outlineLevel="0" collapsed="false">
      <c r="A42" s="37" t="s">
        <v>187</v>
      </c>
      <c r="B42" s="39"/>
      <c r="C42" s="39"/>
      <c r="D42" s="39"/>
      <c r="E42" s="159" t="n">
        <v>375</v>
      </c>
      <c r="F42" s="155" t="str">
        <f aca="false">CPI</f>
        <v>CPI Annual</v>
      </c>
      <c r="H42" s="109" t="s">
        <v>188</v>
      </c>
      <c r="I42" s="67"/>
      <c r="J42" s="160" t="n">
        <f aca="false">Depr!F19</f>
        <v>144209.987096609</v>
      </c>
      <c r="K42" s="158" t="n">
        <v>20</v>
      </c>
      <c r="L42" s="161" t="s">
        <v>186</v>
      </c>
      <c r="N42" s="37" t="s">
        <v>189</v>
      </c>
      <c r="O42" s="162"/>
      <c r="P42" s="163"/>
      <c r="Q42" s="164"/>
      <c r="R42" s="71" t="n">
        <f aca="false">5227.097+RAROC!J15</f>
        <v>5227.097</v>
      </c>
      <c r="S42" s="55"/>
      <c r="T42" s="109" t="s">
        <v>83</v>
      </c>
      <c r="U42" s="67"/>
      <c r="V42" s="116"/>
      <c r="W42" s="116"/>
      <c r="X42" s="94" t="n">
        <v>0</v>
      </c>
    </row>
    <row r="43" customFormat="false" ht="13.5" hidden="false" customHeight="false" outlineLevel="0" collapsed="false">
      <c r="A43" s="37" t="s">
        <v>190</v>
      </c>
      <c r="B43" s="99" t="n">
        <v>900</v>
      </c>
      <c r="C43" s="39" t="s">
        <v>191</v>
      </c>
      <c r="D43" s="39"/>
      <c r="E43" s="159" t="n">
        <v>995.193</v>
      </c>
      <c r="F43" s="155" t="str">
        <f aca="false">CPI</f>
        <v>CPI Annual</v>
      </c>
      <c r="H43" s="49" t="s">
        <v>192</v>
      </c>
      <c r="I43" s="22"/>
      <c r="J43" s="165" t="n">
        <f aca="false">Depr!H19</f>
        <v>144209.987096609</v>
      </c>
      <c r="K43" s="166" t="n">
        <v>20</v>
      </c>
      <c r="L43" s="167" t="s">
        <v>186</v>
      </c>
      <c r="N43" s="37" t="s">
        <v>193</v>
      </c>
      <c r="O43" s="39"/>
      <c r="P43" s="163"/>
      <c r="Q43" s="164"/>
      <c r="R43" s="112" t="n">
        <v>0</v>
      </c>
      <c r="S43" s="101"/>
      <c r="T43" s="109" t="s">
        <v>76</v>
      </c>
      <c r="U43" s="67"/>
      <c r="V43" s="116"/>
      <c r="W43" s="116"/>
      <c r="X43" s="94" t="n">
        <v>0</v>
      </c>
    </row>
    <row r="44" customFormat="false" ht="13.5" hidden="false" customHeight="false" outlineLevel="0" collapsed="false">
      <c r="A44" s="37" t="s">
        <v>194</v>
      </c>
      <c r="B44" s="99" t="n">
        <v>30</v>
      </c>
      <c r="C44" s="39" t="s">
        <v>195</v>
      </c>
      <c r="D44" s="39"/>
      <c r="E44" s="159" t="n">
        <v>7.2</v>
      </c>
      <c r="F44" s="155" t="str">
        <f aca="false">CPI</f>
        <v>CPI Annual</v>
      </c>
      <c r="N44" s="83" t="s">
        <v>196</v>
      </c>
      <c r="O44" s="67"/>
      <c r="P44" s="67"/>
      <c r="Q44" s="39"/>
      <c r="R44" s="84" t="n">
        <f aca="false">SUM(R42:R43)</f>
        <v>5227.097</v>
      </c>
      <c r="S44" s="152"/>
      <c r="T44" s="102" t="s">
        <v>197</v>
      </c>
      <c r="U44" s="103"/>
      <c r="V44" s="104"/>
      <c r="W44" s="104"/>
      <c r="X44" s="105"/>
    </row>
    <row r="45" customFormat="false" ht="13.5" hidden="false" customHeight="false" outlineLevel="0" collapsed="false">
      <c r="A45" s="37" t="s">
        <v>198</v>
      </c>
      <c r="B45" s="39"/>
      <c r="C45" s="39"/>
      <c r="D45" s="39"/>
      <c r="E45" s="159" t="n">
        <v>0</v>
      </c>
      <c r="F45" s="155" t="str">
        <f aca="false">CPI</f>
        <v>CPI Annual</v>
      </c>
      <c r="H45" s="24" t="s">
        <v>199</v>
      </c>
      <c r="I45" s="122"/>
      <c r="J45" s="122"/>
      <c r="K45" s="122"/>
      <c r="L45" s="168"/>
      <c r="N45" s="83"/>
      <c r="O45" s="67"/>
      <c r="P45" s="67"/>
      <c r="Q45" s="39"/>
      <c r="R45" s="169"/>
      <c r="S45" s="55"/>
      <c r="T45" s="109" t="s">
        <v>61</v>
      </c>
      <c r="U45" s="67"/>
      <c r="V45" s="67"/>
      <c r="W45" s="63" t="n">
        <f aca="false">X45/Debt</f>
        <v>0</v>
      </c>
      <c r="X45" s="71" t="n">
        <v>0</v>
      </c>
    </row>
    <row r="46" customFormat="false" ht="12.75" hidden="false" customHeight="false" outlineLevel="0" collapsed="false">
      <c r="A46" s="37" t="s">
        <v>200</v>
      </c>
      <c r="B46" s="39"/>
      <c r="C46" s="39"/>
      <c r="D46" s="39"/>
      <c r="E46" s="159" t="n">
        <v>253.968</v>
      </c>
      <c r="F46" s="155" t="str">
        <f aca="false">CPI</f>
        <v>CPI Annual</v>
      </c>
      <c r="H46" s="37" t="s">
        <v>201</v>
      </c>
      <c r="I46" s="39"/>
      <c r="J46" s="39"/>
      <c r="K46" s="39"/>
      <c r="L46" s="170"/>
      <c r="N46" s="171" t="s">
        <v>202</v>
      </c>
      <c r="O46" s="172"/>
      <c r="P46" s="172"/>
      <c r="Q46" s="172"/>
      <c r="R46" s="173" t="n">
        <f aca="false">SUM(R13,R22,R32,R37,R40,R44)</f>
        <v>156184.092515464</v>
      </c>
      <c r="S46" s="55"/>
      <c r="T46" s="109" t="s">
        <v>67</v>
      </c>
      <c r="U46" s="67"/>
      <c r="V46" s="67"/>
      <c r="W46" s="111"/>
      <c r="X46" s="69" t="n">
        <v>0</v>
      </c>
    </row>
    <row r="47" customFormat="false" ht="13.5" hidden="false" customHeight="false" outlineLevel="0" collapsed="false">
      <c r="A47" s="37" t="s">
        <v>203</v>
      </c>
      <c r="B47" s="174"/>
      <c r="C47" s="175"/>
      <c r="D47" s="135" t="s">
        <v>156</v>
      </c>
      <c r="E47" s="176" t="n">
        <f aca="false">Trapped!$AA$44/(Trapped!$AA$9/12)</f>
        <v>118.43119266055</v>
      </c>
      <c r="F47" s="155" t="str">
        <f aca="false">CPI</f>
        <v>CPI Annual</v>
      </c>
      <c r="H47" s="37" t="s">
        <v>204</v>
      </c>
      <c r="I47" s="39"/>
      <c r="J47" s="177"/>
      <c r="K47" s="177"/>
      <c r="L47" s="178" t="n">
        <v>0</v>
      </c>
      <c r="N47" s="179" t="s">
        <v>205</v>
      </c>
      <c r="O47" s="22"/>
      <c r="P47" s="22"/>
      <c r="Q47" s="22"/>
      <c r="R47" s="180" t="n">
        <f aca="false">Cost/Capacity</f>
        <v>1.51649764555262</v>
      </c>
      <c r="S47" s="55"/>
      <c r="T47" s="37" t="s">
        <v>73</v>
      </c>
      <c r="U47" s="72" t="n">
        <v>0</v>
      </c>
      <c r="W47" s="73" t="s">
        <v>74</v>
      </c>
      <c r="X47" s="74" t="n">
        <f aca="false">IF(U47=0,0,U47-ROUND(((Startops2-Fin_Close)/365),0)+X48/2)*2</f>
        <v>0</v>
      </c>
    </row>
    <row r="48" customFormat="false" ht="13.5" hidden="false" customHeight="false" outlineLevel="0" collapsed="false">
      <c r="A48" s="37" t="s">
        <v>206</v>
      </c>
      <c r="B48" s="39"/>
      <c r="C48" s="39"/>
      <c r="D48" s="39"/>
      <c r="E48" s="181" t="n">
        <v>462.913</v>
      </c>
      <c r="F48" s="155" t="str">
        <f aca="false">CPI</f>
        <v>CPI Annual</v>
      </c>
      <c r="H48" s="37" t="s">
        <v>207</v>
      </c>
      <c r="I48" s="39"/>
      <c r="J48" s="177"/>
      <c r="K48" s="177"/>
      <c r="L48" s="178" t="n">
        <v>1</v>
      </c>
      <c r="S48" s="101"/>
      <c r="T48" s="37" t="s">
        <v>81</v>
      </c>
      <c r="U48" s="78" t="n">
        <f aca="false">IF(X48=0,0,X48+ROUND(((Startops2-Fin_Close)/365),2))</f>
        <v>0</v>
      </c>
      <c r="W48" s="73" t="s">
        <v>82</v>
      </c>
      <c r="X48" s="79" t="n">
        <v>0</v>
      </c>
    </row>
    <row r="49" customFormat="false" ht="13.5" hidden="false" customHeight="false" outlineLevel="0" collapsed="false">
      <c r="A49" s="49" t="s">
        <v>208</v>
      </c>
      <c r="B49" s="22"/>
      <c r="C49" s="22"/>
      <c r="D49" s="22"/>
      <c r="E49" s="182" t="n">
        <f aca="false">SUM(E40:E48)</f>
        <v>2529.70519266055</v>
      </c>
      <c r="F49" s="183"/>
      <c r="H49" s="37" t="s">
        <v>209</v>
      </c>
      <c r="I49" s="39"/>
      <c r="J49" s="177"/>
      <c r="K49" s="177"/>
      <c r="L49" s="178" t="n">
        <v>1</v>
      </c>
      <c r="N49" s="147" t="s">
        <v>210</v>
      </c>
      <c r="O49" s="184"/>
      <c r="P49" s="26"/>
      <c r="Q49" s="26"/>
      <c r="R49" s="33"/>
      <c r="S49" s="152"/>
      <c r="T49" s="37" t="s">
        <v>88</v>
      </c>
      <c r="U49" s="67"/>
      <c r="V49" s="67"/>
      <c r="W49" s="114"/>
      <c r="X49" s="86" t="n">
        <f aca="false">IF(X45=0,0,ROUND(U47/2+(Term_C/12),1))</f>
        <v>0</v>
      </c>
    </row>
    <row r="50" customFormat="false" ht="13.5" hidden="false" customHeight="false" outlineLevel="0" collapsed="false">
      <c r="H50" s="37"/>
      <c r="I50" s="39"/>
      <c r="J50" s="177"/>
      <c r="K50" s="177"/>
      <c r="L50" s="185"/>
      <c r="N50" s="186"/>
      <c r="O50" s="177"/>
      <c r="P50" s="46" t="s">
        <v>211</v>
      </c>
      <c r="Q50" s="46" t="s">
        <v>212</v>
      </c>
      <c r="R50" s="124" t="s">
        <v>213</v>
      </c>
      <c r="S50" s="55"/>
      <c r="T50" s="37" t="s">
        <v>92</v>
      </c>
      <c r="U50" s="67"/>
      <c r="V50" s="88" t="n">
        <v>0</v>
      </c>
      <c r="W50" s="88" t="n">
        <v>0</v>
      </c>
      <c r="X50" s="115" t="n">
        <f aca="false">W50+V50</f>
        <v>0</v>
      </c>
    </row>
    <row r="51" customFormat="false" ht="13.5" hidden="false" customHeight="false" outlineLevel="0" collapsed="false">
      <c r="A51" s="147" t="s">
        <v>214</v>
      </c>
      <c r="B51" s="148"/>
      <c r="C51" s="187" t="s">
        <v>215</v>
      </c>
      <c r="D51" s="26"/>
      <c r="E51" s="26"/>
      <c r="F51" s="33"/>
      <c r="H51" s="37" t="s">
        <v>216</v>
      </c>
      <c r="I51" s="39"/>
      <c r="J51" s="39"/>
      <c r="K51" s="39"/>
      <c r="L51" s="188" t="n">
        <v>0.05</v>
      </c>
      <c r="N51" s="189" t="s">
        <v>217</v>
      </c>
      <c r="O51" s="177"/>
      <c r="P51" s="190" t="n">
        <f aca="false">+RAROC!B13</f>
        <v>0.19</v>
      </c>
      <c r="Q51" s="191" t="n">
        <f aca="false">Returns!C20</f>
        <v>0.160054846205394</v>
      </c>
      <c r="R51" s="192" t="n">
        <f aca="false">Returns!C19</f>
        <v>-13076.154731265</v>
      </c>
      <c r="S51" s="55"/>
      <c r="T51" s="109" t="s">
        <v>83</v>
      </c>
      <c r="U51" s="67"/>
      <c r="V51" s="116"/>
      <c r="W51" s="116"/>
      <c r="X51" s="94" t="n">
        <v>0</v>
      </c>
    </row>
    <row r="52" customFormat="false" ht="13.5" hidden="false" customHeight="false" outlineLevel="0" collapsed="false">
      <c r="A52" s="37"/>
      <c r="B52" s="39"/>
      <c r="C52" s="106" t="s">
        <v>218</v>
      </c>
      <c r="D52" s="39"/>
      <c r="E52" s="39"/>
      <c r="F52" s="44"/>
      <c r="H52" s="49" t="s">
        <v>219</v>
      </c>
      <c r="I52" s="22"/>
      <c r="J52" s="22"/>
      <c r="K52" s="22"/>
      <c r="L52" s="193" t="n">
        <v>0.06</v>
      </c>
      <c r="N52" s="186"/>
      <c r="O52" s="177"/>
      <c r="P52" s="47"/>
      <c r="Q52" s="66" t="n">
        <v>0.15</v>
      </c>
      <c r="R52" s="194" t="s">
        <v>220</v>
      </c>
      <c r="S52" s="55"/>
      <c r="T52" s="109" t="s">
        <v>76</v>
      </c>
      <c r="U52" s="67"/>
      <c r="V52" s="116"/>
      <c r="W52" s="116"/>
      <c r="X52" s="94" t="n">
        <v>0</v>
      </c>
    </row>
    <row r="53" customFormat="false" ht="13.5" hidden="false" customHeight="false" outlineLevel="0" collapsed="false">
      <c r="A53" s="37"/>
      <c r="B53" s="39"/>
      <c r="C53" s="39"/>
      <c r="D53" s="39"/>
      <c r="E53" s="39"/>
      <c r="F53" s="44"/>
      <c r="H53" s="39"/>
      <c r="I53" s="39"/>
      <c r="J53" s="39"/>
      <c r="K53" s="39"/>
      <c r="L53" s="195"/>
      <c r="N53" s="186"/>
      <c r="O53" s="177"/>
      <c r="P53" s="39"/>
      <c r="Q53" s="39"/>
      <c r="R53" s="44"/>
      <c r="S53" s="55"/>
      <c r="T53" s="102" t="s">
        <v>221</v>
      </c>
      <c r="U53" s="103"/>
      <c r="V53" s="104"/>
      <c r="W53" s="104"/>
      <c r="X53" s="105"/>
    </row>
    <row r="54" customFormat="false" ht="13.5" hidden="false" customHeight="false" outlineLevel="0" collapsed="false">
      <c r="A54" s="37" t="s">
        <v>222</v>
      </c>
      <c r="B54" s="76" t="n">
        <v>0</v>
      </c>
      <c r="D54" s="39" t="s">
        <v>223</v>
      </c>
      <c r="E54" s="39"/>
      <c r="F54" s="196" t="n">
        <v>2004</v>
      </c>
      <c r="H54" s="24" t="s">
        <v>224</v>
      </c>
      <c r="I54" s="197"/>
      <c r="J54" s="198"/>
      <c r="K54" s="26"/>
      <c r="L54" s="199"/>
      <c r="N54" s="186" t="str">
        <f aca="false">H61</f>
        <v>Enron</v>
      </c>
      <c r="O54" s="177"/>
      <c r="P54" s="95" t="n">
        <f aca="false">Disc</f>
        <v>0.19</v>
      </c>
      <c r="Q54" s="95" t="n">
        <f aca="false">Returns!C60</f>
        <v>0.155504704154912</v>
      </c>
      <c r="R54" s="64" t="n">
        <f aca="false">Returns!C59</f>
        <v>-4395.8914403922</v>
      </c>
      <c r="S54" s="200"/>
      <c r="T54" s="109" t="s">
        <v>61</v>
      </c>
      <c r="U54" s="67"/>
      <c r="V54" s="67"/>
      <c r="W54" s="63" t="n">
        <f aca="false">X54/Debt</f>
        <v>0.0263965955852254</v>
      </c>
      <c r="X54" s="45" t="n">
        <f aca="false">X69</f>
        <v>2473.63699618568</v>
      </c>
    </row>
    <row r="55" customFormat="false" ht="13.5" hidden="false" customHeight="false" outlineLevel="0" collapsed="false">
      <c r="A55" s="49"/>
      <c r="B55" s="22"/>
      <c r="C55" s="22"/>
      <c r="D55" s="22" t="s">
        <v>225</v>
      </c>
      <c r="E55" s="22"/>
      <c r="F55" s="201" t="n">
        <v>5000</v>
      </c>
      <c r="H55" s="202" t="s">
        <v>226</v>
      </c>
      <c r="I55" s="203"/>
      <c r="J55" s="203"/>
      <c r="K55" s="203"/>
      <c r="L55" s="204" t="n">
        <f aca="false">'[3]Monthly Curve Calc.'!$F$12</f>
        <v>0</v>
      </c>
      <c r="N55" s="186" t="str">
        <f aca="false">H62</f>
        <v>Shell</v>
      </c>
      <c r="O55" s="177"/>
      <c r="P55" s="95" t="n">
        <f aca="false">Disc</f>
        <v>0.19</v>
      </c>
      <c r="Q55" s="95" t="n">
        <f aca="false">Returns!C95</f>
        <v>0.150030370385566</v>
      </c>
      <c r="R55" s="64" t="n">
        <f aca="false">Returns!C94</f>
        <v>-5092.73334209205</v>
      </c>
      <c r="S55" s="205"/>
      <c r="T55" s="109" t="s">
        <v>67</v>
      </c>
      <c r="U55" s="67"/>
      <c r="V55" s="67"/>
      <c r="W55" s="111"/>
      <c r="X55" s="69" t="n">
        <v>2</v>
      </c>
    </row>
    <row r="56" customFormat="false" ht="13.5" hidden="false" customHeight="false" outlineLevel="0" collapsed="false">
      <c r="N56" s="186" t="str">
        <f aca="false">H63</f>
        <v>Transredes</v>
      </c>
      <c r="O56" s="177"/>
      <c r="P56" s="95" t="n">
        <f aca="false">Disc</f>
        <v>0.19</v>
      </c>
      <c r="Q56" s="95" t="n">
        <f aca="false">Returns!C113</f>
        <v>0.154033879439343</v>
      </c>
      <c r="R56" s="206" t="n">
        <f aca="false">Returns!C112</f>
        <v>-6093.02836708025</v>
      </c>
      <c r="S56" s="152"/>
      <c r="T56" s="37" t="s">
        <v>73</v>
      </c>
      <c r="U56" s="72" t="n">
        <v>12</v>
      </c>
      <c r="W56" s="73" t="s">
        <v>74</v>
      </c>
      <c r="X56" s="74" t="n">
        <f aca="false">IF(U56=0,0,U56-ROUND(((Startops2-Fin_Close)/365),0)+X57/2)*2</f>
        <v>23</v>
      </c>
    </row>
    <row r="57" customFormat="false" ht="13.5" hidden="false" customHeight="false" outlineLevel="0" collapsed="false">
      <c r="A57" s="24" t="str">
        <f aca="false">PROPER("Fuel CONVERSION")</f>
        <v>Fuel Conversion</v>
      </c>
      <c r="B57" s="26"/>
      <c r="C57" s="26"/>
      <c r="D57" s="26"/>
      <c r="E57" s="26"/>
      <c r="F57" s="33"/>
      <c r="H57" s="24" t="s">
        <v>227</v>
      </c>
      <c r="I57" s="24"/>
      <c r="J57" s="207"/>
      <c r="K57" s="26"/>
      <c r="L57" s="33"/>
      <c r="N57" s="186" t="s">
        <v>228</v>
      </c>
      <c r="O57" s="177"/>
      <c r="P57" s="177"/>
      <c r="Q57" s="177"/>
      <c r="R57" s="64" t="n">
        <f aca="false">SUM(R54:R56)</f>
        <v>-15581.6531495645</v>
      </c>
      <c r="S57" s="55"/>
      <c r="T57" s="37" t="s">
        <v>81</v>
      </c>
      <c r="U57" s="78" t="n">
        <f aca="false">IF(X57=0,0,X57+ROUND(((Startops2-Fin_Close)/365),2))</f>
        <v>1.92</v>
      </c>
      <c r="W57" s="73" t="s">
        <v>82</v>
      </c>
      <c r="X57" s="79" t="n">
        <v>1</v>
      </c>
    </row>
    <row r="58" customFormat="false" ht="12.75" hidden="false" customHeight="false" outlineLevel="0" collapsed="false">
      <c r="A58" s="37"/>
      <c r="B58" s="39"/>
      <c r="C58" s="39"/>
      <c r="D58" s="208" t="s">
        <v>61</v>
      </c>
      <c r="E58" s="208" t="s">
        <v>229</v>
      </c>
      <c r="F58" s="44"/>
      <c r="H58" s="109" t="s">
        <v>230</v>
      </c>
      <c r="I58" s="209"/>
      <c r="J58" s="210" t="n">
        <v>36678</v>
      </c>
      <c r="K58" s="39"/>
      <c r="L58" s="44"/>
      <c r="N58" s="186"/>
      <c r="O58" s="177"/>
      <c r="P58" s="177"/>
      <c r="Q58" s="177"/>
      <c r="R58" s="64"/>
      <c r="S58" s="55"/>
      <c r="T58" s="37" t="s">
        <v>88</v>
      </c>
      <c r="U58" s="67"/>
      <c r="V58" s="67"/>
      <c r="W58" s="114"/>
      <c r="X58" s="86" t="n">
        <f aca="false">IF(X54=0,0,ROUND(U56/2+(Term_C/12),1))</f>
        <v>8.9</v>
      </c>
    </row>
    <row r="59" customFormat="false" ht="12.75" hidden="false" customHeight="false" outlineLevel="0" collapsed="false">
      <c r="A59" s="37" t="s">
        <v>231</v>
      </c>
      <c r="B59" s="39"/>
      <c r="C59" s="47" t="s">
        <v>232</v>
      </c>
      <c r="D59" s="211" t="n">
        <v>9.2</v>
      </c>
      <c r="E59" s="153" t="s">
        <v>233</v>
      </c>
      <c r="F59" s="44"/>
      <c r="H59" s="109" t="s">
        <v>234</v>
      </c>
      <c r="I59" s="209"/>
      <c r="J59" s="212" t="n">
        <f aca="false">SUMIF(IDC!E7:AN7,"&gt;dilute_date",IDC!E60:AN60)*0+40000</f>
        <v>40000</v>
      </c>
      <c r="K59" s="39"/>
      <c r="L59" s="44"/>
      <c r="N59" s="186" t="s">
        <v>235</v>
      </c>
      <c r="O59" s="177"/>
      <c r="P59" s="177"/>
      <c r="Q59" s="213" t="s">
        <v>236</v>
      </c>
      <c r="R59" s="64" t="n">
        <f aca="false">-(Returns!AB26+Returns!AB82+Returns!AB100)</f>
        <v>1891.15114243664</v>
      </c>
      <c r="S59" s="55"/>
      <c r="T59" s="37" t="s">
        <v>92</v>
      </c>
      <c r="U59" s="67"/>
      <c r="V59" s="67"/>
      <c r="W59" s="67"/>
      <c r="X59" s="94" t="n">
        <v>0.13</v>
      </c>
    </row>
    <row r="60" customFormat="false" ht="12.75" hidden="false" customHeight="false" outlineLevel="0" collapsed="false">
      <c r="A60" s="37"/>
      <c r="B60" s="39"/>
      <c r="C60" s="47" t="s">
        <v>237</v>
      </c>
      <c r="D60" s="214" t="n">
        <v>3.9683</v>
      </c>
      <c r="E60" s="153" t="s">
        <v>238</v>
      </c>
      <c r="F60" s="44"/>
      <c r="H60" s="83"/>
      <c r="I60" s="209"/>
      <c r="J60" s="46" t="s">
        <v>239</v>
      </c>
      <c r="K60" s="46" t="s">
        <v>240</v>
      </c>
      <c r="L60" s="124" t="s">
        <v>241</v>
      </c>
      <c r="N60" s="186" t="s">
        <v>242</v>
      </c>
      <c r="O60" s="177"/>
      <c r="P60" s="177"/>
      <c r="Q60" s="213" t="s">
        <v>236</v>
      </c>
      <c r="R60" s="64" t="n">
        <f aca="false">-Returns!AB29-Returns!AB85-Returns!AB103</f>
        <v>3188.05068773315</v>
      </c>
      <c r="S60" s="215"/>
      <c r="T60" s="109" t="s">
        <v>83</v>
      </c>
      <c r="U60" s="67"/>
      <c r="V60" s="116"/>
      <c r="W60" s="116"/>
      <c r="X60" s="94" t="n">
        <v>0</v>
      </c>
    </row>
    <row r="61" customFormat="false" ht="13.5" hidden="false" customHeight="false" outlineLevel="0" collapsed="false">
      <c r="A61" s="49"/>
      <c r="B61" s="22"/>
      <c r="C61" s="128" t="s">
        <v>243</v>
      </c>
      <c r="D61" s="216" t="n">
        <f aca="false">D59*D60</f>
        <v>36.50836</v>
      </c>
      <c r="E61" s="217" t="s">
        <v>244</v>
      </c>
      <c r="F61" s="120"/>
      <c r="H61" s="37" t="s">
        <v>245</v>
      </c>
      <c r="I61" s="39"/>
      <c r="J61" s="218" t="n">
        <f aca="false">K61*Dilute_Date</f>
        <v>12000</v>
      </c>
      <c r="K61" s="219" t="n">
        <f aca="false">1-K62-K63</f>
        <v>0.3</v>
      </c>
      <c r="L61" s="220" t="n">
        <f aca="false">1-L62-L63</f>
        <v>0.3</v>
      </c>
      <c r="N61" s="186" t="s">
        <v>246</v>
      </c>
      <c r="O61" s="177"/>
      <c r="P61" s="177"/>
      <c r="Q61" s="213" t="s">
        <v>236</v>
      </c>
      <c r="R61" s="64" t="n">
        <f aca="false">-Returns!AB30</f>
        <v>834.75392856803</v>
      </c>
      <c r="S61" s="152"/>
      <c r="T61" s="202" t="s">
        <v>76</v>
      </c>
      <c r="U61" s="203"/>
      <c r="V61" s="221"/>
      <c r="W61" s="221"/>
      <c r="X61" s="222" t="n">
        <v>0</v>
      </c>
    </row>
    <row r="62" customFormat="false" ht="13.5" hidden="false" customHeight="false" outlineLevel="0" collapsed="false">
      <c r="H62" s="37" t="s">
        <v>247</v>
      </c>
      <c r="I62" s="39"/>
      <c r="J62" s="218" t="n">
        <f aca="false">K62*Dilute_Date</f>
        <v>12000</v>
      </c>
      <c r="K62" s="223" t="n">
        <f aca="false">+RAROC!F13</f>
        <v>0.3</v>
      </c>
      <c r="L62" s="127" t="n">
        <f aca="false">+RAROC!F13</f>
        <v>0.3</v>
      </c>
      <c r="N62" s="186" t="s">
        <v>248</v>
      </c>
      <c r="O62" s="177"/>
      <c r="P62" s="177"/>
      <c r="Q62" s="213" t="s">
        <v>236</v>
      </c>
      <c r="R62" s="64" t="n">
        <f aca="false">-Returns!AB31</f>
        <v>-5320.81995167213</v>
      </c>
      <c r="S62" s="152"/>
    </row>
    <row r="63" customFormat="false" ht="13.5" hidden="false" customHeight="false" outlineLevel="0" collapsed="false">
      <c r="A63" s="147" t="s">
        <v>249</v>
      </c>
      <c r="B63" s="148"/>
      <c r="C63" s="26"/>
      <c r="D63" s="26"/>
      <c r="E63" s="224" t="s">
        <v>222</v>
      </c>
      <c r="F63" s="225" t="n">
        <v>1</v>
      </c>
      <c r="H63" s="37" t="s">
        <v>250</v>
      </c>
      <c r="I63" s="39"/>
      <c r="J63" s="226" t="n">
        <f aca="false">K63*Dilute_Date</f>
        <v>16000</v>
      </c>
      <c r="K63" s="227" t="n">
        <f aca="false">+RAROC!F14</f>
        <v>0.4</v>
      </c>
      <c r="L63" s="228" t="n">
        <f aca="false">+RAROC!F14</f>
        <v>0.4</v>
      </c>
      <c r="N63" s="186" t="s">
        <v>251</v>
      </c>
      <c r="O63" s="177"/>
      <c r="P63" s="177"/>
      <c r="Q63" s="213" t="s">
        <v>236</v>
      </c>
      <c r="R63" s="64" t="n">
        <f aca="false">-Returns!AB32</f>
        <v>665.102493959016</v>
      </c>
      <c r="T63" s="24" t="s">
        <v>252</v>
      </c>
      <c r="U63" s="26" t="s">
        <v>253</v>
      </c>
      <c r="V63" s="26"/>
      <c r="W63" s="26"/>
      <c r="X63" s="229" t="n">
        <v>100</v>
      </c>
    </row>
    <row r="64" customFormat="false" ht="13.5" hidden="false" customHeight="false" outlineLevel="0" collapsed="false">
      <c r="A64" s="37"/>
      <c r="B64" s="123" t="n">
        <f aca="false">YEAR(Startops1)</f>
        <v>2001</v>
      </c>
      <c r="C64" s="123" t="n">
        <f aca="false">B64+1</f>
        <v>2002</v>
      </c>
      <c r="D64" s="123" t="n">
        <f aca="false">C64+3</f>
        <v>2005</v>
      </c>
      <c r="E64" s="123" t="n">
        <f aca="false">D64+1</f>
        <v>2006</v>
      </c>
      <c r="F64" s="230" t="n">
        <f aca="false">B64+6</f>
        <v>2007</v>
      </c>
      <c r="G64" s="231" t="n">
        <v>1</v>
      </c>
      <c r="H64" s="49" t="s">
        <v>254</v>
      </c>
      <c r="I64" s="22"/>
      <c r="J64" s="232" t="n">
        <f aca="false">SUM(J61:J63)</f>
        <v>40000</v>
      </c>
      <c r="K64" s="233" t="n">
        <f aca="false">SUM(K61:K63)</f>
        <v>1</v>
      </c>
      <c r="L64" s="130" t="n">
        <f aca="false">SUM(L61:L63)</f>
        <v>1</v>
      </c>
      <c r="N64" s="186" t="s">
        <v>255</v>
      </c>
      <c r="O64" s="177"/>
      <c r="P64" s="177"/>
      <c r="Q64" s="213" t="s">
        <v>236</v>
      </c>
      <c r="R64" s="64" t="n">
        <f aca="false">-Returns!AB33</f>
        <v>67.7226409018899</v>
      </c>
      <c r="T64" s="37"/>
      <c r="U64" s="39" t="s">
        <v>256</v>
      </c>
      <c r="V64" s="39"/>
      <c r="W64" s="234" t="n">
        <v>0.3</v>
      </c>
      <c r="X64" s="64" t="n">
        <f aca="false">W64*X63</f>
        <v>30</v>
      </c>
    </row>
    <row r="65" customFormat="false" ht="13.5" hidden="false" customHeight="false" outlineLevel="0" collapsed="false">
      <c r="A65" s="49"/>
      <c r="B65" s="235" t="n">
        <v>1000</v>
      </c>
      <c r="C65" s="235" t="n">
        <v>2000</v>
      </c>
      <c r="D65" s="235" t="n">
        <v>3000</v>
      </c>
      <c r="E65" s="235" t="n">
        <f aca="false">1000*0</f>
        <v>0</v>
      </c>
      <c r="F65" s="201" t="n">
        <v>0</v>
      </c>
      <c r="G65" s="231" t="n">
        <f aca="false">G64+1</f>
        <v>2</v>
      </c>
      <c r="N65" s="186" t="s">
        <v>257</v>
      </c>
      <c r="O65" s="177"/>
      <c r="P65" s="177"/>
      <c r="Q65" s="213" t="s">
        <v>236</v>
      </c>
      <c r="R65" s="64" t="n">
        <f aca="false">-Returns!AB34</f>
        <v>273.052040525345</v>
      </c>
      <c r="T65" s="49"/>
      <c r="U65" s="22" t="s">
        <v>258</v>
      </c>
      <c r="V65" s="22"/>
      <c r="W65" s="236" t="n">
        <f aca="false">YEAR(Fin_Close)+U11</f>
        <v>2015</v>
      </c>
      <c r="X65" s="237"/>
    </row>
    <row r="66" customFormat="false" ht="13.5" hidden="false" customHeight="false" outlineLevel="0" collapsed="false">
      <c r="H66" s="24" t="s">
        <v>259</v>
      </c>
      <c r="I66" s="24"/>
      <c r="J66" s="207"/>
      <c r="K66" s="131" t="s">
        <v>260</v>
      </c>
      <c r="L66" s="238" t="n">
        <v>1</v>
      </c>
      <c r="N66" s="186" t="s">
        <v>261</v>
      </c>
      <c r="O66" s="177"/>
      <c r="P66" s="177"/>
      <c r="Q66" s="213" t="s">
        <v>236</v>
      </c>
      <c r="R66" s="64" t="n">
        <f aca="false">-(Returns!AB35+Returns!AB86+Returns!AB104)</f>
        <v>-0</v>
      </c>
    </row>
    <row r="67" customFormat="false" ht="13.5" hidden="false" customHeight="false" outlineLevel="0" collapsed="false">
      <c r="H67" s="83"/>
      <c r="I67" s="209"/>
      <c r="J67" s="39"/>
      <c r="K67" s="135"/>
      <c r="L67" s="239"/>
      <c r="N67" s="186" t="s">
        <v>262</v>
      </c>
      <c r="O67" s="177"/>
      <c r="P67" s="177"/>
      <c r="Q67" s="213" t="s">
        <v>236</v>
      </c>
      <c r="R67" s="64" t="n">
        <f aca="false">-Returns!AB36-Returns!AB87-Returns!AB105</f>
        <v>-1106.79802493516</v>
      </c>
      <c r="T67" s="24" t="s">
        <v>263</v>
      </c>
      <c r="U67" s="26"/>
      <c r="V67" s="26"/>
      <c r="W67" s="26"/>
      <c r="X67" s="33"/>
    </row>
    <row r="68" customFormat="false" ht="12.75" hidden="false" customHeight="false" outlineLevel="0" collapsed="false">
      <c r="H68" s="83"/>
      <c r="I68" s="209"/>
      <c r="J68" s="46" t="s">
        <v>239</v>
      </c>
      <c r="K68" s="46" t="s">
        <v>240</v>
      </c>
      <c r="L68" s="124" t="s">
        <v>241</v>
      </c>
      <c r="N68" s="186" t="s">
        <v>264</v>
      </c>
      <c r="O68" s="177"/>
      <c r="P68" s="177"/>
      <c r="Q68" s="177"/>
      <c r="R68" s="64" t="n">
        <f aca="false">-Returns!AB37-Returns!AB88-Returns!AB106</f>
        <v>517.606388420345</v>
      </c>
      <c r="T68" s="240" t="s">
        <v>265</v>
      </c>
      <c r="U68" s="39"/>
      <c r="V68" s="39"/>
      <c r="W68" s="241" t="n">
        <f aca="false">1-Equity_Perc-Subdebt_Perc</f>
        <v>0.6</v>
      </c>
      <c r="X68" s="64" t="n">
        <f aca="false">Cost*Debt_Perc</f>
        <v>93710.4555092785</v>
      </c>
      <c r="Z68" s="1" t="n">
        <f aca="false">0.3*Cost</f>
        <v>46855.2277546393</v>
      </c>
      <c r="AB68" s="1" t="n">
        <f aca="false">0.6*Debt</f>
        <v>56226.2733055671</v>
      </c>
    </row>
    <row r="69" customFormat="false" ht="12.75" hidden="false" customHeight="false" outlineLevel="0" collapsed="false">
      <c r="C69" s="1" t="n">
        <f aca="false">SUMIF(IDC!E7:AN7,"&lt;J58",IDC!E60:AN60)</f>
        <v>0</v>
      </c>
      <c r="G69" s="1" t="s">
        <v>150</v>
      </c>
      <c r="H69" s="37" t="s">
        <v>245</v>
      </c>
      <c r="I69" s="39"/>
      <c r="J69" s="218" t="n">
        <f aca="false">K69*Equity</f>
        <v>18000.000003</v>
      </c>
      <c r="K69" s="219" t="n">
        <f aca="false">1-K70-K71</f>
        <v>0.3</v>
      </c>
      <c r="L69" s="220" t="n">
        <f aca="false">1-L70-L71</f>
        <v>0.3</v>
      </c>
      <c r="N69" s="186" t="s">
        <v>266</v>
      </c>
      <c r="O69" s="177"/>
      <c r="P69" s="177"/>
      <c r="Q69" s="177"/>
      <c r="R69" s="64" t="n">
        <f aca="false">-Returns!AB48</f>
        <v>16655.7681844024</v>
      </c>
      <c r="T69" s="37" t="s">
        <v>267</v>
      </c>
      <c r="U69" s="39"/>
      <c r="V69" s="39"/>
      <c r="W69" s="242" t="n">
        <f aca="false">0.4-Equity_Perc</f>
        <v>0.0158379573511352</v>
      </c>
      <c r="X69" s="64" t="n">
        <f aca="false">Cost*Subdebt_Perc</f>
        <v>2473.63699618568</v>
      </c>
      <c r="Z69" s="1" t="n">
        <f aca="false">Equity</f>
        <v>60000.00001</v>
      </c>
    </row>
    <row r="70" customFormat="false" ht="12.75" hidden="false" customHeight="false" outlineLevel="0" collapsed="false">
      <c r="H70" s="37" t="s">
        <v>247</v>
      </c>
      <c r="I70" s="39"/>
      <c r="J70" s="218" t="n">
        <f aca="false">K70*Equity</f>
        <v>18000.000003</v>
      </c>
      <c r="K70" s="223" t="n">
        <v>0.3</v>
      </c>
      <c r="L70" s="127" t="n">
        <v>0.3</v>
      </c>
      <c r="M70" s="39"/>
      <c r="N70" s="186" t="s">
        <v>268</v>
      </c>
      <c r="O70" s="177"/>
      <c r="P70" s="177"/>
      <c r="Q70" s="177"/>
      <c r="R70" s="64" t="n">
        <f aca="false">-Returns!AB49</f>
        <v>-14856.8753138596</v>
      </c>
      <c r="T70" s="37" t="s">
        <v>269</v>
      </c>
      <c r="U70" s="39"/>
      <c r="V70" s="39"/>
      <c r="W70" s="243" t="n">
        <f aca="false">IDC!$AO$60/Cost</f>
        <v>0.384162042648865</v>
      </c>
      <c r="X70" s="206" t="n">
        <f aca="false">Cost*Equity_Perc</f>
        <v>60000.00001</v>
      </c>
      <c r="Y70" s="1" t="s">
        <v>270</v>
      </c>
      <c r="Z70" s="1" t="n">
        <f aca="false">Z68-Z69</f>
        <v>-13144.7722553608</v>
      </c>
    </row>
    <row r="71" customFormat="false" ht="12.75" hidden="false" customHeight="false" outlineLevel="0" collapsed="false">
      <c r="H71" s="37" t="s">
        <v>250</v>
      </c>
      <c r="I71" s="39"/>
      <c r="J71" s="226" t="n">
        <f aca="false">K71*Equity</f>
        <v>24000.000004</v>
      </c>
      <c r="K71" s="227" t="n">
        <v>0.4</v>
      </c>
      <c r="L71" s="228" t="n">
        <v>0.4</v>
      </c>
      <c r="N71" s="186" t="s">
        <v>271</v>
      </c>
      <c r="O71" s="177"/>
      <c r="P71" s="177"/>
      <c r="Q71" s="213" t="s">
        <v>272</v>
      </c>
      <c r="R71" s="64" t="n">
        <f aca="false">-Returns!AB50</f>
        <v>-708.029294928172</v>
      </c>
      <c r="T71" s="244" t="s">
        <v>273</v>
      </c>
      <c r="U71" s="245"/>
      <c r="V71" s="245"/>
      <c r="W71" s="246" t="n">
        <f aca="false">SUM(W68:W70)</f>
        <v>1</v>
      </c>
      <c r="X71" s="247" t="n">
        <f aca="false">SUM(X68:X70)</f>
        <v>156184.092515464</v>
      </c>
    </row>
    <row r="72" customFormat="false" ht="13.5" hidden="false" customHeight="false" outlineLevel="0" collapsed="false">
      <c r="H72" s="49" t="s">
        <v>254</v>
      </c>
      <c r="I72" s="22"/>
      <c r="J72" s="232" t="n">
        <f aca="false">SUM(J69:J71)</f>
        <v>60000.00001</v>
      </c>
      <c r="K72" s="233" t="n">
        <f aca="false">SUM(K69:K71)</f>
        <v>1</v>
      </c>
      <c r="L72" s="130" t="n">
        <f aca="false">SUM(L69:L71)</f>
        <v>1</v>
      </c>
      <c r="N72" s="186" t="s">
        <v>274</v>
      </c>
      <c r="O72" s="177"/>
      <c r="P72" s="177"/>
      <c r="Q72" s="213" t="s">
        <v>272</v>
      </c>
      <c r="R72" s="64" t="n">
        <f aca="false">-Returns!AB52</f>
        <v>138.230715315398</v>
      </c>
      <c r="T72" s="37" t="s">
        <v>275</v>
      </c>
      <c r="U72" s="39"/>
      <c r="V72" s="39"/>
      <c r="W72" s="39"/>
      <c r="X72" s="248" t="n">
        <f aca="false">MAX(X11,X20,X29,X38,X47,X56)</f>
        <v>29</v>
      </c>
    </row>
    <row r="73" customFormat="false" ht="13.5" hidden="false" customHeight="false" outlineLevel="0" collapsed="false">
      <c r="N73" s="186" t="s">
        <v>276</v>
      </c>
      <c r="O73" s="177"/>
      <c r="P73" s="177"/>
      <c r="Q73" s="177"/>
      <c r="R73" s="206" t="n">
        <f aca="false">-Returns!AB53</f>
        <v>178.079119566298</v>
      </c>
      <c r="T73" s="249" t="s">
        <v>277</v>
      </c>
      <c r="U73" s="250"/>
      <c r="V73" s="251" t="n">
        <f aca="false">IF(Debt=0,0,(($X$27*V32)+($X$18*V23)+($X$9*V14)+($X$36*V41)+($X$45*V50)+($X$54*V59))/(Debt))</f>
        <v>0.063125</v>
      </c>
      <c r="W73" s="251" t="n">
        <f aca="false">IF(Debt=0,0,(($X$27*W32)+($X$18*W23)+($X$9*W14)+($X$36*W41)+($X$45*W50)+($X$54*W59))/(Debt))</f>
        <v>0.047</v>
      </c>
      <c r="X73" s="252" t="n">
        <f aca="false">V73+W73</f>
        <v>0.110125</v>
      </c>
    </row>
    <row r="74" customFormat="false" ht="13.5" hidden="false" customHeight="false" outlineLevel="0" collapsed="false">
      <c r="H74" s="24" t="s">
        <v>278</v>
      </c>
      <c r="I74" s="35" t="s">
        <v>245</v>
      </c>
      <c r="J74" s="35" t="s">
        <v>247</v>
      </c>
      <c r="K74" s="35" t="s">
        <v>250</v>
      </c>
      <c r="L74" s="36" t="s">
        <v>41</v>
      </c>
      <c r="N74" s="186" t="s">
        <v>279</v>
      </c>
      <c r="O74" s="177"/>
      <c r="P74" s="177"/>
      <c r="Q74" s="177"/>
      <c r="R74" s="64" t="n">
        <f aca="false">SUM(R59:R73)</f>
        <v>2416.99475643351</v>
      </c>
      <c r="T74" s="37" t="s">
        <v>280</v>
      </c>
      <c r="U74" s="39"/>
      <c r="V74" s="39"/>
      <c r="W74" s="39"/>
      <c r="X74" s="253" t="n">
        <f aca="false">IF(Debt=0,0,((X$9*X15)+(X$18*X24)+(X$27*X$33)+(X$36*X42)+(X$45*X51)+(X$54*X60))/(Debt))</f>
        <v>0.015</v>
      </c>
    </row>
    <row r="75" customFormat="false" ht="13.5" hidden="false" customHeight="false" outlineLevel="0" collapsed="false">
      <c r="H75" s="37" t="s">
        <v>164</v>
      </c>
      <c r="I75" s="88" t="n">
        <f aca="false">+RAROC!F12</f>
        <v>0.3</v>
      </c>
      <c r="J75" s="88" t="n">
        <f aca="false">+RAROC!F13</f>
        <v>0.3</v>
      </c>
      <c r="K75" s="88" t="n">
        <f aca="false">+RAROC!F14</f>
        <v>0.4</v>
      </c>
      <c r="L75" s="155" t="n">
        <f aca="false">SUM(I75:K75)</f>
        <v>1</v>
      </c>
      <c r="N75" s="186"/>
      <c r="O75" s="177"/>
      <c r="P75" s="177"/>
      <c r="Q75" s="177"/>
      <c r="R75" s="64"/>
      <c r="T75" s="49" t="s">
        <v>281</v>
      </c>
      <c r="U75" s="22"/>
      <c r="V75" s="22"/>
      <c r="W75" s="22"/>
      <c r="X75" s="254" t="n">
        <f aca="false">IF(Debt=0,0,((X$9*X16)+(X$18*X25)+(X$27*X$33)+(X$36*X43)+(X$45*X52)+(X$54*X61))/(Debt))</f>
        <v>0.005</v>
      </c>
    </row>
    <row r="76" customFormat="false" ht="13.5" hidden="false" customHeight="false" outlineLevel="0" collapsed="false">
      <c r="H76" s="49" t="s">
        <v>200</v>
      </c>
      <c r="I76" s="255" t="n">
        <v>0</v>
      </c>
      <c r="J76" s="255" t="n">
        <v>0</v>
      </c>
      <c r="K76" s="255" t="n">
        <v>1</v>
      </c>
      <c r="L76" s="183" t="n">
        <f aca="false">SUM(I76:K76)</f>
        <v>1</v>
      </c>
      <c r="N76" s="186" t="s">
        <v>282</v>
      </c>
      <c r="O76" s="177"/>
      <c r="P76" s="177"/>
      <c r="Q76" s="177"/>
      <c r="R76" s="206" t="n">
        <f aca="false">R57+R74</f>
        <v>-13164.658393131</v>
      </c>
    </row>
    <row r="77" customFormat="false" ht="13.5" hidden="false" customHeight="false" outlineLevel="0" collapsed="false">
      <c r="N77" s="256" t="s">
        <v>283</v>
      </c>
      <c r="O77" s="257"/>
      <c r="P77" s="257"/>
      <c r="Q77" s="257"/>
      <c r="R77" s="258" t="n">
        <f aca="false">R76-R51</f>
        <v>-88.5036618660197</v>
      </c>
      <c r="T77" s="24" t="s">
        <v>284</v>
      </c>
      <c r="U77" s="35" t="s">
        <v>285</v>
      </c>
      <c r="V77" s="35" t="s">
        <v>286</v>
      </c>
      <c r="W77" s="35" t="s">
        <v>287</v>
      </c>
      <c r="X77" s="168"/>
    </row>
    <row r="78" customFormat="false" ht="13.5" hidden="false" customHeight="false" outlineLevel="0" collapsed="false">
      <c r="H78" s="24" t="s">
        <v>288</v>
      </c>
      <c r="I78" s="26"/>
      <c r="J78" s="26"/>
      <c r="K78" s="26"/>
      <c r="L78" s="28"/>
      <c r="T78" s="259" t="s">
        <v>289</v>
      </c>
      <c r="U78" s="260" t="n">
        <f aca="false">MIN(PLRisk!G59:Z59)</f>
        <v>1.08698122108558</v>
      </c>
      <c r="V78" s="260" t="n">
        <f aca="false">MIN(PLRisk!G65:Z65)</f>
        <v>1.08698122108558</v>
      </c>
      <c r="W78" s="261" t="n">
        <v>1.4</v>
      </c>
      <c r="X78" s="48" t="s">
        <v>265</v>
      </c>
    </row>
    <row r="79" customFormat="false" ht="13.5" hidden="false" customHeight="false" outlineLevel="0" collapsed="false">
      <c r="H79" s="49" t="s">
        <v>290</v>
      </c>
      <c r="I79" s="22"/>
      <c r="J79" s="262" t="s">
        <v>291</v>
      </c>
      <c r="K79" s="22"/>
      <c r="L79" s="263" t="n">
        <v>0.01</v>
      </c>
      <c r="N79" s="147" t="s">
        <v>292</v>
      </c>
      <c r="O79" s="148"/>
      <c r="P79" s="26"/>
      <c r="Q79" s="26"/>
      <c r="R79" s="33"/>
      <c r="T79" s="264" t="s">
        <v>156</v>
      </c>
      <c r="U79" s="265" t="n">
        <f aca="false">AVERAGE(PLRisk!G59:Z59)</f>
        <v>2.18398520577749</v>
      </c>
      <c r="V79" s="265" t="n">
        <f aca="false">AVERAGE(PLRisk!G65:Z65)</f>
        <v>1.95703580951515</v>
      </c>
      <c r="W79" s="266" t="n">
        <v>1.8</v>
      </c>
      <c r="X79" s="267" t="s">
        <v>265</v>
      </c>
    </row>
    <row r="80" customFormat="false" ht="13.5" hidden="false" customHeight="false" outlineLevel="0" collapsed="false">
      <c r="N80" s="268" t="s">
        <v>255</v>
      </c>
      <c r="O80" s="39"/>
      <c r="P80" s="39"/>
      <c r="Q80" s="39"/>
      <c r="R80" s="269" t="n">
        <f aca="false">(1035.084/4775.883)*775.883</f>
        <v>168.158239884017</v>
      </c>
    </row>
    <row r="81" customFormat="false" ht="13.5" hidden="false" customHeight="false" outlineLevel="0" collapsed="false">
      <c r="H81" s="147" t="s">
        <v>293</v>
      </c>
      <c r="I81" s="184"/>
      <c r="J81" s="26"/>
      <c r="K81" s="224" t="s">
        <v>294</v>
      </c>
      <c r="L81" s="238" t="n">
        <v>1</v>
      </c>
      <c r="N81" s="37" t="s">
        <v>257</v>
      </c>
      <c r="O81" s="39"/>
      <c r="P81" s="39"/>
      <c r="Q81" s="39"/>
      <c r="R81" s="269" t="n">
        <v>678</v>
      </c>
      <c r="T81" s="24" t="s">
        <v>295</v>
      </c>
      <c r="U81" s="26"/>
      <c r="V81" s="224" t="s">
        <v>296</v>
      </c>
      <c r="W81" s="270" t="s">
        <v>297</v>
      </c>
      <c r="X81" s="270"/>
    </row>
    <row r="82" customFormat="false" ht="12.75" hidden="false" customHeight="false" outlineLevel="0" collapsed="false">
      <c r="H82" s="37" t="s">
        <v>298</v>
      </c>
      <c r="I82" s="39"/>
      <c r="J82" s="39"/>
      <c r="K82" s="39"/>
      <c r="L82" s="271" t="n">
        <f aca="false">CF!Y46</f>
        <v>11528.7919548953</v>
      </c>
      <c r="N82" s="37"/>
      <c r="O82" s="39"/>
      <c r="P82" s="39"/>
      <c r="Q82" s="39"/>
      <c r="R82" s="44"/>
      <c r="T82" s="37"/>
      <c r="U82" s="272" t="n">
        <v>6</v>
      </c>
      <c r="V82" s="39" t="s">
        <v>299</v>
      </c>
      <c r="W82" s="39"/>
      <c r="X82" s="44"/>
    </row>
    <row r="83" customFormat="false" ht="13.5" hidden="false" customHeight="false" outlineLevel="0" collapsed="false">
      <c r="H83" s="37" t="s">
        <v>300</v>
      </c>
      <c r="I83" s="39"/>
      <c r="J83" s="39"/>
      <c r="K83" s="39"/>
      <c r="L83" s="273" t="n">
        <f aca="false">CF!Y9</f>
        <v>4</v>
      </c>
      <c r="N83" s="37"/>
      <c r="O83" s="123" t="n">
        <f aca="false">EINC!E7</f>
        <v>1998</v>
      </c>
      <c r="P83" s="123" t="n">
        <f aca="false">EINC!F7</f>
        <v>1999</v>
      </c>
      <c r="Q83" s="123" t="n">
        <f aca="false">EINC!G7</f>
        <v>2000</v>
      </c>
      <c r="R83" s="274" t="n">
        <f aca="false">EINC!H7</f>
        <v>2001</v>
      </c>
      <c r="T83" s="49"/>
      <c r="U83" s="118" t="n">
        <v>0.025</v>
      </c>
      <c r="V83" s="22" t="s">
        <v>301</v>
      </c>
      <c r="W83" s="22"/>
      <c r="X83" s="120"/>
    </row>
    <row r="84" customFormat="false" ht="13.5" hidden="false" customHeight="false" outlineLevel="0" collapsed="false">
      <c r="H84" s="37" t="s">
        <v>302</v>
      </c>
      <c r="I84" s="39"/>
      <c r="J84" s="39"/>
      <c r="K84" s="39"/>
      <c r="L84" s="45" t="n">
        <f aca="false">L82/L83*12</f>
        <v>34586.375864686</v>
      </c>
      <c r="N84" s="37" t="s">
        <v>11</v>
      </c>
      <c r="O84" s="176" t="n">
        <f aca="false">EINC!E50</f>
        <v>412.72761782154</v>
      </c>
      <c r="P84" s="176" t="n">
        <f aca="false">EINC!F50</f>
        <v>1675.52824157309</v>
      </c>
      <c r="Q84" s="176" t="n">
        <f aca="false">EINC!G50</f>
        <v>153.193650852147</v>
      </c>
      <c r="R84" s="275" t="n">
        <f aca="false">EINC!H50</f>
        <v>-495.728072007899</v>
      </c>
    </row>
    <row r="85" customFormat="false" ht="13.5" hidden="false" customHeight="false" outlineLevel="0" collapsed="false">
      <c r="H85" s="37" t="s">
        <v>303</v>
      </c>
      <c r="I85" s="39"/>
      <c r="J85" s="39"/>
      <c r="K85" s="39"/>
      <c r="L85" s="276" t="n">
        <v>10</v>
      </c>
      <c r="N85" s="37" t="str">
        <f aca="false">EINC!A60</f>
        <v>Enron Avg Book Income (Years 1-5) - Comm Ops</v>
      </c>
      <c r="O85" s="153"/>
      <c r="P85" s="153"/>
      <c r="Q85" s="153"/>
      <c r="R85" s="275" t="n">
        <f aca="false">EINC!C60</f>
        <v>-441.402306431388</v>
      </c>
      <c r="T85" s="24" t="s">
        <v>304</v>
      </c>
      <c r="U85" s="26"/>
      <c r="V85" s="26"/>
      <c r="W85" s="26"/>
      <c r="X85" s="277" t="s">
        <v>305</v>
      </c>
    </row>
    <row r="86" customFormat="false" ht="13.5" hidden="false" customHeight="false" outlineLevel="0" collapsed="false">
      <c r="H86" s="49" t="s">
        <v>293</v>
      </c>
      <c r="I86" s="22"/>
      <c r="J86" s="22"/>
      <c r="K86" s="22"/>
      <c r="L86" s="278" t="n">
        <f aca="false">L84*L85</f>
        <v>345863.75864686</v>
      </c>
      <c r="N86" s="49" t="str">
        <f aca="false">EINC!A61</f>
        <v>Enron Avg Book Income (Project Life) - Comm Ops</v>
      </c>
      <c r="O86" s="217"/>
      <c r="P86" s="217"/>
      <c r="Q86" s="217"/>
      <c r="R86" s="279" t="n">
        <f aca="false">EINC!C61</f>
        <v>2098.01996237245</v>
      </c>
      <c r="T86" s="37" t="s">
        <v>61</v>
      </c>
      <c r="U86" s="61" t="n">
        <f aca="false">HLOOKUP(Fin_Close,Idc_Table,IDC!$AP$25)</f>
        <v>70129.4037731885</v>
      </c>
      <c r="V86" s="39"/>
      <c r="W86" s="39"/>
      <c r="X86" s="44"/>
    </row>
    <row r="87" customFormat="false" ht="13.5" hidden="false" customHeight="false" outlineLevel="0" collapsed="false">
      <c r="T87" s="280" t="s">
        <v>306</v>
      </c>
      <c r="U87" s="118" t="n">
        <v>0.06</v>
      </c>
      <c r="V87" s="22"/>
      <c r="W87" s="281" t="s">
        <v>307</v>
      </c>
      <c r="X87" s="222" t="n">
        <v>0.065</v>
      </c>
    </row>
    <row r="88" customFormat="false" ht="13.5" hidden="false" customHeight="false" outlineLevel="0" collapsed="false"/>
    <row r="89" customFormat="false" ht="13.5" hidden="false" customHeight="false" outlineLevel="0" collapsed="false">
      <c r="T89" s="24" t="s">
        <v>308</v>
      </c>
      <c r="U89" s="26"/>
      <c r="V89" s="26"/>
      <c r="W89" s="26"/>
      <c r="X89" s="277" t="s">
        <v>309</v>
      </c>
    </row>
    <row r="90" customFormat="false" ht="12.75" hidden="false" customHeight="false" outlineLevel="0" collapsed="false">
      <c r="T90" s="37" t="s">
        <v>310</v>
      </c>
      <c r="U90" s="39"/>
      <c r="V90" s="39"/>
      <c r="W90" s="39"/>
      <c r="X90" s="282" t="n">
        <v>1</v>
      </c>
    </row>
    <row r="91" customFormat="false" ht="13.5" hidden="false" customHeight="false" outlineLevel="0" collapsed="false">
      <c r="T91" s="49"/>
      <c r="U91" s="22"/>
      <c r="V91" s="22"/>
      <c r="W91" s="22"/>
      <c r="X91" s="120"/>
    </row>
  </sheetData>
  <mergeCells count="3">
    <mergeCell ref="Z11:AA11"/>
    <mergeCell ref="Z12:AA12"/>
    <mergeCell ref="W81:X81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colBreaks count="1" manualBreakCount="1">
    <brk id="12" man="true" max="65535" min="0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Converge_Model.Converge">
                <anchor moveWithCells="true" sizeWithCells="false">
                  <from>
                    <xdr:col>1</xdr:col>
                    <xdr:colOff>533520</xdr:colOff>
                    <xdr:row>2</xdr:row>
                    <xdr:rowOff>47880</xdr:rowOff>
                  </from>
                  <to>
                    <xdr:col>2</xdr:col>
                    <xdr:colOff>715320</xdr:colOff>
                    <xdr:row>4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 macro="xls.Print_All.Print_Model">
                <anchor moveWithCells="true" sizeWithCells="false">
                  <from>
                    <xdr:col>4</xdr:col>
                    <xdr:colOff>362520</xdr:colOff>
                    <xdr:row>2</xdr:row>
                    <xdr:rowOff>38520</xdr:rowOff>
                  </from>
                  <to>
                    <xdr:col>5</xdr:col>
                    <xdr:colOff>644400</xdr:colOff>
                    <xdr:row>4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22">
              <controlPr defaultSize="0" print="false" autoFill="0" autoPict="0" macro="xls.Commit.Converge_Commit">
                <anchor moveWithCells="true" sizeWithCells="false">
                  <from>
                    <xdr:col>3</xdr:col>
                    <xdr:colOff>29880</xdr:colOff>
                    <xdr:row>2</xdr:row>
                    <xdr:rowOff>57240</xdr:rowOff>
                  </from>
                  <to>
                    <xdr:col>4</xdr:col>
                    <xdr:colOff>222480</xdr:colOff>
                    <xdr:row>4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3">
              <controlPr defaultSize="0" print="false" autoFill="0" autoPict="0" macro="xls.Print_Appendix.Print_Append">
                <anchor moveWithCells="true" sizeWithCells="false">
                  <from>
                    <xdr:col>5</xdr:col>
                    <xdr:colOff>774720</xdr:colOff>
                    <xdr:row>2</xdr:row>
                    <xdr:rowOff>38520</xdr:rowOff>
                  </from>
                  <to>
                    <xdr:col>7</xdr:col>
                    <xdr:colOff>795960</xdr:colOff>
                    <xdr:row>4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6"/>
  <sheetViews>
    <sheetView showFormulas="false" showGridLines="false" showRowColHeaders="true" showZeros="true" rightToLeft="false" tabSelected="false" showOutlineSymbols="true" defaultGridColor="true" view="normal" topLeftCell="A4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3.7"/>
    <col collapsed="false" customWidth="true" hidden="false" outlineLevel="0" max="9" min="9" style="1" width="47.28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16"/>
      <c r="D1" s="414"/>
      <c r="E1" s="414"/>
      <c r="F1" s="415"/>
      <c r="G1" s="15"/>
      <c r="H1" s="415"/>
      <c r="I1" s="415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16"/>
      <c r="D2" s="414"/>
      <c r="E2" s="414"/>
      <c r="F2" s="415"/>
      <c r="G2" s="15"/>
      <c r="H2" s="415"/>
      <c r="I2" s="415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20"/>
      <c r="F3" s="415"/>
      <c r="G3" s="15"/>
      <c r="H3" s="415"/>
      <c r="I3" s="421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1099</v>
      </c>
      <c r="B4" s="1005"/>
      <c r="C4" s="116"/>
      <c r="D4" s="1005"/>
      <c r="E4" s="1005"/>
      <c r="F4" s="415"/>
      <c r="G4" s="15"/>
      <c r="H4" s="415"/>
      <c r="I4" s="421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1027"/>
      <c r="B6" s="941"/>
      <c r="C6" s="1028"/>
      <c r="D6" s="1029"/>
      <c r="E6" s="1030"/>
      <c r="F6" s="941"/>
      <c r="G6" s="941"/>
      <c r="H6" s="941" t="s">
        <v>1014</v>
      </c>
      <c r="I6" s="1031"/>
    </row>
    <row r="7" customFormat="false" ht="12.75" hidden="false" customHeight="false" outlineLevel="0" collapsed="false">
      <c r="A7" s="1032"/>
      <c r="B7" s="1026"/>
      <c r="C7" s="1026" t="s">
        <v>1072</v>
      </c>
      <c r="D7" s="1026"/>
      <c r="E7" s="1026"/>
      <c r="F7" s="1026"/>
      <c r="G7" s="1026" t="s">
        <v>1015</v>
      </c>
      <c r="H7" s="1026" t="s">
        <v>1073</v>
      </c>
      <c r="I7" s="1034"/>
    </row>
    <row r="8" customFormat="false" ht="13.5" hidden="false" customHeight="false" outlineLevel="0" collapsed="false">
      <c r="A8" s="1035" t="s">
        <v>1017</v>
      </c>
      <c r="B8" s="1037" t="s">
        <v>1018</v>
      </c>
      <c r="C8" s="1037" t="s">
        <v>1074</v>
      </c>
      <c r="D8" s="1037"/>
      <c r="E8" s="1037"/>
      <c r="F8" s="1037" t="s">
        <v>1020</v>
      </c>
      <c r="G8" s="1037" t="s">
        <v>1021</v>
      </c>
      <c r="H8" s="1037" t="s">
        <v>1022</v>
      </c>
      <c r="I8" s="1038" t="s">
        <v>1023</v>
      </c>
    </row>
    <row r="9" customFormat="false" ht="13.5" hidden="false" customHeight="false" outlineLevel="0" collapsed="false">
      <c r="A9" s="39"/>
      <c r="B9" s="38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50" t="str">
        <f aca="false">Assm!N6</f>
        <v>Project Costs ($000)</v>
      </c>
      <c r="B10" s="1064" t="s">
        <v>1047</v>
      </c>
      <c r="C10" s="1143" t="str">
        <f aca="false">Assm!R6</f>
        <v>Total</v>
      </c>
      <c r="D10" s="35"/>
      <c r="E10" s="1144"/>
      <c r="F10" s="1041"/>
      <c r="G10" s="1042"/>
      <c r="H10" s="1041"/>
      <c r="I10" s="1043"/>
    </row>
    <row r="11" customFormat="false" ht="12.75" hidden="false" customHeight="false" outlineLevel="0" collapsed="false">
      <c r="A11" s="1052"/>
      <c r="B11" s="1069" t="str">
        <f aca="false">Assm!N7</f>
        <v>EPC Turnkey Contract</v>
      </c>
      <c r="C11" s="966" t="n">
        <f aca="false">Assm!R7</f>
        <v>92999.028</v>
      </c>
      <c r="D11" s="1092"/>
      <c r="E11" s="944"/>
      <c r="F11" s="1054" t="s">
        <v>1100</v>
      </c>
      <c r="G11" s="1055" t="n">
        <v>35664</v>
      </c>
      <c r="H11" s="1054" t="s">
        <v>1029</v>
      </c>
      <c r="I11" s="1056" t="s">
        <v>1101</v>
      </c>
    </row>
    <row r="12" customFormat="false" ht="12.75" hidden="false" customHeight="false" outlineLevel="0" collapsed="false">
      <c r="A12" s="1052"/>
      <c r="B12" s="1069" t="str">
        <f aca="false">Assm!N8</f>
        <v>Approved Change Orders</v>
      </c>
      <c r="C12" s="966" t="n">
        <f aca="false">Assm!R8</f>
        <v>6173.819</v>
      </c>
      <c r="D12" s="1092"/>
      <c r="E12" s="944"/>
      <c r="F12" s="1054" t="s">
        <v>1102</v>
      </c>
      <c r="G12" s="1055" t="n">
        <v>36209</v>
      </c>
      <c r="H12" s="1054" t="s">
        <v>1103</v>
      </c>
      <c r="I12" s="1056" t="s">
        <v>1104</v>
      </c>
    </row>
    <row r="13" customFormat="false" ht="12.75" hidden="false" customHeight="false" outlineLevel="0" collapsed="false">
      <c r="A13" s="1052"/>
      <c r="B13" s="1069" t="str">
        <f aca="false">Assm!N9</f>
        <v>Pending Change Orders</v>
      </c>
      <c r="C13" s="966" t="n">
        <f aca="false">Assm!R9</f>
        <v>0</v>
      </c>
      <c r="D13" s="1092"/>
      <c r="E13" s="944"/>
      <c r="F13" s="1054" t="s">
        <v>1105</v>
      </c>
      <c r="G13" s="1055" t="n">
        <v>36410</v>
      </c>
      <c r="H13" s="1054" t="s">
        <v>1106</v>
      </c>
      <c r="I13" s="1056" t="s">
        <v>1107</v>
      </c>
    </row>
    <row r="14" customFormat="false" ht="12.75" hidden="false" customHeight="false" outlineLevel="0" collapsed="false">
      <c r="A14" s="1052"/>
      <c r="B14" s="1069" t="str">
        <f aca="false">Assm!N10</f>
        <v>Other Change Orders</v>
      </c>
      <c r="C14" s="966" t="n">
        <f aca="false">Assm!R10</f>
        <v>7914</v>
      </c>
      <c r="D14" s="1092"/>
      <c r="E14" s="944"/>
      <c r="F14" s="1054" t="s">
        <v>1108</v>
      </c>
      <c r="G14" s="1055" t="n">
        <v>36297</v>
      </c>
      <c r="H14" s="1054" t="s">
        <v>1109</v>
      </c>
      <c r="I14" s="1056" t="s">
        <v>1110</v>
      </c>
    </row>
    <row r="15" customFormat="false" ht="12.75" hidden="false" customHeight="false" outlineLevel="0" collapsed="false">
      <c r="A15" s="1052"/>
      <c r="B15" s="1069" t="str">
        <f aca="false">Assm!N11</f>
        <v>Onshore Payment Adjustment</v>
      </c>
      <c r="C15" s="966" t="n">
        <f aca="false">Assm!R11</f>
        <v>0</v>
      </c>
      <c r="D15" s="1092"/>
      <c r="E15" s="944"/>
      <c r="F15" s="1054" t="s">
        <v>1108</v>
      </c>
      <c r="G15" s="1055" t="n">
        <v>36297</v>
      </c>
      <c r="H15" s="1054" t="s">
        <v>1109</v>
      </c>
      <c r="I15" s="1056" t="s">
        <v>1110</v>
      </c>
    </row>
    <row r="16" customFormat="false" ht="12.75" hidden="false" customHeight="false" outlineLevel="0" collapsed="false">
      <c r="A16" s="1052"/>
      <c r="B16" s="1069" t="str">
        <f aca="false">Assm!N12</f>
        <v>Turnkey Tax Adjustment</v>
      </c>
      <c r="C16" s="1145" t="n">
        <f aca="false">Assm!R12</f>
        <v>810.689943448277</v>
      </c>
      <c r="D16" s="1092"/>
      <c r="E16" s="944"/>
      <c r="F16" s="1054" t="s">
        <v>1100</v>
      </c>
      <c r="G16" s="1055" t="n">
        <v>35664</v>
      </c>
      <c r="H16" s="1054" t="s">
        <v>1029</v>
      </c>
      <c r="I16" s="1056" t="s">
        <v>1111</v>
      </c>
    </row>
    <row r="17" customFormat="false" ht="12.75" hidden="false" customHeight="false" outlineLevel="0" collapsed="false">
      <c r="A17" s="1052"/>
      <c r="B17" s="1146" t="str">
        <f aca="false">Assm!N13</f>
        <v>Total Turnkey Construction</v>
      </c>
      <c r="C17" s="1147" t="n">
        <f aca="false">Assm!R13</f>
        <v>107897.536943448</v>
      </c>
      <c r="D17" s="297"/>
      <c r="E17" s="1148"/>
      <c r="F17" s="1054"/>
      <c r="G17" s="1055"/>
      <c r="H17" s="1054"/>
      <c r="I17" s="1056"/>
    </row>
    <row r="18" customFormat="false" ht="12.75" hidden="false" customHeight="false" outlineLevel="0" collapsed="false">
      <c r="A18" s="1052"/>
      <c r="B18" s="1146"/>
      <c r="C18" s="1147"/>
      <c r="D18" s="297"/>
      <c r="E18" s="1148"/>
      <c r="F18" s="1054"/>
      <c r="G18" s="1055"/>
      <c r="H18" s="1054"/>
      <c r="I18" s="1056"/>
    </row>
    <row r="19" customFormat="false" ht="12.75" hidden="false" customHeight="false" outlineLevel="0" collapsed="false">
      <c r="A19" s="1052"/>
      <c r="B19" s="1069" t="str">
        <f aca="false">Assm!N15</f>
        <v>Linefill</v>
      </c>
      <c r="C19" s="966" t="n">
        <f aca="false">Assm!R15</f>
        <v>220</v>
      </c>
      <c r="D19" s="1092"/>
      <c r="E19" s="944"/>
      <c r="F19" s="1054" t="s">
        <v>1112</v>
      </c>
      <c r="G19" s="1055" t="n">
        <v>36294</v>
      </c>
      <c r="H19" s="1054" t="s">
        <v>1113</v>
      </c>
      <c r="I19" s="1056" t="s">
        <v>1114</v>
      </c>
    </row>
    <row r="20" customFormat="false" ht="12.75" hidden="false" customHeight="false" outlineLevel="0" collapsed="false">
      <c r="A20" s="1052"/>
      <c r="B20" s="1069" t="str">
        <f aca="false">Assm!N16</f>
        <v>Land &amp; Rights Of Way</v>
      </c>
      <c r="C20" s="966" t="n">
        <f aca="false">Assm!R16</f>
        <v>600</v>
      </c>
      <c r="D20" s="1092"/>
      <c r="E20" s="944"/>
      <c r="F20" s="1054" t="s">
        <v>1112</v>
      </c>
      <c r="G20" s="1055" t="n">
        <v>36294</v>
      </c>
      <c r="H20" s="1054" t="s">
        <v>1113</v>
      </c>
      <c r="I20" s="1056" t="s">
        <v>1114</v>
      </c>
    </row>
    <row r="21" customFormat="false" ht="12.75" hidden="false" customHeight="false" outlineLevel="0" collapsed="false">
      <c r="A21" s="1052"/>
      <c r="B21" s="1069" t="str">
        <f aca="false">Assm!N17</f>
        <v>Consulting Fees</v>
      </c>
      <c r="C21" s="966" t="n">
        <f aca="false">Assm!R17</f>
        <v>802</v>
      </c>
      <c r="D21" s="1092"/>
      <c r="E21" s="944"/>
      <c r="F21" s="1054" t="s">
        <v>1112</v>
      </c>
      <c r="G21" s="1055" t="n">
        <v>36298</v>
      </c>
      <c r="H21" s="1054" t="s">
        <v>1037</v>
      </c>
      <c r="I21" s="1056" t="s">
        <v>1110</v>
      </c>
    </row>
    <row r="22" customFormat="false" ht="12.75" hidden="false" customHeight="false" outlineLevel="0" collapsed="false">
      <c r="A22" s="1052"/>
      <c r="B22" s="1069" t="str">
        <f aca="false">Assm!N18</f>
        <v>Owner's Engineer (Parsons)</v>
      </c>
      <c r="C22" s="966" t="n">
        <f aca="false">Assm!R18</f>
        <v>1250</v>
      </c>
      <c r="D22" s="1092"/>
      <c r="E22" s="944"/>
      <c r="F22" s="1054" t="s">
        <v>1112</v>
      </c>
      <c r="G22" s="1055" t="n">
        <v>36294</v>
      </c>
      <c r="H22" s="1054" t="s">
        <v>1113</v>
      </c>
      <c r="I22" s="1056" t="s">
        <v>1114</v>
      </c>
    </row>
    <row r="23" customFormat="false" ht="12.75" hidden="false" customHeight="false" outlineLevel="0" collapsed="false">
      <c r="A23" s="1052"/>
      <c r="B23" s="1069" t="str">
        <f aca="false">Assm!N19</f>
        <v>Other Engineering Costs</v>
      </c>
      <c r="C23" s="966" t="n">
        <f aca="false">Assm!R19</f>
        <v>0</v>
      </c>
      <c r="D23" s="1092"/>
      <c r="E23" s="944"/>
      <c r="F23" s="1054" t="s">
        <v>1112</v>
      </c>
      <c r="G23" s="1055" t="n">
        <v>36294</v>
      </c>
      <c r="H23" s="1054" t="s">
        <v>1113</v>
      </c>
      <c r="I23" s="1056" t="s">
        <v>1114</v>
      </c>
    </row>
    <row r="24" customFormat="false" ht="12.75" hidden="false" customHeight="false" outlineLevel="0" collapsed="false">
      <c r="A24" s="1052"/>
      <c r="B24" s="1069" t="str">
        <f aca="false">Assm!N20</f>
        <v>Environmental &amp; Permitting</v>
      </c>
      <c r="C24" s="966" t="n">
        <f aca="false">Assm!R20</f>
        <v>11183.5134</v>
      </c>
      <c r="D24" s="1092"/>
      <c r="E24" s="944"/>
      <c r="F24" s="1054" t="s">
        <v>1112</v>
      </c>
      <c r="G24" s="1055" t="n">
        <v>36403</v>
      </c>
      <c r="H24" s="1054" t="s">
        <v>1113</v>
      </c>
      <c r="I24" s="1056" t="s">
        <v>1115</v>
      </c>
    </row>
    <row r="25" customFormat="false" ht="12.75" hidden="false" customHeight="false" outlineLevel="0" collapsed="false">
      <c r="A25" s="1052"/>
      <c r="B25" s="1069" t="str">
        <f aca="false">Assm!N21</f>
        <v>Indigenous People Programs</v>
      </c>
      <c r="C25" s="1145" t="n">
        <f aca="false">Assm!R21</f>
        <v>5150.8</v>
      </c>
      <c r="D25" s="1092"/>
      <c r="E25" s="944"/>
      <c r="F25" s="1054" t="s">
        <v>1116</v>
      </c>
      <c r="G25" s="1055" t="n">
        <v>36390</v>
      </c>
      <c r="H25" s="1054" t="s">
        <v>1117</v>
      </c>
      <c r="I25" s="1056" t="s">
        <v>1118</v>
      </c>
    </row>
    <row r="26" customFormat="false" ht="12.75" hidden="false" customHeight="false" outlineLevel="0" collapsed="false">
      <c r="A26" s="1052"/>
      <c r="B26" s="1146" t="str">
        <f aca="false">Assm!N22</f>
        <v>Total Other Construction</v>
      </c>
      <c r="C26" s="1147" t="n">
        <f aca="false">Assm!R22</f>
        <v>19206.3134</v>
      </c>
      <c r="D26" s="1092"/>
      <c r="E26" s="944"/>
      <c r="F26" s="1054"/>
      <c r="G26" s="1055"/>
      <c r="H26" s="1054"/>
      <c r="I26" s="1056"/>
    </row>
    <row r="27" customFormat="false" ht="12.75" hidden="false" customHeight="false" outlineLevel="0" collapsed="false">
      <c r="A27" s="1052"/>
      <c r="B27" s="1069"/>
      <c r="C27" s="966"/>
      <c r="D27" s="1092"/>
      <c r="E27" s="944"/>
      <c r="F27" s="1054"/>
      <c r="G27" s="1055"/>
      <c r="H27" s="1054"/>
      <c r="I27" s="1056" t="s">
        <v>150</v>
      </c>
    </row>
    <row r="28" customFormat="false" ht="12.75" hidden="false" customHeight="false" outlineLevel="0" collapsed="false">
      <c r="A28" s="1052"/>
      <c r="B28" s="1069" t="str">
        <f aca="false">Assm!N24</f>
        <v>Interest During Construction "IDC" </v>
      </c>
      <c r="C28" s="966" t="n">
        <f aca="false">Assm!R24</f>
        <v>7955.10896950503</v>
      </c>
      <c r="D28" s="1092"/>
      <c r="E28" s="944"/>
      <c r="F28" s="1054" t="s">
        <v>1035</v>
      </c>
      <c r="G28" s="1055"/>
      <c r="H28" s="1054"/>
      <c r="I28" s="1056"/>
    </row>
    <row r="29" customFormat="false" ht="12.75" hidden="false" customHeight="false" outlineLevel="0" collapsed="false">
      <c r="A29" s="1052"/>
      <c r="B29" s="1069" t="str">
        <f aca="false">Assm!N25</f>
        <v>W/H Tax - IDC (Shareholder Construction Loan)</v>
      </c>
      <c r="C29" s="966" t="n">
        <f aca="false">Assm!R25</f>
        <v>475.77727694755</v>
      </c>
      <c r="D29" s="1092"/>
      <c r="E29" s="944"/>
      <c r="F29" s="1054" t="s">
        <v>1035</v>
      </c>
      <c r="G29" s="1055"/>
      <c r="H29" s="1054"/>
      <c r="I29" s="1056"/>
    </row>
    <row r="30" customFormat="false" ht="12.75" hidden="false" customHeight="false" outlineLevel="0" collapsed="false">
      <c r="A30" s="1052"/>
      <c r="B30" s="1069" t="str">
        <f aca="false">Assm!N26</f>
        <v>Commitment Fee</v>
      </c>
      <c r="C30" s="966" t="n">
        <f aca="false">Assm!R26</f>
        <v>18.0419761241514</v>
      </c>
      <c r="D30" s="1092"/>
      <c r="E30" s="944"/>
      <c r="F30" s="1054" t="s">
        <v>1035</v>
      </c>
      <c r="G30" s="1055"/>
      <c r="H30" s="1054"/>
      <c r="I30" s="1056"/>
    </row>
    <row r="31" customFormat="false" ht="12.75" hidden="false" customHeight="false" outlineLevel="0" collapsed="false">
      <c r="A31" s="1052"/>
      <c r="B31" s="1069" t="str">
        <f aca="false">Assm!N27</f>
        <v>Upfront Fee</v>
      </c>
      <c r="C31" s="966" t="n">
        <f aca="false">Assm!R27</f>
        <v>1405.65683263918</v>
      </c>
      <c r="D31" s="1092"/>
      <c r="E31" s="944"/>
      <c r="F31" s="1054" t="s">
        <v>1035</v>
      </c>
      <c r="G31" s="1055"/>
      <c r="H31" s="1054"/>
      <c r="I31" s="1056"/>
    </row>
    <row r="32" customFormat="false" ht="12.75" hidden="false" customHeight="false" outlineLevel="0" collapsed="false">
      <c r="A32" s="1052"/>
      <c r="B32" s="1069" t="str">
        <f aca="false">Assm!N28</f>
        <v>Financing Costs (Borrower)</v>
      </c>
      <c r="C32" s="966" t="n">
        <f aca="false">Assm!R28</f>
        <v>3055.55</v>
      </c>
      <c r="D32" s="1092"/>
      <c r="E32" s="944"/>
      <c r="F32" s="1054" t="s">
        <v>1112</v>
      </c>
      <c r="G32" s="1055" t="n">
        <v>36298</v>
      </c>
      <c r="H32" s="1054" t="s">
        <v>1037</v>
      </c>
      <c r="I32" s="1056" t="s">
        <v>1110</v>
      </c>
    </row>
    <row r="33" customFormat="false" ht="12.75" hidden="false" customHeight="false" outlineLevel="0" collapsed="false">
      <c r="A33" s="1052"/>
      <c r="B33" s="1069" t="str">
        <f aca="false">Assm!N29</f>
        <v>Financing Costs (Other)</v>
      </c>
      <c r="C33" s="966" t="n">
        <f aca="false">Assm!R29</f>
        <v>0</v>
      </c>
      <c r="D33" s="1092"/>
      <c r="E33" s="944"/>
      <c r="F33" s="1054" t="s">
        <v>1112</v>
      </c>
      <c r="G33" s="1055" t="n">
        <v>36298</v>
      </c>
      <c r="H33" s="1054" t="s">
        <v>1037</v>
      </c>
      <c r="I33" s="1056" t="s">
        <v>1110</v>
      </c>
    </row>
    <row r="34" customFormat="false" ht="12.75" hidden="false" customHeight="false" outlineLevel="0" collapsed="false">
      <c r="A34" s="1052"/>
      <c r="B34" s="1069" t="str">
        <f aca="false">Assm!N30</f>
        <v>3rd Party Legal Fees</v>
      </c>
      <c r="C34" s="966" t="n">
        <f aca="false">Assm!R30</f>
        <v>1526.85</v>
      </c>
      <c r="D34" s="1092"/>
      <c r="E34" s="944"/>
      <c r="F34" s="1054" t="s">
        <v>1112</v>
      </c>
      <c r="G34" s="1055" t="n">
        <v>36403</v>
      </c>
      <c r="H34" s="1054" t="s">
        <v>1113</v>
      </c>
      <c r="I34" s="1056" t="s">
        <v>1115</v>
      </c>
    </row>
    <row r="35" customFormat="false" ht="12.75" hidden="false" customHeight="false" outlineLevel="0" collapsed="false">
      <c r="A35" s="1052"/>
      <c r="B35" s="1069" t="str">
        <f aca="false">Assm!N31</f>
        <v>Construction Insurance </v>
      </c>
      <c r="C35" s="1145" t="n">
        <f aca="false">Assm!R31</f>
        <v>839.522</v>
      </c>
      <c r="D35" s="1092"/>
      <c r="E35" s="944"/>
      <c r="F35" s="1054" t="s">
        <v>1055</v>
      </c>
      <c r="G35" s="1055" t="n">
        <v>36157</v>
      </c>
      <c r="H35" s="1054" t="s">
        <v>1056</v>
      </c>
      <c r="I35" s="1056" t="s">
        <v>1119</v>
      </c>
    </row>
    <row r="36" customFormat="false" ht="12.75" hidden="false" customHeight="false" outlineLevel="0" collapsed="false">
      <c r="A36" s="1052"/>
      <c r="B36" s="1146" t="str">
        <f aca="false">Assm!N32</f>
        <v>Total 3rd Party Dev / Financing Costs</v>
      </c>
      <c r="C36" s="1147" t="n">
        <f aca="false">Assm!R32</f>
        <v>15276.5070552159</v>
      </c>
      <c r="D36" s="1092"/>
      <c r="E36" s="944"/>
      <c r="F36" s="1054"/>
      <c r="G36" s="1055"/>
      <c r="H36" s="1054"/>
      <c r="I36" s="1056"/>
    </row>
    <row r="37" customFormat="false" ht="12.75" hidden="false" customHeight="false" outlineLevel="0" collapsed="false">
      <c r="A37" s="1052"/>
      <c r="B37" s="1146"/>
      <c r="C37" s="966"/>
      <c r="D37" s="1092"/>
      <c r="E37" s="944"/>
      <c r="F37" s="1054"/>
      <c r="G37" s="1055"/>
      <c r="H37" s="1054"/>
      <c r="I37" s="1056"/>
    </row>
    <row r="38" customFormat="false" ht="12.75" hidden="false" customHeight="false" outlineLevel="0" collapsed="false">
      <c r="A38" s="1052"/>
      <c r="B38" s="1069" t="str">
        <f aca="false">Assm!N34</f>
        <v>Development Costs</v>
      </c>
      <c r="C38" s="966" t="n">
        <f aca="false">Assm!R34</f>
        <v>7384.6381168</v>
      </c>
      <c r="D38" s="1092"/>
      <c r="E38" s="944"/>
      <c r="F38" s="1054" t="s">
        <v>1112</v>
      </c>
      <c r="G38" s="1055" t="n">
        <v>36403</v>
      </c>
      <c r="H38" s="1054" t="s">
        <v>1113</v>
      </c>
      <c r="I38" s="1056" t="s">
        <v>1115</v>
      </c>
    </row>
    <row r="39" customFormat="false" ht="12.75" hidden="false" customHeight="false" outlineLevel="0" collapsed="false">
      <c r="A39" s="1052"/>
      <c r="B39" s="1069" t="str">
        <f aca="false">Assm!N35</f>
        <v>Development Fee</v>
      </c>
      <c r="C39" s="966" t="n">
        <f aca="false">Assm!R35</f>
        <v>0</v>
      </c>
      <c r="D39" s="1092"/>
      <c r="E39" s="944"/>
      <c r="F39" s="1054"/>
      <c r="G39" s="1055"/>
      <c r="H39" s="1054"/>
      <c r="I39" s="1056" t="s">
        <v>1120</v>
      </c>
    </row>
    <row r="40" customFormat="false" ht="12.75" hidden="false" customHeight="false" outlineLevel="0" collapsed="false">
      <c r="A40" s="1052"/>
      <c r="B40" s="1069" t="str">
        <f aca="false">Assm!N36</f>
        <v>Operations Mobilization</v>
      </c>
      <c r="C40" s="1145" t="n">
        <f aca="false">Assm!R36</f>
        <v>1192</v>
      </c>
      <c r="D40" s="1092"/>
      <c r="E40" s="944"/>
      <c r="F40" s="1054" t="s">
        <v>1112</v>
      </c>
      <c r="G40" s="1055" t="n">
        <v>36294</v>
      </c>
      <c r="H40" s="1054" t="s">
        <v>1113</v>
      </c>
      <c r="I40" s="1056" t="s">
        <v>1114</v>
      </c>
    </row>
    <row r="41" customFormat="false" ht="12.75" hidden="false" customHeight="false" outlineLevel="0" collapsed="false">
      <c r="A41" s="1052"/>
      <c r="B41" s="1146" t="str">
        <f aca="false">Assm!N37</f>
        <v>Total Development Costs / Fees</v>
      </c>
      <c r="C41" s="1147" t="n">
        <f aca="false">Assm!R37</f>
        <v>8576.6381168</v>
      </c>
      <c r="D41" s="1092"/>
      <c r="E41" s="944"/>
      <c r="F41" s="1054"/>
      <c r="G41" s="1055"/>
      <c r="H41" s="1054"/>
      <c r="I41" s="1056"/>
    </row>
    <row r="42" customFormat="false" ht="12.75" hidden="false" customHeight="false" outlineLevel="0" collapsed="false">
      <c r="A42" s="1052"/>
      <c r="B42" s="1146"/>
      <c r="C42" s="966"/>
      <c r="D42" s="297"/>
      <c r="E42" s="1148"/>
      <c r="F42" s="1054"/>
      <c r="G42" s="1055"/>
      <c r="H42" s="1054"/>
      <c r="I42" s="1056"/>
    </row>
    <row r="43" customFormat="false" ht="12.75" hidden="false" customHeight="false" outlineLevel="0" collapsed="false">
      <c r="A43" s="1052"/>
      <c r="B43" s="1069" t="str">
        <f aca="false">Assm!N39</f>
        <v>Working Capital </v>
      </c>
      <c r="C43" s="1145" t="n">
        <f aca="false">Assm!R39</f>
        <v>0</v>
      </c>
      <c r="D43" s="1092"/>
      <c r="E43" s="944"/>
      <c r="F43" s="1054" t="s">
        <v>1121</v>
      </c>
      <c r="G43" s="1055"/>
      <c r="H43" s="1054"/>
      <c r="I43" s="1056"/>
    </row>
    <row r="44" customFormat="false" ht="12.75" hidden="false" customHeight="false" outlineLevel="0" collapsed="false">
      <c r="A44" s="1052"/>
      <c r="B44" s="1146" t="str">
        <f aca="false">Assm!N40</f>
        <v>Total Other Costs</v>
      </c>
      <c r="C44" s="1147" t="n">
        <f aca="false">Assm!R40</f>
        <v>0</v>
      </c>
      <c r="D44" s="1092"/>
      <c r="E44" s="944"/>
      <c r="F44" s="1054"/>
      <c r="G44" s="1055"/>
      <c r="H44" s="1054"/>
      <c r="I44" s="1056"/>
    </row>
    <row r="45" customFormat="false" ht="12.75" hidden="false" customHeight="false" outlineLevel="0" collapsed="false">
      <c r="A45" s="1052"/>
      <c r="B45" s="1146"/>
      <c r="C45" s="966"/>
      <c r="D45" s="297"/>
      <c r="E45" s="1148"/>
      <c r="F45" s="1054"/>
      <c r="G45" s="1055"/>
      <c r="H45" s="1054"/>
      <c r="I45" s="1056"/>
    </row>
    <row r="46" customFormat="false" ht="12.75" hidden="false" customHeight="false" outlineLevel="0" collapsed="false">
      <c r="A46" s="1052"/>
      <c r="B46" s="1069" t="str">
        <f aca="false">Assm!N42</f>
        <v>Contingency - Change Orders</v>
      </c>
      <c r="C46" s="966" t="n">
        <f aca="false">Assm!R42</f>
        <v>5227.097</v>
      </c>
      <c r="D46" s="1092"/>
      <c r="E46" s="944"/>
      <c r="F46" s="1054" t="s">
        <v>1035</v>
      </c>
      <c r="G46" s="1055"/>
      <c r="H46" s="1054"/>
      <c r="I46" s="1056" t="str">
        <f aca="false">CONCATENATE(TEXT(Assm!Q42,"0.00%")," ",Assm!P42)</f>
        <v>0.00% </v>
      </c>
    </row>
    <row r="47" customFormat="false" ht="12.75" hidden="false" customHeight="false" outlineLevel="0" collapsed="false">
      <c r="A47" s="1052"/>
      <c r="B47" s="1069" t="str">
        <f aca="false">Assm!N43</f>
        <v>Contingency - Other</v>
      </c>
      <c r="C47" s="1145" t="n">
        <f aca="false">Assm!R43</f>
        <v>0</v>
      </c>
      <c r="D47" s="1092"/>
      <c r="E47" s="944"/>
      <c r="F47" s="1054" t="s">
        <v>1035</v>
      </c>
      <c r="G47" s="1055"/>
      <c r="H47" s="1054"/>
      <c r="I47" s="1056" t="str">
        <f aca="false">CONCATENATE(TEXT(Assm!Q43,"0.00%")," ",Assm!P43)</f>
        <v>0.00% </v>
      </c>
    </row>
    <row r="48" customFormat="false" ht="12.75" hidden="false" customHeight="false" outlineLevel="0" collapsed="false">
      <c r="A48" s="1052"/>
      <c r="B48" s="1146" t="str">
        <f aca="false">Assm!N44</f>
        <v>Total Contingency</v>
      </c>
      <c r="C48" s="1147" t="n">
        <f aca="false">Assm!R44</f>
        <v>5227.097</v>
      </c>
      <c r="D48" s="1092"/>
      <c r="E48" s="944"/>
      <c r="F48" s="1054"/>
      <c r="G48" s="1055"/>
      <c r="H48" s="1054"/>
      <c r="I48" s="1056"/>
    </row>
    <row r="49" customFormat="false" ht="12.75" hidden="false" customHeight="false" outlineLevel="0" collapsed="false">
      <c r="A49" s="1052"/>
      <c r="B49" s="1146"/>
      <c r="C49" s="966"/>
      <c r="D49" s="297"/>
      <c r="E49" s="1148"/>
      <c r="F49" s="1054"/>
      <c r="G49" s="1055"/>
      <c r="H49" s="1054"/>
      <c r="I49" s="1056"/>
    </row>
    <row r="50" customFormat="false" ht="12.75" hidden="false" customHeight="false" outlineLevel="0" collapsed="false">
      <c r="A50" s="1052"/>
      <c r="B50" s="1146" t="str">
        <f aca="false">Assm!N46</f>
        <v>Total Project Costs</v>
      </c>
      <c r="C50" s="1147" t="n">
        <f aca="false">Assm!R46</f>
        <v>156184.092515464</v>
      </c>
      <c r="D50" s="297"/>
      <c r="E50" s="1148"/>
      <c r="F50" s="1054"/>
      <c r="G50" s="1055"/>
      <c r="H50" s="1054"/>
      <c r="I50" s="1056"/>
    </row>
    <row r="51" customFormat="false" ht="13.5" hidden="false" customHeight="false" outlineLevel="0" collapsed="false">
      <c r="A51" s="1062"/>
      <c r="B51" s="1149" t="str">
        <f aca="false">Assm!N47</f>
        <v>Total Project Costs ($/MCM/Day)</v>
      </c>
      <c r="C51" s="1150" t="n">
        <f aca="false">Assm!R47</f>
        <v>1.51649764555262</v>
      </c>
      <c r="D51" s="291"/>
      <c r="E51" s="1151"/>
      <c r="F51" s="1046"/>
      <c r="G51" s="1047"/>
      <c r="H51" s="1046"/>
      <c r="I51" s="1048"/>
    </row>
    <row r="52" customFormat="false" ht="13.5" hidden="false" customHeight="false" outlineLevel="0" collapsed="false"/>
    <row r="53" customFormat="false" ht="12.75" hidden="false" customHeight="false" outlineLevel="0" collapsed="false">
      <c r="A53" s="1050" t="str">
        <f aca="false">Assm!H57</f>
        <v>Project Ownership (Pre-Dilution)</v>
      </c>
      <c r="B53" s="1039"/>
      <c r="C53" s="1134" t="str">
        <f aca="false">Assm!K60</f>
        <v>Equity %</v>
      </c>
      <c r="D53" s="1066" t="str">
        <f aca="false">Assm!L60</f>
        <v>Cashflow %</v>
      </c>
      <c r="E53" s="1067"/>
      <c r="F53" s="1041"/>
      <c r="G53" s="1042"/>
      <c r="H53" s="1041"/>
      <c r="I53" s="1043"/>
    </row>
    <row r="54" customFormat="false" ht="12.75" hidden="false" customHeight="false" outlineLevel="0" collapsed="false">
      <c r="A54" s="1052"/>
      <c r="B54" s="1069" t="str">
        <f aca="false">Assm!H61</f>
        <v>Enron</v>
      </c>
      <c r="C54" s="1152" t="n">
        <f aca="false">Assm!K61</f>
        <v>0.3</v>
      </c>
      <c r="D54" s="303" t="n">
        <f aca="false">Assm!L61</f>
        <v>0.3</v>
      </c>
      <c r="E54" s="1153"/>
      <c r="F54" s="1054" t="s">
        <v>1122</v>
      </c>
      <c r="G54" s="1055" t="s">
        <v>1123</v>
      </c>
      <c r="H54" s="1054" t="s">
        <v>1029</v>
      </c>
      <c r="I54" s="1056" t="s">
        <v>1124</v>
      </c>
    </row>
    <row r="55" customFormat="false" ht="12.75" hidden="false" customHeight="false" outlineLevel="0" collapsed="false">
      <c r="A55" s="1052"/>
      <c r="B55" s="1069" t="str">
        <f aca="false">Assm!H62</f>
        <v>Shell</v>
      </c>
      <c r="C55" s="1152" t="n">
        <f aca="false">Assm!K62</f>
        <v>0.3</v>
      </c>
      <c r="D55" s="303" t="n">
        <f aca="false">Assm!L62</f>
        <v>0.3</v>
      </c>
      <c r="E55" s="1153"/>
      <c r="F55" s="1054" t="s">
        <v>1122</v>
      </c>
      <c r="G55" s="1055" t="n">
        <v>35950</v>
      </c>
      <c r="H55" s="1054" t="s">
        <v>1029</v>
      </c>
      <c r="I55" s="1056" t="s">
        <v>1125</v>
      </c>
    </row>
    <row r="56" customFormat="false" ht="12.75" hidden="false" customHeight="false" outlineLevel="0" collapsed="false">
      <c r="A56" s="1052"/>
      <c r="B56" s="1069" t="str">
        <f aca="false">Assm!H63</f>
        <v>Transredes</v>
      </c>
      <c r="C56" s="1154" t="n">
        <f aca="false">Assm!K63</f>
        <v>0.4</v>
      </c>
      <c r="D56" s="1155" t="n">
        <f aca="false">Assm!L63</f>
        <v>0.4</v>
      </c>
      <c r="E56" s="1156"/>
      <c r="F56" s="1054" t="s">
        <v>1122</v>
      </c>
      <c r="G56" s="1055" t="n">
        <v>36070</v>
      </c>
      <c r="H56" s="1054" t="s">
        <v>1029</v>
      </c>
      <c r="I56" s="1056" t="s">
        <v>1126</v>
      </c>
    </row>
    <row r="57" customFormat="false" ht="13.5" hidden="false" customHeight="false" outlineLevel="0" collapsed="false">
      <c r="A57" s="1062"/>
      <c r="B57" s="1044" t="str">
        <f aca="false">Assm!H64</f>
        <v>   Total</v>
      </c>
      <c r="C57" s="1157" t="n">
        <f aca="false">Assm!K64</f>
        <v>1</v>
      </c>
      <c r="D57" s="1158" t="n">
        <f aca="false">Assm!L64</f>
        <v>1</v>
      </c>
      <c r="E57" s="1159"/>
      <c r="F57" s="1046"/>
      <c r="G57" s="1047"/>
      <c r="H57" s="1046"/>
      <c r="I57" s="1048"/>
    </row>
    <row r="58" customFormat="false" ht="13.5" hidden="false" customHeight="false" outlineLevel="0" collapsed="false"/>
    <row r="59" customFormat="false" ht="12.75" hidden="false" customHeight="false" outlineLevel="0" collapsed="false">
      <c r="A59" s="1050" t="str">
        <f aca="false">Assm!H74</f>
        <v>Division Of Project Fees</v>
      </c>
      <c r="B59" s="1039"/>
      <c r="C59" s="1134" t="str">
        <f aca="false">Assm!I74</f>
        <v>Enron</v>
      </c>
      <c r="D59" s="1066" t="str">
        <f aca="false">Assm!J74</f>
        <v>Shell</v>
      </c>
      <c r="E59" s="1066" t="str">
        <f aca="false">Assm!K74</f>
        <v>Transredes</v>
      </c>
      <c r="F59" s="1041"/>
      <c r="G59" s="1042"/>
      <c r="H59" s="1041"/>
      <c r="I59" s="1043"/>
    </row>
    <row r="60" customFormat="false" ht="12.75" hidden="false" customHeight="false" outlineLevel="0" collapsed="false">
      <c r="A60" s="1052"/>
      <c r="B60" s="1069" t="str">
        <f aca="false">Assm!H75</f>
        <v>Development Fee</v>
      </c>
      <c r="C60" s="1152" t="n">
        <f aca="false">Assm!I75</f>
        <v>0.3</v>
      </c>
      <c r="D60" s="303" t="n">
        <f aca="false">Assm!J75</f>
        <v>0.3</v>
      </c>
      <c r="E60" s="303" t="n">
        <f aca="false">Assm!K75</f>
        <v>0.4</v>
      </c>
      <c r="F60" s="1054" t="s">
        <v>1087</v>
      </c>
      <c r="G60" s="1055" t="n">
        <v>36004</v>
      </c>
      <c r="H60" s="1054" t="s">
        <v>1029</v>
      </c>
      <c r="I60" s="1056"/>
    </row>
    <row r="61" customFormat="false" ht="13.5" hidden="false" customHeight="false" outlineLevel="0" collapsed="false">
      <c r="A61" s="1062"/>
      <c r="B61" s="1044" t="str">
        <f aca="false">Assm!H76</f>
        <v>Technical Services Fee</v>
      </c>
      <c r="C61" s="1157" t="n">
        <f aca="false">Assm!I76</f>
        <v>0</v>
      </c>
      <c r="D61" s="1158" t="n">
        <f aca="false">Assm!J76</f>
        <v>0</v>
      </c>
      <c r="E61" s="1159" t="n">
        <f aca="false">Assm!K76</f>
        <v>1</v>
      </c>
      <c r="F61" s="1046" t="s">
        <v>1087</v>
      </c>
      <c r="G61" s="1047" t="n">
        <v>36004</v>
      </c>
      <c r="H61" s="1046" t="s">
        <v>1029</v>
      </c>
      <c r="I61" s="1048"/>
    </row>
    <row r="62" customFormat="false" ht="13.5" hidden="false" customHeight="false" outlineLevel="0" collapsed="false"/>
    <row r="63" customFormat="false" ht="12.75" hidden="false" customHeight="false" outlineLevel="0" collapsed="false">
      <c r="A63" s="1050" t="str">
        <f aca="false">Assm!N49</f>
        <v>Project &amp; Enron Economics ($000)</v>
      </c>
      <c r="B63" s="1096" t="str">
        <f aca="false">CONCATENATE("Discount Rate = ",TEXT(Disc,"0.00%")," / Target Rate = ",TEXT(Target,"0.00%"))</f>
        <v>Discount Rate = 19.00% / Target Rate = 15.00%</v>
      </c>
      <c r="C63" s="1160"/>
      <c r="D63" s="122"/>
      <c r="E63" s="1161"/>
      <c r="F63" s="1162" t="s">
        <v>1127</v>
      </c>
      <c r="G63" s="1042" t="n">
        <v>35916</v>
      </c>
      <c r="H63" s="1041" t="s">
        <v>1128</v>
      </c>
      <c r="I63" s="1043" t="s">
        <v>1129</v>
      </c>
    </row>
    <row r="64" customFormat="false" ht="12.75" hidden="false" customHeight="false" outlineLevel="0" collapsed="false">
      <c r="A64" s="1052"/>
      <c r="B64" s="1069"/>
      <c r="C64" s="1085" t="s">
        <v>212</v>
      </c>
      <c r="D64" s="289" t="s">
        <v>213</v>
      </c>
      <c r="E64" s="1086"/>
      <c r="F64" s="1054"/>
      <c r="G64" s="1055"/>
      <c r="H64" s="1054"/>
      <c r="I64" s="1056"/>
    </row>
    <row r="65" customFormat="false" ht="12.75" hidden="false" customHeight="false" outlineLevel="0" collapsed="false">
      <c r="A65" s="1052"/>
      <c r="B65" s="1163" t="s">
        <v>497</v>
      </c>
      <c r="C65" s="1152" t="n">
        <f aca="false">IRR</f>
        <v>0.160054846205394</v>
      </c>
      <c r="D65" s="1093" t="n">
        <f aca="false">Assm!R51</f>
        <v>-13076.154731265</v>
      </c>
      <c r="E65" s="1094"/>
      <c r="F65" s="1054" t="s">
        <v>1035</v>
      </c>
      <c r="G65" s="1055"/>
      <c r="H65" s="1054"/>
      <c r="I65" s="1056"/>
    </row>
    <row r="66" customFormat="false" ht="13.5" hidden="false" customHeight="false" outlineLevel="0" collapsed="false">
      <c r="A66" s="1062"/>
      <c r="B66" s="1164" t="s">
        <v>507</v>
      </c>
      <c r="C66" s="1157" t="n">
        <f aca="false">Assm!Q54</f>
        <v>0.155504704154912</v>
      </c>
      <c r="D66" s="165" t="n">
        <f aca="false">Assm!R54</f>
        <v>-4395.8914403922</v>
      </c>
      <c r="E66" s="1165"/>
      <c r="F66" s="1046" t="s">
        <v>1035</v>
      </c>
      <c r="G66" s="1047"/>
      <c r="H66" s="1046"/>
      <c r="I66" s="1048"/>
    </row>
  </sheetData>
  <mergeCells count="2">
    <mergeCell ref="C7:E7"/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576" width="23.7"/>
    <col collapsed="false" customWidth="true" hidden="false" outlineLevel="0" max="9" min="9" style="1" width="40.7"/>
    <col collapsed="false" customWidth="false" hidden="false" outlineLevel="0" max="257" min="10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3"/>
      <c r="C1" s="116"/>
      <c r="D1" s="414"/>
      <c r="E1" s="414"/>
      <c r="F1" s="415"/>
      <c r="G1" s="15"/>
      <c r="H1" s="415"/>
      <c r="I1" s="415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3"/>
      <c r="C2" s="116"/>
      <c r="D2" s="414"/>
      <c r="E2" s="414"/>
      <c r="F2" s="415"/>
      <c r="G2" s="15"/>
      <c r="H2" s="415"/>
      <c r="I2" s="415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20"/>
      <c r="F3" s="415"/>
      <c r="G3" s="15"/>
      <c r="H3" s="415"/>
      <c r="I3" s="421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1130</v>
      </c>
      <c r="B4" s="1005"/>
      <c r="C4" s="116"/>
      <c r="D4" s="1005"/>
      <c r="E4" s="1005"/>
      <c r="F4" s="415"/>
      <c r="G4" s="15"/>
      <c r="H4" s="415"/>
      <c r="I4" s="421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1027"/>
      <c r="B6" s="941"/>
      <c r="C6" s="1028"/>
      <c r="D6" s="1029"/>
      <c r="E6" s="1030"/>
      <c r="F6" s="941"/>
      <c r="G6" s="941"/>
      <c r="H6" s="941" t="s">
        <v>1014</v>
      </c>
      <c r="I6" s="1031"/>
    </row>
    <row r="7" customFormat="false" ht="12.75" hidden="false" customHeight="false" outlineLevel="0" collapsed="false">
      <c r="A7" s="1032"/>
      <c r="B7" s="1026"/>
      <c r="C7" s="1026" t="s">
        <v>1072</v>
      </c>
      <c r="D7" s="1026"/>
      <c r="E7" s="1026"/>
      <c r="F7" s="1026"/>
      <c r="G7" s="1026" t="s">
        <v>1015</v>
      </c>
      <c r="H7" s="1026" t="s">
        <v>1016</v>
      </c>
      <c r="I7" s="1034"/>
    </row>
    <row r="8" customFormat="false" ht="13.5" hidden="false" customHeight="false" outlineLevel="0" collapsed="false">
      <c r="A8" s="1035" t="s">
        <v>1017</v>
      </c>
      <c r="B8" s="1037" t="s">
        <v>1018</v>
      </c>
      <c r="C8" s="1037" t="s">
        <v>1074</v>
      </c>
      <c r="D8" s="1037"/>
      <c r="E8" s="1037"/>
      <c r="F8" s="1037" t="s">
        <v>1020</v>
      </c>
      <c r="G8" s="1037" t="s">
        <v>1021</v>
      </c>
      <c r="H8" s="1037" t="s">
        <v>1022</v>
      </c>
      <c r="I8" s="1038" t="s">
        <v>1023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47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50" t="str">
        <f aca="false">Assm!T6</f>
        <v>Project Financing ($000)</v>
      </c>
      <c r="B10" s="25" t="str">
        <f aca="false">Assm!T8</f>
        <v>Tranche 1: MLA - OPIC</v>
      </c>
      <c r="C10" s="1166"/>
      <c r="D10" s="26"/>
      <c r="E10" s="26"/>
      <c r="F10" s="1167"/>
      <c r="G10" s="1042"/>
      <c r="H10" s="1041"/>
      <c r="I10" s="1043"/>
    </row>
    <row r="11" customFormat="false" ht="12.75" hidden="false" customHeight="false" outlineLevel="0" collapsed="false">
      <c r="A11" s="1052"/>
      <c r="B11" s="39" t="str">
        <f aca="false">Assm!T9</f>
        <v>Amount</v>
      </c>
      <c r="C11" s="1168" t="n">
        <f aca="false">Assm!X9</f>
        <v>93710.4555092785</v>
      </c>
      <c r="D11" s="39"/>
      <c r="F11" s="1169" t="s">
        <v>1131</v>
      </c>
      <c r="G11" s="1055" t="n">
        <v>36391</v>
      </c>
      <c r="H11" s="1054" t="s">
        <v>1045</v>
      </c>
      <c r="I11" s="1056" t="s">
        <v>1132</v>
      </c>
    </row>
    <row r="12" customFormat="false" ht="12.75" hidden="false" customHeight="false" outlineLevel="0" collapsed="false">
      <c r="A12" s="1052"/>
      <c r="B12" s="39" t="str">
        <f aca="false">Assm!T10</f>
        <v>Loan Amortization (1=S/L, 2=MTG, 3=Custom)</v>
      </c>
      <c r="C12" s="1170" t="str">
        <f aca="false">IF(Assm!X10=0,"Not Amortized",CHOOSE(Assm!X10,"Straightline","Mortgage","Custom"))</f>
        <v>Custom</v>
      </c>
      <c r="D12" s="39"/>
      <c r="F12" s="1169"/>
      <c r="G12" s="1055"/>
      <c r="H12" s="1054"/>
      <c r="I12" s="1056"/>
    </row>
    <row r="13" customFormat="false" ht="12.75" hidden="false" customHeight="false" outlineLevel="0" collapsed="false">
      <c r="A13" s="1052"/>
      <c r="B13" s="39" t="str">
        <f aca="false">Assm!T11</f>
        <v>Term (Years) - Post Closing</v>
      </c>
      <c r="C13" s="1171" t="n">
        <f aca="false">Assm!X11</f>
        <v>29</v>
      </c>
      <c r="D13" s="39"/>
      <c r="F13" s="1169"/>
      <c r="G13" s="1055"/>
      <c r="H13" s="1054"/>
      <c r="I13" s="1056"/>
    </row>
    <row r="14" customFormat="false" ht="12.75" hidden="false" customHeight="false" outlineLevel="0" collapsed="false">
      <c r="A14" s="1052"/>
      <c r="B14" s="39" t="str">
        <f aca="false">Assm!T12</f>
        <v>Grace (Periods) - Post Closing</v>
      </c>
      <c r="C14" s="1171" t="n">
        <f aca="false">Assm!X12</f>
        <v>1</v>
      </c>
      <c r="D14" s="39"/>
      <c r="F14" s="1169"/>
      <c r="G14" s="1055"/>
      <c r="H14" s="1054"/>
      <c r="I14" s="1056"/>
    </row>
    <row r="15" customFormat="false" ht="12.75" hidden="false" customHeight="false" outlineLevel="0" collapsed="false">
      <c r="A15" s="1052"/>
      <c r="B15" s="39" t="str">
        <f aca="false">Assm!T13</f>
        <v>Average Life Of Loan (Years)</v>
      </c>
      <c r="C15" s="1171" t="n">
        <f aca="false">Assm!X13</f>
        <v>10.4</v>
      </c>
      <c r="D15" s="39"/>
      <c r="F15" s="1169"/>
      <c r="G15" s="1055"/>
      <c r="H15" s="1054"/>
      <c r="I15" s="1056"/>
    </row>
    <row r="16" customFormat="false" ht="12.75" hidden="false" customHeight="false" outlineLevel="0" collapsed="false">
      <c r="A16" s="1052"/>
      <c r="B16" s="39" t="str">
        <f aca="false">Assm!T14</f>
        <v>Interest Rate / Spread</v>
      </c>
      <c r="C16" s="1120" t="n">
        <f aca="false">Assm!X14</f>
        <v>0.1101</v>
      </c>
      <c r="D16" s="39"/>
      <c r="F16" s="1169"/>
      <c r="G16" s="1055"/>
      <c r="H16" s="1054"/>
      <c r="I16" s="1056"/>
    </row>
    <row r="17" customFormat="false" ht="12.75" hidden="false" customHeight="false" outlineLevel="0" collapsed="false">
      <c r="A17" s="1052"/>
      <c r="B17" s="39" t="str">
        <f aca="false">Assm!T15</f>
        <v>Upfront Fee</v>
      </c>
      <c r="C17" s="1172" t="n">
        <f aca="false">Assm!X15</f>
        <v>0.015</v>
      </c>
      <c r="D17" s="39"/>
      <c r="F17" s="1169"/>
      <c r="G17" s="1055"/>
      <c r="H17" s="1054"/>
      <c r="I17" s="1056"/>
    </row>
    <row r="18" customFormat="false" ht="12.75" hidden="false" customHeight="false" outlineLevel="0" collapsed="false">
      <c r="A18" s="1052"/>
      <c r="B18" s="39" t="str">
        <f aca="false">Assm!T16</f>
        <v>Commitment Fee</v>
      </c>
      <c r="C18" s="1172" t="n">
        <f aca="false">Assm!X16</f>
        <v>0.005</v>
      </c>
      <c r="D18" s="39"/>
      <c r="F18" s="1169"/>
      <c r="G18" s="1055"/>
      <c r="H18" s="1054"/>
      <c r="I18" s="1056"/>
    </row>
    <row r="19" customFormat="false" ht="12.75" hidden="false" customHeight="false" outlineLevel="0" collapsed="false">
      <c r="A19" s="1052"/>
      <c r="B19" s="38" t="str">
        <f aca="false">Assm!T17</f>
        <v>Tranche 2: KFW (Uncovered Loan)</v>
      </c>
      <c r="C19" s="1173"/>
      <c r="D19" s="39"/>
      <c r="F19" s="1169"/>
      <c r="G19" s="1055"/>
      <c r="H19" s="1054"/>
      <c r="I19" s="1056"/>
    </row>
    <row r="20" customFormat="false" ht="12.75" hidden="false" customHeight="false" outlineLevel="0" collapsed="false">
      <c r="A20" s="1052"/>
      <c r="B20" s="39" t="str">
        <f aca="false">Assm!T18</f>
        <v>Amount</v>
      </c>
      <c r="C20" s="1168" t="n">
        <f aca="false">Assm!X18</f>
        <v>0</v>
      </c>
      <c r="D20" s="39"/>
      <c r="F20" s="1169" t="s">
        <v>1131</v>
      </c>
      <c r="G20" s="1055" t="n">
        <v>36391</v>
      </c>
      <c r="H20" s="1054" t="s">
        <v>1045</v>
      </c>
      <c r="I20" s="1056" t="s">
        <v>1132</v>
      </c>
    </row>
    <row r="21" customFormat="false" ht="12.75" hidden="false" customHeight="false" outlineLevel="0" collapsed="false">
      <c r="A21" s="1052"/>
      <c r="B21" s="39" t="str">
        <f aca="false">Assm!T19</f>
        <v>Loan Amortization (1=S/L, 2=MTG, 3=Custom)</v>
      </c>
      <c r="C21" s="1170" t="str">
        <f aca="false">IF(Assm!X19=0,"Not Amortized",CHOOSE(Assm!X19,"Straightline","Mortgage","Custom"))</f>
        <v>Mortgage</v>
      </c>
      <c r="D21" s="39"/>
      <c r="F21" s="1169"/>
      <c r="G21" s="1055"/>
      <c r="H21" s="1054"/>
      <c r="I21" s="1056"/>
    </row>
    <row r="22" customFormat="false" ht="12.75" hidden="false" customHeight="false" outlineLevel="0" collapsed="false">
      <c r="A22" s="1052"/>
      <c r="B22" s="39" t="str">
        <f aca="false">Assm!T20</f>
        <v>Term (Years) - Post Closing</v>
      </c>
      <c r="C22" s="1171" t="n">
        <f aca="false">Assm!X20</f>
        <v>0</v>
      </c>
      <c r="D22" s="39"/>
      <c r="F22" s="1169"/>
      <c r="G22" s="1055"/>
      <c r="H22" s="1054"/>
      <c r="I22" s="1056"/>
    </row>
    <row r="23" customFormat="false" ht="12.75" hidden="false" customHeight="false" outlineLevel="0" collapsed="false">
      <c r="A23" s="1052"/>
      <c r="B23" s="39" t="str">
        <f aca="false">Assm!T21</f>
        <v>Grace (Periods) - Post Closing</v>
      </c>
      <c r="C23" s="1171" t="n">
        <f aca="false">Assm!X21</f>
        <v>1</v>
      </c>
      <c r="D23" s="39"/>
      <c r="F23" s="1169"/>
      <c r="G23" s="1055"/>
      <c r="H23" s="1054"/>
      <c r="I23" s="1056"/>
    </row>
    <row r="24" customFormat="false" ht="12.75" hidden="false" customHeight="false" outlineLevel="0" collapsed="false">
      <c r="A24" s="1052"/>
      <c r="B24" s="39" t="str">
        <f aca="false">Assm!T22</f>
        <v>Average Life Of Loan</v>
      </c>
      <c r="C24" s="1171" t="n">
        <f aca="false">Assm!X22</f>
        <v>0</v>
      </c>
      <c r="D24" s="39"/>
      <c r="F24" s="1169"/>
      <c r="G24" s="1055"/>
      <c r="H24" s="1054"/>
      <c r="I24" s="1056"/>
    </row>
    <row r="25" customFormat="false" ht="12.75" hidden="false" customHeight="false" outlineLevel="0" collapsed="false">
      <c r="A25" s="1052"/>
      <c r="B25" s="39" t="str">
        <f aca="false">Assm!T23</f>
        <v>Interest Rate / Spread</v>
      </c>
      <c r="C25" s="1120" t="n">
        <f aca="false">Assm!X23</f>
        <v>0.0927</v>
      </c>
      <c r="D25" s="39"/>
      <c r="F25" s="1169"/>
      <c r="G25" s="1055"/>
      <c r="H25" s="1054"/>
      <c r="I25" s="1056"/>
    </row>
    <row r="26" customFormat="false" ht="12.75" hidden="false" customHeight="false" outlineLevel="0" collapsed="false">
      <c r="A26" s="1052"/>
      <c r="B26" s="39" t="str">
        <f aca="false">Assm!T24</f>
        <v>Upfront Fee</v>
      </c>
      <c r="C26" s="1172" t="n">
        <f aca="false">Assm!X24</f>
        <v>0.015</v>
      </c>
      <c r="D26" s="39"/>
      <c r="F26" s="1169"/>
      <c r="G26" s="1055"/>
      <c r="H26" s="1054"/>
      <c r="I26" s="1056"/>
    </row>
    <row r="27" customFormat="false" ht="12.75" hidden="false" customHeight="false" outlineLevel="0" collapsed="false">
      <c r="A27" s="1052"/>
      <c r="B27" s="39" t="str">
        <f aca="false">Assm!T25</f>
        <v>Commitment Fee</v>
      </c>
      <c r="C27" s="1172" t="n">
        <f aca="false">Assm!X25</f>
        <v>0.0025</v>
      </c>
      <c r="D27" s="39"/>
      <c r="F27" s="1169"/>
      <c r="G27" s="1055"/>
      <c r="H27" s="1054"/>
      <c r="I27" s="1056"/>
    </row>
    <row r="28" customFormat="false" ht="12.75" hidden="false" customHeight="false" outlineLevel="0" collapsed="false">
      <c r="A28" s="1052"/>
      <c r="B28" s="38" t="str">
        <f aca="false">Assm!T26</f>
        <v>Tranche 3: </v>
      </c>
      <c r="C28" s="1173"/>
      <c r="D28" s="39"/>
      <c r="F28" s="1169"/>
      <c r="G28" s="1055"/>
      <c r="H28" s="1054"/>
      <c r="I28" s="1056"/>
    </row>
    <row r="29" customFormat="false" ht="12.75" hidden="false" customHeight="false" outlineLevel="0" collapsed="false">
      <c r="A29" s="1052"/>
      <c r="B29" s="39" t="str">
        <f aca="false">Assm!T27</f>
        <v>Amount</v>
      </c>
      <c r="C29" s="1168" t="n">
        <f aca="false">Assm!X27</f>
        <v>0</v>
      </c>
      <c r="D29" s="39"/>
      <c r="F29" s="1169" t="s">
        <v>1131</v>
      </c>
      <c r="G29" s="1055" t="n">
        <v>36391</v>
      </c>
      <c r="H29" s="1054" t="s">
        <v>1045</v>
      </c>
      <c r="I29" s="1056" t="s">
        <v>1132</v>
      </c>
    </row>
    <row r="30" customFormat="false" ht="12.75" hidden="false" customHeight="false" outlineLevel="0" collapsed="false">
      <c r="A30" s="1052"/>
      <c r="B30" s="39" t="str">
        <f aca="false">Assm!T28</f>
        <v>Loan Amortization (1=S/L, 2=MTG, 3=Custom)</v>
      </c>
      <c r="C30" s="1170" t="str">
        <f aca="false">IF(Assm!X28=0,"Not Amortized",CHOOSE(Assm!X28,"Straightline","Mortgage","Custom"))</f>
        <v>Not Amortized</v>
      </c>
      <c r="D30" s="39"/>
      <c r="F30" s="1169"/>
      <c r="G30" s="1055"/>
      <c r="H30" s="1054"/>
      <c r="I30" s="1056"/>
    </row>
    <row r="31" customFormat="false" ht="12.75" hidden="false" customHeight="false" outlineLevel="0" collapsed="false">
      <c r="A31" s="1052"/>
      <c r="B31" s="39" t="str">
        <f aca="false">Assm!T29</f>
        <v>Term (Years) - Post Closing</v>
      </c>
      <c r="C31" s="1171" t="n">
        <f aca="false">Assm!X29</f>
        <v>0</v>
      </c>
      <c r="D31" s="39"/>
      <c r="F31" s="1169"/>
      <c r="G31" s="1055"/>
      <c r="H31" s="1054"/>
      <c r="I31" s="1056"/>
    </row>
    <row r="32" customFormat="false" ht="12.75" hidden="false" customHeight="false" outlineLevel="0" collapsed="false">
      <c r="A32" s="1052"/>
      <c r="B32" s="39" t="str">
        <f aca="false">Assm!T30</f>
        <v>Grace (Periods) - Post Closing</v>
      </c>
      <c r="C32" s="1171" t="n">
        <f aca="false">Assm!X30</f>
        <v>0</v>
      </c>
      <c r="D32" s="39"/>
      <c r="F32" s="1169"/>
      <c r="G32" s="1055"/>
      <c r="H32" s="1054"/>
      <c r="I32" s="1056"/>
    </row>
    <row r="33" customFormat="false" ht="12.75" hidden="false" customHeight="false" outlineLevel="0" collapsed="false">
      <c r="A33" s="1052"/>
      <c r="B33" s="39" t="str">
        <f aca="false">Assm!T31</f>
        <v>Average Life Of Loan (Years)</v>
      </c>
      <c r="C33" s="1171" t="n">
        <f aca="false">Assm!X31</f>
        <v>0</v>
      </c>
      <c r="D33" s="39"/>
      <c r="F33" s="1169"/>
      <c r="G33" s="1055"/>
      <c r="H33" s="1054"/>
      <c r="I33" s="1056"/>
    </row>
    <row r="34" customFormat="false" ht="12.75" hidden="false" customHeight="false" outlineLevel="0" collapsed="false">
      <c r="A34" s="1052"/>
      <c r="B34" s="39" t="str">
        <f aca="false">Assm!T32</f>
        <v>Interest Rate / Spread</v>
      </c>
      <c r="C34" s="1120" t="n">
        <f aca="false">Assm!X32</f>
        <v>0</v>
      </c>
      <c r="D34" s="39"/>
      <c r="F34" s="1169"/>
      <c r="G34" s="1055"/>
      <c r="H34" s="1054"/>
      <c r="I34" s="1056"/>
    </row>
    <row r="35" customFormat="false" ht="12.75" hidden="false" customHeight="false" outlineLevel="0" collapsed="false">
      <c r="A35" s="1052"/>
      <c r="B35" s="39" t="str">
        <f aca="false">Assm!T33</f>
        <v>Upfront Fee</v>
      </c>
      <c r="C35" s="1172" t="n">
        <f aca="false">Assm!X33</f>
        <v>0</v>
      </c>
      <c r="D35" s="39"/>
      <c r="F35" s="1169"/>
      <c r="G35" s="1055"/>
      <c r="H35" s="1054"/>
      <c r="I35" s="1056"/>
    </row>
    <row r="36" customFormat="false" ht="12.75" hidden="false" customHeight="false" outlineLevel="0" collapsed="false">
      <c r="A36" s="1052"/>
      <c r="B36" s="39" t="str">
        <f aca="false">Assm!T34</f>
        <v>Commitment Fee</v>
      </c>
      <c r="C36" s="1172" t="n">
        <f aca="false">Assm!X34</f>
        <v>0</v>
      </c>
      <c r="D36" s="39"/>
      <c r="F36" s="1169"/>
      <c r="G36" s="1055"/>
      <c r="H36" s="1054"/>
      <c r="I36" s="1056"/>
    </row>
    <row r="37" customFormat="false" ht="12.75" hidden="false" customHeight="false" outlineLevel="0" collapsed="false">
      <c r="A37" s="1052"/>
      <c r="B37" s="38" t="str">
        <f aca="false">Assm!T35</f>
        <v>Tranche 4:</v>
      </c>
      <c r="C37" s="1173"/>
      <c r="D37" s="39"/>
      <c r="F37" s="1169"/>
      <c r="G37" s="1055"/>
      <c r="H37" s="1054"/>
      <c r="I37" s="1056"/>
    </row>
    <row r="38" customFormat="false" ht="12.75" hidden="false" customHeight="false" outlineLevel="0" collapsed="false">
      <c r="A38" s="1052"/>
      <c r="B38" s="39" t="str">
        <f aca="false">Assm!T36</f>
        <v>Amount</v>
      </c>
      <c r="C38" s="1168" t="n">
        <f aca="false">Assm!X36</f>
        <v>0</v>
      </c>
      <c r="D38" s="39"/>
      <c r="F38" s="1169" t="s">
        <v>1131</v>
      </c>
      <c r="G38" s="1055" t="n">
        <v>36391</v>
      </c>
      <c r="H38" s="1054" t="s">
        <v>1045</v>
      </c>
      <c r="I38" s="1056" t="s">
        <v>1132</v>
      </c>
    </row>
    <row r="39" customFormat="false" ht="12.75" hidden="false" customHeight="false" outlineLevel="0" collapsed="false">
      <c r="A39" s="1052"/>
      <c r="B39" s="39" t="str">
        <f aca="false">Assm!T37</f>
        <v>Loan Amortization (1=S/L, 2=MTG, 3=Custom)</v>
      </c>
      <c r="C39" s="1170" t="str">
        <f aca="false">IF(Assm!X37=0,"Not Amortized",CHOOSE(Assm!X37,"Straightline","Mortgage","Custom"))</f>
        <v>Not Amortized</v>
      </c>
      <c r="D39" s="39"/>
      <c r="F39" s="1169"/>
      <c r="G39" s="1055"/>
      <c r="H39" s="1054"/>
      <c r="I39" s="1056"/>
    </row>
    <row r="40" customFormat="false" ht="12.75" hidden="false" customHeight="false" outlineLevel="0" collapsed="false">
      <c r="A40" s="1052"/>
      <c r="B40" s="39" t="str">
        <f aca="false">Assm!T38</f>
        <v>Term (Years) - Post Closing</v>
      </c>
      <c r="C40" s="1171" t="n">
        <f aca="false">Assm!X38</f>
        <v>0</v>
      </c>
      <c r="D40" s="39"/>
      <c r="F40" s="1169"/>
      <c r="G40" s="1055"/>
      <c r="H40" s="1054"/>
      <c r="I40" s="1056"/>
    </row>
    <row r="41" customFormat="false" ht="12.75" hidden="false" customHeight="false" outlineLevel="0" collapsed="false">
      <c r="A41" s="1052"/>
      <c r="B41" s="39" t="str">
        <f aca="false">Assm!T39</f>
        <v>Grace (Periods) - Post Closing</v>
      </c>
      <c r="C41" s="1171" t="n">
        <f aca="false">Assm!X39</f>
        <v>0</v>
      </c>
      <c r="D41" s="39"/>
      <c r="F41" s="1169"/>
      <c r="G41" s="1055"/>
      <c r="H41" s="1054"/>
      <c r="I41" s="1056"/>
    </row>
    <row r="42" customFormat="false" ht="12.75" hidden="false" customHeight="false" outlineLevel="0" collapsed="false">
      <c r="A42" s="1052"/>
      <c r="B42" s="39" t="str">
        <f aca="false">Assm!T40</f>
        <v>Average Life Of Loan (Years)</v>
      </c>
      <c r="C42" s="1171" t="n">
        <f aca="false">Assm!X40</f>
        <v>0</v>
      </c>
      <c r="D42" s="39"/>
      <c r="F42" s="1169"/>
      <c r="G42" s="1055"/>
      <c r="H42" s="1054"/>
      <c r="I42" s="1056"/>
    </row>
    <row r="43" customFormat="false" ht="12.75" hidden="false" customHeight="false" outlineLevel="0" collapsed="false">
      <c r="A43" s="1052"/>
      <c r="B43" s="39" t="str">
        <f aca="false">Assm!T41</f>
        <v>Interest Rate / Spread</v>
      </c>
      <c r="C43" s="1120" t="n">
        <f aca="false">Assm!X41</f>
        <v>0</v>
      </c>
      <c r="D43" s="39"/>
      <c r="F43" s="1169"/>
      <c r="G43" s="1055"/>
      <c r="H43" s="1054"/>
      <c r="I43" s="1056"/>
    </row>
    <row r="44" customFormat="false" ht="12.75" hidden="false" customHeight="false" outlineLevel="0" collapsed="false">
      <c r="A44" s="1052"/>
      <c r="B44" s="39" t="str">
        <f aca="false">Assm!T42</f>
        <v>Upfront Fee</v>
      </c>
      <c r="C44" s="1120" t="n">
        <f aca="false">Assm!X42</f>
        <v>0</v>
      </c>
      <c r="D44" s="39"/>
      <c r="F44" s="1169"/>
      <c r="G44" s="1055"/>
      <c r="H44" s="1054"/>
      <c r="I44" s="1056"/>
    </row>
    <row r="45" customFormat="false" ht="12.75" hidden="false" customHeight="false" outlineLevel="0" collapsed="false">
      <c r="A45" s="1052"/>
      <c r="B45" s="39" t="str">
        <f aca="false">Assm!T43</f>
        <v>Commitment Fee</v>
      </c>
      <c r="C45" s="1120" t="n">
        <f aca="false">Assm!X43</f>
        <v>0</v>
      </c>
      <c r="D45" s="39"/>
      <c r="F45" s="1169"/>
      <c r="G45" s="1055"/>
      <c r="H45" s="1054"/>
      <c r="I45" s="1056"/>
    </row>
    <row r="46" customFormat="false" ht="12.75" hidden="false" customHeight="false" outlineLevel="0" collapsed="false">
      <c r="A46" s="1052"/>
      <c r="B46" s="38" t="str">
        <f aca="false">Assm!T44</f>
        <v>Tranche 5:</v>
      </c>
      <c r="C46" s="1173"/>
      <c r="D46" s="39"/>
      <c r="F46" s="1169"/>
      <c r="G46" s="1055"/>
      <c r="H46" s="1054"/>
      <c r="I46" s="1056"/>
    </row>
    <row r="47" customFormat="false" ht="12.75" hidden="false" customHeight="false" outlineLevel="0" collapsed="false">
      <c r="A47" s="1052"/>
      <c r="B47" s="39" t="str">
        <f aca="false">Assm!T45</f>
        <v>Amount</v>
      </c>
      <c r="C47" s="1168" t="n">
        <f aca="false">Assm!X45</f>
        <v>0</v>
      </c>
      <c r="D47" s="39"/>
      <c r="F47" s="1169" t="s">
        <v>1131</v>
      </c>
      <c r="G47" s="1055" t="n">
        <v>36391</v>
      </c>
      <c r="H47" s="1054" t="s">
        <v>1045</v>
      </c>
      <c r="I47" s="1056" t="s">
        <v>1132</v>
      </c>
    </row>
    <row r="48" customFormat="false" ht="12.75" hidden="false" customHeight="false" outlineLevel="0" collapsed="false">
      <c r="A48" s="1052"/>
      <c r="B48" s="39" t="str">
        <f aca="false">Assm!T46</f>
        <v>Loan Amortization (1=S/L, 2=MTG, 3=Custom)</v>
      </c>
      <c r="C48" s="1170" t="str">
        <f aca="false">IF(Assm!X46=0,"Not Amortized",CHOOSE(Assm!X46,"Straightline","Mortgage","Custom"))</f>
        <v>Not Amortized</v>
      </c>
      <c r="D48" s="39"/>
      <c r="F48" s="1169"/>
      <c r="G48" s="1055"/>
      <c r="H48" s="1054"/>
      <c r="I48" s="1056"/>
    </row>
    <row r="49" customFormat="false" ht="12.75" hidden="false" customHeight="false" outlineLevel="0" collapsed="false">
      <c r="A49" s="1052"/>
      <c r="B49" s="39" t="str">
        <f aca="false">Assm!T47</f>
        <v>Term (Years) - Post Closing</v>
      </c>
      <c r="C49" s="1171" t="n">
        <f aca="false">Assm!X47</f>
        <v>0</v>
      </c>
      <c r="D49" s="39"/>
      <c r="F49" s="1169"/>
      <c r="G49" s="1055"/>
      <c r="H49" s="1054"/>
      <c r="I49" s="1056"/>
    </row>
    <row r="50" customFormat="false" ht="12.75" hidden="false" customHeight="false" outlineLevel="0" collapsed="false">
      <c r="A50" s="1052"/>
      <c r="B50" s="39" t="str">
        <f aca="false">Assm!T48</f>
        <v>Grace (Periods) - Post Closing</v>
      </c>
      <c r="C50" s="1171" t="n">
        <f aca="false">Assm!X48</f>
        <v>0</v>
      </c>
      <c r="D50" s="39"/>
      <c r="F50" s="1169"/>
      <c r="G50" s="1055"/>
      <c r="H50" s="1054"/>
      <c r="I50" s="1056"/>
    </row>
    <row r="51" customFormat="false" ht="12.75" hidden="false" customHeight="false" outlineLevel="0" collapsed="false">
      <c r="A51" s="1052"/>
      <c r="B51" s="39" t="str">
        <f aca="false">Assm!T49</f>
        <v>Average Life Of Loan (Years)</v>
      </c>
      <c r="C51" s="1171" t="n">
        <f aca="false">Assm!X49</f>
        <v>0</v>
      </c>
      <c r="D51" s="39"/>
      <c r="F51" s="1169"/>
      <c r="G51" s="1055"/>
      <c r="H51" s="1054"/>
      <c r="I51" s="1056"/>
    </row>
    <row r="52" customFormat="false" ht="12.75" hidden="false" customHeight="false" outlineLevel="0" collapsed="false">
      <c r="A52" s="1052"/>
      <c r="B52" s="39" t="str">
        <f aca="false">Assm!T50</f>
        <v>Interest Rate / Spread</v>
      </c>
      <c r="C52" s="1120" t="n">
        <f aca="false">Assm!X50</f>
        <v>0</v>
      </c>
      <c r="D52" s="39"/>
      <c r="F52" s="1169"/>
      <c r="G52" s="1055"/>
      <c r="H52" s="1054"/>
      <c r="I52" s="1056"/>
    </row>
    <row r="53" customFormat="false" ht="12.75" hidden="false" customHeight="false" outlineLevel="0" collapsed="false">
      <c r="A53" s="1052"/>
      <c r="B53" s="39" t="str">
        <f aca="false">Assm!T51</f>
        <v>Upfront Fee</v>
      </c>
      <c r="C53" s="1120" t="n">
        <f aca="false">Assm!X51</f>
        <v>0</v>
      </c>
      <c r="D53" s="39"/>
      <c r="F53" s="1169"/>
      <c r="G53" s="1055"/>
      <c r="H53" s="1054"/>
      <c r="I53" s="1056"/>
    </row>
    <row r="54" customFormat="false" ht="12.75" hidden="false" customHeight="false" outlineLevel="0" collapsed="false">
      <c r="A54" s="1052"/>
      <c r="B54" s="39" t="str">
        <f aca="false">Assm!T52</f>
        <v>Commitment Fee</v>
      </c>
      <c r="C54" s="1120" t="n">
        <f aca="false">Assm!X52</f>
        <v>0</v>
      </c>
      <c r="D54" s="39"/>
      <c r="F54" s="1169"/>
      <c r="G54" s="1055"/>
      <c r="H54" s="1054"/>
      <c r="I54" s="1056"/>
    </row>
    <row r="55" customFormat="false" ht="12.75" hidden="false" customHeight="false" outlineLevel="0" collapsed="false">
      <c r="A55" s="1052"/>
      <c r="B55" s="38" t="str">
        <f aca="false">Assm!T53</f>
        <v>Tranche 6: Subordinated Debt</v>
      </c>
      <c r="C55" s="1173"/>
      <c r="D55" s="39"/>
      <c r="F55" s="1169"/>
      <c r="G55" s="1055"/>
      <c r="H55" s="1054"/>
      <c r="I55" s="1056"/>
    </row>
    <row r="56" customFormat="false" ht="12.75" hidden="false" customHeight="false" outlineLevel="0" collapsed="false">
      <c r="A56" s="1052"/>
      <c r="B56" s="39" t="str">
        <f aca="false">Assm!T54</f>
        <v>Amount</v>
      </c>
      <c r="C56" s="1168" t="n">
        <f aca="false">Assm!X54</f>
        <v>2473.63699618568</v>
      </c>
      <c r="D56" s="39"/>
      <c r="F56" s="1169" t="s">
        <v>1131</v>
      </c>
      <c r="G56" s="1055" t="n">
        <v>36391</v>
      </c>
      <c r="H56" s="1054" t="s">
        <v>1045</v>
      </c>
      <c r="I56" s="1056" t="s">
        <v>1132</v>
      </c>
    </row>
    <row r="57" customFormat="false" ht="12.75" hidden="false" customHeight="false" outlineLevel="0" collapsed="false">
      <c r="A57" s="1052"/>
      <c r="B57" s="39" t="str">
        <f aca="false">Assm!T55</f>
        <v>Loan Amortization (1=S/L, 2=MTG, 3=Custom)</v>
      </c>
      <c r="C57" s="1170" t="str">
        <f aca="false">IF(Assm!X55=0,"Not Amortized",CHOOSE(Assm!X55,"Straightline","Mortgage","Custom"))</f>
        <v>Mortgage</v>
      </c>
      <c r="D57" s="39"/>
      <c r="F57" s="1169"/>
      <c r="G57" s="1055"/>
      <c r="H57" s="1054"/>
      <c r="I57" s="1056"/>
    </row>
    <row r="58" customFormat="false" ht="12.75" hidden="false" customHeight="false" outlineLevel="0" collapsed="false">
      <c r="A58" s="1052"/>
      <c r="B58" s="39" t="str">
        <f aca="false">Assm!T56</f>
        <v>Term (Years) - Post Closing</v>
      </c>
      <c r="C58" s="1171" t="n">
        <f aca="false">Assm!X56</f>
        <v>23</v>
      </c>
      <c r="D58" s="39"/>
      <c r="F58" s="1169"/>
      <c r="G58" s="1055"/>
      <c r="H58" s="1054"/>
      <c r="I58" s="1056"/>
    </row>
    <row r="59" customFormat="false" ht="12.75" hidden="false" customHeight="false" outlineLevel="0" collapsed="false">
      <c r="A59" s="1052"/>
      <c r="B59" s="39" t="str">
        <f aca="false">Assm!T57</f>
        <v>Grace (Periods) - Post Closing</v>
      </c>
      <c r="C59" s="1171" t="n">
        <f aca="false">Assm!X57</f>
        <v>1</v>
      </c>
      <c r="D59" s="39"/>
      <c r="F59" s="1169"/>
      <c r="G59" s="1055"/>
      <c r="H59" s="1054"/>
      <c r="I59" s="1056"/>
    </row>
    <row r="60" customFormat="false" ht="12.75" hidden="false" customHeight="false" outlineLevel="0" collapsed="false">
      <c r="A60" s="1052"/>
      <c r="B60" s="39" t="str">
        <f aca="false">Assm!T58</f>
        <v>Average Life Of Loan (Years)</v>
      </c>
      <c r="C60" s="1171" t="n">
        <f aca="false">Assm!X58</f>
        <v>8.9</v>
      </c>
      <c r="D60" s="39"/>
      <c r="F60" s="1169"/>
      <c r="G60" s="1055"/>
      <c r="H60" s="1054"/>
      <c r="I60" s="1056"/>
    </row>
    <row r="61" customFormat="false" ht="12.75" hidden="false" customHeight="false" outlineLevel="0" collapsed="false">
      <c r="A61" s="1052"/>
      <c r="B61" s="39" t="str">
        <f aca="false">Assm!T59</f>
        <v>Interest Rate / Spread</v>
      </c>
      <c r="C61" s="1120" t="n">
        <f aca="false">Assm!X59</f>
        <v>0.13</v>
      </c>
      <c r="D61" s="39"/>
      <c r="F61" s="1169"/>
      <c r="G61" s="1055"/>
      <c r="H61" s="1054"/>
      <c r="I61" s="1056"/>
    </row>
    <row r="62" customFormat="false" ht="12.75" hidden="false" customHeight="false" outlineLevel="0" collapsed="false">
      <c r="A62" s="1052"/>
      <c r="B62" s="39" t="str">
        <f aca="false">Assm!T60</f>
        <v>Upfront Fee</v>
      </c>
      <c r="C62" s="1120" t="n">
        <f aca="false">Assm!X60</f>
        <v>0</v>
      </c>
      <c r="D62" s="39"/>
      <c r="F62" s="1169"/>
      <c r="G62" s="1055"/>
      <c r="H62" s="1054"/>
      <c r="I62" s="1056"/>
    </row>
    <row r="63" customFormat="false" ht="13.5" hidden="false" customHeight="false" outlineLevel="0" collapsed="false">
      <c r="A63" s="1062"/>
      <c r="B63" s="22" t="str">
        <f aca="false">Assm!T61</f>
        <v>Commitment Fee</v>
      </c>
      <c r="C63" s="1123" t="n">
        <f aca="false">Assm!X61</f>
        <v>0</v>
      </c>
      <c r="D63" s="22"/>
      <c r="E63" s="22"/>
      <c r="F63" s="1174"/>
      <c r="G63" s="1047"/>
      <c r="H63" s="1046"/>
      <c r="I63" s="1048"/>
    </row>
    <row r="64" customFormat="false" ht="13.5" hidden="false" customHeight="false" outlineLevel="0" collapsed="false"/>
    <row r="65" customFormat="false" ht="12.75" hidden="false" customHeight="false" outlineLevel="0" collapsed="false">
      <c r="A65" s="1050" t="str">
        <f aca="false">Assm!T67</f>
        <v>Capital Structure ($000)</v>
      </c>
      <c r="B65" s="1039" t="str">
        <f aca="false">Assm!T68</f>
        <v>Senior Debt</v>
      </c>
      <c r="C65" s="1131" t="n">
        <f aca="false">Assm!W68</f>
        <v>0.6</v>
      </c>
      <c r="D65" s="1175" t="n">
        <f aca="false">Assm!$X$68</f>
        <v>93710.4555092785</v>
      </c>
      <c r="E65" s="1176"/>
      <c r="F65" s="1167" t="s">
        <v>1131</v>
      </c>
      <c r="G65" s="1042" t="n">
        <v>36391</v>
      </c>
      <c r="H65" s="1041" t="s">
        <v>1045</v>
      </c>
      <c r="I65" s="1043" t="s">
        <v>1132</v>
      </c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</row>
    <row r="66" customFormat="false" ht="12.75" hidden="false" customHeight="false" outlineLevel="0" collapsed="false">
      <c r="A66" s="1052"/>
      <c r="B66" s="1069" t="str">
        <f aca="false">Assm!T70</f>
        <v>Equity</v>
      </c>
      <c r="C66" s="1177" t="n">
        <f aca="false">Assm!W70</f>
        <v>0.384162042648865</v>
      </c>
      <c r="D66" s="1178" t="n">
        <f aca="false">Assm!$X$70</f>
        <v>60000.00001</v>
      </c>
      <c r="E66" s="1179"/>
      <c r="F66" s="1169" t="s">
        <v>1131</v>
      </c>
      <c r="G66" s="1055" t="n">
        <v>36391</v>
      </c>
      <c r="H66" s="1054" t="s">
        <v>1045</v>
      </c>
      <c r="I66" s="1056" t="s">
        <v>1132</v>
      </c>
    </row>
    <row r="67" customFormat="false" ht="13.5" hidden="false" customHeight="false" outlineLevel="0" collapsed="false">
      <c r="A67" s="1062"/>
      <c r="B67" s="1044" t="str">
        <f aca="false">Assm!T71</f>
        <v>Total Investment</v>
      </c>
      <c r="C67" s="1180" t="n">
        <f aca="false">SUM(C65:C66)</f>
        <v>0.984162042648865</v>
      </c>
      <c r="D67" s="1181" t="n">
        <f aca="false">SUM(D65:D66)</f>
        <v>153710.455519279</v>
      </c>
      <c r="E67" s="1182"/>
      <c r="F67" s="1183"/>
      <c r="G67" s="1047"/>
      <c r="H67" s="1046"/>
      <c r="I67" s="1048"/>
    </row>
  </sheetData>
  <mergeCells count="2">
    <mergeCell ref="C7:E7"/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7.7"/>
    <col collapsed="false" customWidth="true" hidden="false" outlineLevel="0" max="2" min="2" style="1" width="50.7"/>
    <col collapsed="false" customWidth="true" hidden="false" outlineLevel="0" max="4" min="3" style="1" width="13.7"/>
    <col collapsed="false" customWidth="true" hidden="false" outlineLevel="0" max="5" min="5" style="39" width="13.7"/>
    <col collapsed="false" customWidth="true" hidden="false" outlineLevel="0" max="6" min="6" style="1" width="30.7"/>
    <col collapsed="false" customWidth="true" hidden="false" outlineLevel="0" max="7" min="7" style="1" width="10.71"/>
    <col collapsed="false" customWidth="true" hidden="false" outlineLevel="0" max="8" min="8" style="1" width="20.7"/>
    <col collapsed="false" customWidth="true" hidden="false" outlineLevel="0" max="9" min="9" style="1" width="40.7"/>
    <col collapsed="false" customWidth="true" hidden="false" outlineLevel="0" max="10" min="10" style="1" width="20.7"/>
    <col collapsed="false" customWidth="true" hidden="false" outlineLevel="0" max="11" min="11" style="1" width="32.28"/>
    <col collapsed="false" customWidth="false" hidden="false" outlineLevel="0" max="257" min="12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16"/>
      <c r="D1" s="414"/>
      <c r="E1" s="414"/>
      <c r="F1" s="415"/>
      <c r="G1" s="15"/>
      <c r="H1" s="415"/>
      <c r="I1" s="415"/>
      <c r="J1" s="415"/>
      <c r="K1" s="416"/>
      <c r="L1" s="415"/>
      <c r="M1" s="415"/>
      <c r="N1" s="417"/>
      <c r="O1" s="415"/>
      <c r="P1" s="415"/>
      <c r="Q1" s="415"/>
      <c r="R1" s="415"/>
      <c r="S1" s="415"/>
      <c r="T1" s="415"/>
      <c r="U1" s="415"/>
      <c r="V1" s="418"/>
      <c r="W1" s="415"/>
      <c r="X1" s="415"/>
      <c r="Y1" s="415"/>
      <c r="Z1" s="415"/>
      <c r="AA1" s="415"/>
      <c r="AB1" s="116"/>
      <c r="AC1" s="116"/>
      <c r="AD1" s="67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16"/>
      <c r="D2" s="414"/>
      <c r="E2" s="414"/>
      <c r="F2" s="415"/>
      <c r="G2" s="15"/>
      <c r="H2" s="415"/>
      <c r="I2" s="415"/>
      <c r="J2" s="415"/>
      <c r="K2" s="416"/>
      <c r="L2" s="415"/>
      <c r="M2" s="415"/>
      <c r="N2" s="417"/>
      <c r="O2" s="415"/>
      <c r="P2" s="415"/>
      <c r="Q2" s="415"/>
      <c r="R2" s="415"/>
      <c r="S2" s="415"/>
      <c r="T2" s="415"/>
      <c r="U2" s="415"/>
      <c r="V2" s="418"/>
      <c r="W2" s="415"/>
      <c r="X2" s="415"/>
      <c r="Y2" s="415"/>
      <c r="Z2" s="415"/>
      <c r="AA2" s="415"/>
      <c r="AB2" s="116"/>
      <c r="AC2" s="116"/>
      <c r="AD2" s="67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20"/>
      <c r="F3" s="415"/>
      <c r="G3" s="15"/>
      <c r="H3" s="415"/>
      <c r="I3" s="421"/>
      <c r="J3" s="415"/>
      <c r="K3" s="416"/>
      <c r="L3" s="415"/>
      <c r="M3" s="415"/>
      <c r="N3" s="417"/>
      <c r="O3" s="415"/>
      <c r="P3" s="415"/>
      <c r="Q3" s="415"/>
      <c r="R3" s="415"/>
      <c r="S3" s="415"/>
      <c r="T3" s="415"/>
      <c r="U3" s="415"/>
      <c r="V3" s="415"/>
      <c r="W3" s="422"/>
      <c r="X3" s="422"/>
      <c r="Y3" s="415"/>
      <c r="Z3" s="415"/>
      <c r="AA3" s="415"/>
      <c r="AB3" s="116"/>
      <c r="AC3" s="116"/>
      <c r="AD3" s="67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1133</v>
      </c>
      <c r="B4" s="1005"/>
      <c r="C4" s="116"/>
      <c r="D4" s="1005"/>
      <c r="E4" s="1005"/>
      <c r="F4" s="415"/>
      <c r="G4" s="15"/>
      <c r="H4" s="415"/>
      <c r="I4" s="421"/>
      <c r="J4" s="415"/>
      <c r="K4" s="416"/>
      <c r="L4" s="415"/>
      <c r="M4" s="415"/>
      <c r="N4" s="417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116"/>
      <c r="AC4" s="116"/>
      <c r="AD4" s="67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1027"/>
      <c r="B6" s="1028"/>
      <c r="C6" s="1028"/>
      <c r="D6" s="1029"/>
      <c r="E6" s="1030"/>
      <c r="F6" s="941"/>
      <c r="G6" s="941"/>
      <c r="H6" s="941" t="s">
        <v>1014</v>
      </c>
      <c r="I6" s="1031"/>
    </row>
    <row r="7" customFormat="false" ht="12.75" hidden="false" customHeight="false" outlineLevel="0" collapsed="false">
      <c r="A7" s="1032"/>
      <c r="B7" s="952"/>
      <c r="C7" s="952"/>
      <c r="D7" s="43"/>
      <c r="E7" s="1033"/>
      <c r="F7" s="1026"/>
      <c r="G7" s="1026" t="s">
        <v>1015</v>
      </c>
      <c r="H7" s="1026" t="s">
        <v>1016</v>
      </c>
      <c r="I7" s="1034"/>
    </row>
    <row r="8" customFormat="false" ht="13.5" hidden="false" customHeight="false" outlineLevel="0" collapsed="false">
      <c r="A8" s="1035" t="s">
        <v>1017</v>
      </c>
      <c r="B8" s="1036" t="s">
        <v>1018</v>
      </c>
      <c r="C8" s="1037" t="s">
        <v>1019</v>
      </c>
      <c r="D8" s="1037"/>
      <c r="E8" s="1037"/>
      <c r="F8" s="1037" t="s">
        <v>1020</v>
      </c>
      <c r="G8" s="1037" t="s">
        <v>1021</v>
      </c>
      <c r="H8" s="1037" t="s">
        <v>1022</v>
      </c>
      <c r="I8" s="1038" t="s">
        <v>1023</v>
      </c>
    </row>
    <row r="9" customFormat="false" ht="13.5" hidden="false" customHeight="false" outlineLevel="0" collapsed="false">
      <c r="A9" s="39"/>
      <c r="B9" s="39"/>
      <c r="C9" s="39"/>
      <c r="D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1050" t="str">
        <f aca="false">Assm!T63</f>
        <v>Other Senior Debt Fees</v>
      </c>
      <c r="B10" s="1039" t="str">
        <f aca="false">Assm!U63</f>
        <v>OPIC Agency Fee ($000)</v>
      </c>
      <c r="C10" s="1097"/>
      <c r="D10" s="1184" t="n">
        <f aca="false">Assm!X63</f>
        <v>100</v>
      </c>
      <c r="E10" s="940"/>
      <c r="F10" s="1041" t="s">
        <v>1131</v>
      </c>
      <c r="G10" s="1042" t="n">
        <v>36391</v>
      </c>
      <c r="H10" s="1041" t="s">
        <v>1045</v>
      </c>
      <c r="I10" s="1043" t="s">
        <v>1132</v>
      </c>
    </row>
    <row r="11" customFormat="false" ht="12.75" hidden="false" customHeight="false" outlineLevel="0" collapsed="false">
      <c r="A11" s="1185"/>
      <c r="B11" s="1069" t="str">
        <f aca="false">Assm!U64</f>
        <v>EPE Percent / Amount</v>
      </c>
      <c r="C11" s="1186" t="n">
        <f aca="false">Assm!W64</f>
        <v>0.3</v>
      </c>
      <c r="D11" s="176" t="n">
        <f aca="false">Assm!X64</f>
        <v>30</v>
      </c>
      <c r="E11" s="834"/>
      <c r="F11" s="1054" t="s">
        <v>1131</v>
      </c>
      <c r="G11" s="1055" t="n">
        <v>36391</v>
      </c>
      <c r="H11" s="1054" t="s">
        <v>1045</v>
      </c>
      <c r="I11" s="1056" t="s">
        <v>1132</v>
      </c>
    </row>
    <row r="12" customFormat="false" ht="13.5" hidden="false" customHeight="false" outlineLevel="0" collapsed="false">
      <c r="A12" s="1062"/>
      <c r="B12" s="1044" t="str">
        <f aca="false">Assm!U65</f>
        <v>Final Year Of Payment</v>
      </c>
      <c r="C12" s="1187" t="n">
        <f aca="false">Assm!W65</f>
        <v>2015</v>
      </c>
      <c r="D12" s="731"/>
      <c r="E12" s="987"/>
      <c r="F12" s="1046" t="s">
        <v>1131</v>
      </c>
      <c r="G12" s="1047" t="n">
        <v>36391</v>
      </c>
      <c r="H12" s="1046" t="s">
        <v>1045</v>
      </c>
      <c r="I12" s="1048" t="s">
        <v>1132</v>
      </c>
    </row>
    <row r="13" customFormat="false" ht="13.5" hidden="false" customHeight="false" outlineLevel="0" collapsed="false"/>
    <row r="14" customFormat="false" ht="12.75" hidden="false" customHeight="false" outlineLevel="0" collapsed="false">
      <c r="A14" s="1050" t="str">
        <f aca="false">Assm!T77</f>
        <v>DS Coverage Ratios</v>
      </c>
      <c r="B14" s="1039"/>
      <c r="C14" s="1134" t="s">
        <v>289</v>
      </c>
      <c r="D14" s="1066" t="s">
        <v>156</v>
      </c>
      <c r="E14" s="1067"/>
      <c r="F14" s="1041"/>
      <c r="G14" s="1042"/>
      <c r="H14" s="1041"/>
      <c r="I14" s="1043"/>
    </row>
    <row r="15" customFormat="false" ht="12.75" hidden="false" customHeight="false" outlineLevel="0" collapsed="false">
      <c r="A15" s="1052"/>
      <c r="B15" s="1069" t="s">
        <v>1134</v>
      </c>
      <c r="C15" s="1188" t="n">
        <f aca="false">Assm!W78</f>
        <v>1.4</v>
      </c>
      <c r="D15" s="260" t="n">
        <f aca="false">Assm!W79</f>
        <v>1.8</v>
      </c>
      <c r="E15" s="1189"/>
      <c r="F15" s="1054" t="s">
        <v>1135</v>
      </c>
      <c r="G15" s="1055" t="n">
        <v>36166</v>
      </c>
      <c r="H15" s="1054" t="s">
        <v>1045</v>
      </c>
      <c r="I15" s="1056" t="s">
        <v>1136</v>
      </c>
    </row>
    <row r="16" customFormat="false" ht="12.75" hidden="false" customHeight="false" outlineLevel="0" collapsed="false">
      <c r="A16" s="1052"/>
      <c r="B16" s="1069" t="s">
        <v>1137</v>
      </c>
      <c r="C16" s="1188" t="n">
        <f aca="false">Assm!U78</f>
        <v>1.08698122108558</v>
      </c>
      <c r="D16" s="260" t="n">
        <f aca="false">Assm!U79</f>
        <v>2.18398520577749</v>
      </c>
      <c r="E16" s="1189"/>
      <c r="F16" s="1054" t="s">
        <v>1035</v>
      </c>
      <c r="G16" s="1055"/>
      <c r="H16" s="1054"/>
      <c r="I16" s="1056"/>
    </row>
    <row r="17" customFormat="false" ht="13.5" hidden="false" customHeight="false" outlineLevel="0" collapsed="false">
      <c r="A17" s="1062"/>
      <c r="B17" s="1044" t="s">
        <v>1138</v>
      </c>
      <c r="C17" s="1190" t="n">
        <f aca="false">Assm!V78</f>
        <v>1.08698122108558</v>
      </c>
      <c r="D17" s="265" t="n">
        <f aca="false">Assm!V79</f>
        <v>1.95703580951515</v>
      </c>
      <c r="E17" s="1191"/>
      <c r="F17" s="1046" t="s">
        <v>1035</v>
      </c>
      <c r="G17" s="1047"/>
      <c r="H17" s="1046"/>
      <c r="I17" s="1048"/>
    </row>
    <row r="18" customFormat="false" ht="13.5" hidden="false" customHeight="false" outlineLevel="0" collapsed="false">
      <c r="A18" s="39"/>
      <c r="B18" s="39"/>
      <c r="C18" s="39"/>
      <c r="D18" s="39"/>
      <c r="F18" s="39"/>
      <c r="G18" s="73"/>
      <c r="H18" s="47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12.75" hidden="false" customHeight="false" outlineLevel="0" collapsed="false">
      <c r="A19" s="1050" t="str">
        <f aca="false">Assm!T81</f>
        <v>Debt Reserve</v>
      </c>
      <c r="B19" s="940" t="str">
        <f aca="false">Assm!V81</f>
        <v>Service To Be Provided By</v>
      </c>
      <c r="C19" s="942" t="str">
        <f aca="false">Assm!W81</f>
        <v>Dressner Bank</v>
      </c>
      <c r="D19" s="26"/>
      <c r="E19" s="940"/>
      <c r="F19" s="1041" t="s">
        <v>1135</v>
      </c>
      <c r="G19" s="1042" t="n">
        <v>36389</v>
      </c>
      <c r="H19" s="1041" t="s">
        <v>1045</v>
      </c>
      <c r="I19" s="1043" t="s">
        <v>1098</v>
      </c>
    </row>
    <row r="20" customFormat="false" ht="12.75" hidden="false" customHeight="false" outlineLevel="0" collapsed="false">
      <c r="A20" s="1185"/>
      <c r="B20" s="1069" t="str">
        <f aca="false">Assm!V82</f>
        <v>Months Of Debt Service Required</v>
      </c>
      <c r="C20" s="826" t="n">
        <f aca="false">Assm!U82</f>
        <v>6</v>
      </c>
      <c r="D20" s="39"/>
      <c r="E20" s="834"/>
      <c r="F20" s="1054" t="s">
        <v>1024</v>
      </c>
      <c r="G20" s="1055" t="n">
        <v>36019</v>
      </c>
      <c r="H20" s="1054" t="s">
        <v>1045</v>
      </c>
      <c r="I20" s="1056" t="s">
        <v>1139</v>
      </c>
    </row>
    <row r="21" customFormat="false" ht="13.5" hidden="false" customHeight="false" outlineLevel="0" collapsed="false">
      <c r="A21" s="1062"/>
      <c r="B21" s="1044" t="str">
        <f aca="false">Assm!V83</f>
        <v>L/C Fee p.a.</v>
      </c>
      <c r="C21" s="1192" t="n">
        <f aca="false">Assm!U83</f>
        <v>0.025</v>
      </c>
      <c r="D21" s="22"/>
      <c r="E21" s="987"/>
      <c r="F21" s="1046" t="s">
        <v>1024</v>
      </c>
      <c r="G21" s="1047" t="n">
        <v>36019</v>
      </c>
      <c r="H21" s="1046" t="s">
        <v>1045</v>
      </c>
      <c r="I21" s="1048" t="s">
        <v>1139</v>
      </c>
    </row>
    <row r="22" customFormat="false" ht="13.5" hidden="false" customHeight="false" outlineLevel="0" collapsed="false"/>
    <row r="23" customFormat="false" ht="12.75" hidden="false" customHeight="false" outlineLevel="0" collapsed="false">
      <c r="A23" s="1050" t="str">
        <f aca="false">Assm!T85</f>
        <v>Shareholder Constr Loan</v>
      </c>
      <c r="B23" s="1039" t="str">
        <f aca="false">Assm!T86</f>
        <v>Amount</v>
      </c>
      <c r="C23" s="1193" t="n">
        <f aca="false">Assm!$U86</f>
        <v>70129.4037731885</v>
      </c>
      <c r="D23" s="26"/>
      <c r="E23" s="940"/>
      <c r="F23" s="1041" t="s">
        <v>1035</v>
      </c>
      <c r="G23" s="1042"/>
      <c r="H23" s="1041"/>
      <c r="I23" s="1068"/>
    </row>
    <row r="24" customFormat="false" ht="12.75" hidden="false" customHeight="false" outlineLevel="0" collapsed="false">
      <c r="A24" s="1052"/>
      <c r="B24" s="1069" t="str">
        <f aca="false">Assm!T87</f>
        <v>Interest Rate</v>
      </c>
      <c r="C24" s="1172" t="n">
        <f aca="false">Int_BL</f>
        <v>0.06</v>
      </c>
      <c r="D24" s="39"/>
      <c r="E24" s="834"/>
      <c r="F24" s="1054" t="s">
        <v>1140</v>
      </c>
      <c r="G24" s="1055" t="n">
        <v>36004</v>
      </c>
      <c r="H24" s="1054" t="s">
        <v>1029</v>
      </c>
      <c r="I24" s="107" t="s">
        <v>1141</v>
      </c>
    </row>
    <row r="25" customFormat="false" ht="13.5" hidden="false" customHeight="false" outlineLevel="0" collapsed="false">
      <c r="A25" s="1062"/>
      <c r="B25" s="1044" t="str">
        <f aca="false">Assm!W87</f>
        <v>Enron Cost Of Funds</v>
      </c>
      <c r="C25" s="1180" t="n">
        <f aca="false">Assm!$X87</f>
        <v>0.065</v>
      </c>
      <c r="D25" s="22"/>
      <c r="E25" s="987"/>
      <c r="F25" s="1046" t="s">
        <v>1142</v>
      </c>
      <c r="G25" s="1047" t="n">
        <v>36217</v>
      </c>
      <c r="H25" s="1046" t="s">
        <v>1143</v>
      </c>
      <c r="I25" s="1102" t="s">
        <v>1144</v>
      </c>
    </row>
  </sheetData>
  <mergeCells count="1">
    <mergeCell ref="C8:E8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9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M21" activeCellId="0" sqref="M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94" width="9.28"/>
    <col collapsed="false" customWidth="true" hidden="false" outlineLevel="0" max="2" min="2" style="1194" width="2.42"/>
    <col collapsed="false" customWidth="true" hidden="false" outlineLevel="0" max="3" min="3" style="1" width="9.28"/>
    <col collapsed="false" customWidth="true" hidden="false" outlineLevel="0" max="4" min="4" style="1195" width="15.41"/>
    <col collapsed="false" customWidth="true" hidden="false" outlineLevel="0" max="6" min="5" style="1194" width="10.99"/>
    <col collapsed="false" customWidth="true" hidden="false" outlineLevel="0" max="7" min="7" style="1195" width="10.99"/>
    <col collapsed="false" customWidth="true" hidden="false" outlineLevel="0" max="10" min="8" style="1194" width="10.99"/>
    <col collapsed="false" customWidth="true" hidden="false" outlineLevel="0" max="11" min="11" style="1195" width="10.99"/>
    <col collapsed="false" customWidth="true" hidden="false" outlineLevel="0" max="13" min="12" style="1194" width="10.99"/>
    <col collapsed="false" customWidth="true" hidden="false" outlineLevel="0" max="14" min="14" style="1" width="12.7"/>
    <col collapsed="false" customWidth="true" hidden="false" outlineLevel="0" max="15" min="15" style="1" width="13.7"/>
    <col collapsed="false" customWidth="true" hidden="false" outlineLevel="0" max="16" min="16" style="1" width="12.7"/>
    <col collapsed="false" customWidth="true" hidden="false" outlineLevel="0" max="17" min="17" style="1" width="13.7"/>
    <col collapsed="false" customWidth="true" hidden="false" outlineLevel="0" max="18" min="18" style="1" width="12.7"/>
    <col collapsed="false" customWidth="true" hidden="false" outlineLevel="0" max="19" min="19" style="1" width="13.7"/>
    <col collapsed="false" customWidth="false" hidden="false" outlineLevel="0" max="24" min="20" style="1" width="9.14"/>
    <col collapsed="false" customWidth="false" hidden="false" outlineLevel="0" max="257" min="25" style="1194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1195"/>
      <c r="C1" s="39"/>
      <c r="E1" s="1195"/>
      <c r="F1" s="1195"/>
      <c r="H1" s="1195"/>
      <c r="I1" s="1195"/>
      <c r="J1" s="1195"/>
      <c r="L1" s="1195"/>
      <c r="M1" s="1195"/>
      <c r="N1" s="1195"/>
      <c r="O1" s="1195"/>
      <c r="P1" s="1195"/>
      <c r="Q1" s="1195"/>
      <c r="R1" s="1195"/>
      <c r="S1" s="1195"/>
      <c r="T1" s="1195"/>
      <c r="U1" s="1195"/>
      <c r="V1" s="1195"/>
      <c r="W1" s="1195"/>
      <c r="X1" s="1195"/>
      <c r="Y1" s="1195"/>
      <c r="Z1" s="1195"/>
      <c r="AA1" s="1195"/>
      <c r="AB1" s="1195"/>
      <c r="AC1" s="1195"/>
      <c r="AD1" s="1195"/>
      <c r="AE1" s="1195"/>
      <c r="AF1" s="1195"/>
      <c r="AG1" s="1195"/>
      <c r="AH1" s="1195"/>
      <c r="AI1" s="1195"/>
      <c r="AJ1" s="1195"/>
      <c r="AK1" s="1195"/>
      <c r="AL1" s="1195"/>
      <c r="AM1" s="1195"/>
      <c r="AN1" s="1195"/>
      <c r="AO1" s="1195"/>
      <c r="AP1" s="1195"/>
      <c r="AQ1" s="1195"/>
      <c r="AR1" s="1195"/>
      <c r="AS1" s="1195"/>
      <c r="AT1" s="1195"/>
      <c r="AU1" s="1195"/>
      <c r="AV1" s="1195"/>
      <c r="AW1" s="1195"/>
      <c r="AX1" s="1195"/>
      <c r="AY1" s="1195"/>
      <c r="AZ1" s="1195"/>
      <c r="BA1" s="1195"/>
      <c r="BB1" s="1195"/>
      <c r="BC1" s="1195"/>
      <c r="BD1" s="1195"/>
      <c r="BE1" s="1195"/>
      <c r="BF1" s="1195"/>
      <c r="BG1" s="1195"/>
      <c r="BH1" s="1195"/>
      <c r="BI1" s="1195"/>
      <c r="BJ1" s="1195"/>
      <c r="BK1" s="1195"/>
      <c r="BL1" s="1195"/>
      <c r="BM1" s="1195"/>
      <c r="BN1" s="1195"/>
      <c r="BO1" s="1195"/>
      <c r="BP1" s="1195"/>
      <c r="BQ1" s="1195"/>
      <c r="BR1" s="1195"/>
      <c r="BS1" s="1195"/>
      <c r="BT1" s="1195"/>
      <c r="BU1" s="1195"/>
      <c r="BV1" s="1195"/>
      <c r="BW1" s="1195"/>
      <c r="BX1" s="1195"/>
      <c r="BY1" s="1195"/>
      <c r="BZ1" s="1195"/>
      <c r="CA1" s="1195"/>
      <c r="CB1" s="1195"/>
      <c r="CC1" s="1195"/>
      <c r="CD1" s="1195"/>
      <c r="CE1" s="1195"/>
      <c r="CF1" s="1195"/>
      <c r="CG1" s="1195"/>
      <c r="CH1" s="1195"/>
      <c r="CI1" s="1195"/>
      <c r="CJ1" s="1195"/>
      <c r="CK1" s="1195"/>
      <c r="CL1" s="1195"/>
      <c r="CM1" s="1195"/>
      <c r="CN1" s="1195"/>
      <c r="CO1" s="1195"/>
      <c r="CP1" s="1195"/>
      <c r="CQ1" s="1195"/>
      <c r="CR1" s="1195"/>
      <c r="CS1" s="1195"/>
      <c r="CT1" s="1195"/>
      <c r="CU1" s="1195"/>
      <c r="CV1" s="1195"/>
      <c r="CW1" s="1195"/>
      <c r="CX1" s="1195"/>
      <c r="CY1" s="1195"/>
      <c r="CZ1" s="1195"/>
      <c r="DA1" s="1195"/>
      <c r="DB1" s="1195"/>
      <c r="DC1" s="1195"/>
      <c r="DD1" s="1195"/>
      <c r="DE1" s="1195"/>
      <c r="DF1" s="1195"/>
      <c r="DG1" s="1195"/>
      <c r="DH1" s="1195"/>
      <c r="DI1" s="1195"/>
      <c r="DJ1" s="1195"/>
      <c r="DK1" s="1195"/>
      <c r="DL1" s="1195"/>
      <c r="DM1" s="1195"/>
      <c r="DN1" s="1195"/>
      <c r="DO1" s="1195"/>
      <c r="DP1" s="1195"/>
      <c r="DQ1" s="1195"/>
      <c r="DR1" s="1195"/>
      <c r="DS1" s="1195"/>
      <c r="DT1" s="1195"/>
      <c r="DU1" s="1195"/>
      <c r="DV1" s="1195"/>
      <c r="DW1" s="1195"/>
      <c r="DX1" s="1195"/>
      <c r="DY1" s="1195"/>
      <c r="DZ1" s="1195"/>
      <c r="EA1" s="1195"/>
      <c r="EB1" s="1195"/>
      <c r="EC1" s="1195"/>
      <c r="ED1" s="1195"/>
      <c r="EE1" s="1195"/>
      <c r="EF1" s="1195"/>
      <c r="EG1" s="1195"/>
      <c r="EH1" s="1195"/>
      <c r="EI1" s="1195"/>
      <c r="EJ1" s="1195"/>
      <c r="EK1" s="1195"/>
      <c r="EL1" s="1195"/>
      <c r="EM1" s="1195"/>
      <c r="EN1" s="1195"/>
      <c r="EO1" s="1195"/>
      <c r="EP1" s="1195"/>
      <c r="EQ1" s="1195"/>
      <c r="ER1" s="1195"/>
      <c r="ES1" s="1195"/>
      <c r="ET1" s="1195"/>
      <c r="EU1" s="1195"/>
      <c r="EV1" s="1195"/>
      <c r="EW1" s="1195"/>
      <c r="EX1" s="1195"/>
      <c r="EY1" s="1195"/>
      <c r="EZ1" s="1195"/>
      <c r="FA1" s="1195"/>
      <c r="FB1" s="1195"/>
      <c r="FC1" s="1195"/>
      <c r="FD1" s="1195"/>
      <c r="FE1" s="1195"/>
      <c r="FF1" s="1195"/>
      <c r="FG1" s="1195"/>
      <c r="FH1" s="1195"/>
      <c r="FI1" s="1195"/>
      <c r="FJ1" s="1195"/>
      <c r="FK1" s="1195"/>
      <c r="FL1" s="1195"/>
      <c r="FM1" s="1195"/>
      <c r="FN1" s="1195"/>
      <c r="FO1" s="1195"/>
      <c r="FP1" s="1195"/>
      <c r="FQ1" s="1195"/>
      <c r="FR1" s="1195"/>
      <c r="FS1" s="1195"/>
      <c r="FT1" s="1195"/>
      <c r="FU1" s="1195"/>
      <c r="FV1" s="1195"/>
      <c r="FW1" s="1195"/>
      <c r="FX1" s="1195"/>
      <c r="FY1" s="1195"/>
      <c r="FZ1" s="1195"/>
      <c r="GA1" s="1195"/>
      <c r="GB1" s="1195"/>
      <c r="GC1" s="1195"/>
      <c r="GD1" s="1195"/>
      <c r="GE1" s="1195"/>
      <c r="GF1" s="1195"/>
      <c r="GG1" s="1195"/>
      <c r="GH1" s="1195"/>
      <c r="GI1" s="1195"/>
      <c r="GJ1" s="1195"/>
      <c r="GK1" s="1195"/>
      <c r="GL1" s="1195"/>
      <c r="GM1" s="1195"/>
      <c r="GN1" s="1195"/>
      <c r="GO1" s="1195"/>
      <c r="GP1" s="1195"/>
      <c r="GQ1" s="1195"/>
      <c r="GR1" s="1195"/>
      <c r="GS1" s="1195"/>
      <c r="GT1" s="1195"/>
      <c r="GU1" s="1195"/>
      <c r="GV1" s="1195"/>
      <c r="GW1" s="1195"/>
      <c r="GX1" s="1195"/>
      <c r="GY1" s="1195"/>
      <c r="GZ1" s="1195"/>
      <c r="HA1" s="1195"/>
      <c r="HB1" s="1195"/>
      <c r="HC1" s="1195"/>
      <c r="HD1" s="1195"/>
      <c r="HE1" s="1195"/>
      <c r="HF1" s="1195"/>
      <c r="HG1" s="1195"/>
      <c r="HH1" s="1195"/>
      <c r="HI1" s="1195"/>
      <c r="HJ1" s="1195"/>
      <c r="HK1" s="1195"/>
      <c r="HL1" s="1195"/>
      <c r="HM1" s="1195"/>
      <c r="HN1" s="1195"/>
      <c r="HO1" s="1195"/>
      <c r="HP1" s="1195"/>
      <c r="HQ1" s="1195"/>
      <c r="HR1" s="1195"/>
      <c r="HS1" s="1195"/>
      <c r="HT1" s="1195"/>
      <c r="HU1" s="1195"/>
      <c r="HV1" s="1195"/>
      <c r="HW1" s="1195"/>
      <c r="HX1" s="1195"/>
      <c r="HY1" s="1195"/>
      <c r="HZ1" s="1195"/>
      <c r="IA1" s="1195"/>
      <c r="IB1" s="1195"/>
      <c r="IC1" s="1195"/>
      <c r="ID1" s="1195"/>
      <c r="IE1" s="1195"/>
      <c r="IF1" s="1195"/>
      <c r="IG1" s="1195"/>
      <c r="IH1" s="1195"/>
      <c r="II1" s="1195"/>
      <c r="IJ1" s="1195"/>
      <c r="IK1" s="1195"/>
      <c r="IL1" s="1195"/>
      <c r="IM1" s="1195"/>
      <c r="IN1" s="1195"/>
      <c r="IO1" s="1195"/>
      <c r="IP1" s="1195"/>
      <c r="IQ1" s="1195"/>
      <c r="IR1" s="1195"/>
      <c r="IS1" s="1195"/>
      <c r="IT1" s="1195"/>
      <c r="IU1" s="1195"/>
      <c r="IV1" s="1195"/>
      <c r="IW1" s="1195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1195"/>
      <c r="C2" s="39"/>
      <c r="E2" s="1195"/>
      <c r="F2" s="1195"/>
      <c r="H2" s="1195"/>
      <c r="I2" s="1195"/>
      <c r="J2" s="1195"/>
      <c r="L2" s="1195"/>
      <c r="M2" s="1195"/>
      <c r="N2" s="1195"/>
      <c r="O2" s="1195"/>
      <c r="P2" s="1195"/>
      <c r="Q2" s="1195"/>
      <c r="R2" s="1195"/>
      <c r="S2" s="1195"/>
      <c r="T2" s="1195"/>
      <c r="U2" s="1195"/>
      <c r="V2" s="1195"/>
      <c r="W2" s="1195"/>
      <c r="X2" s="1195"/>
      <c r="Y2" s="1195"/>
      <c r="Z2" s="1195"/>
      <c r="AA2" s="1195"/>
      <c r="AB2" s="1195"/>
      <c r="AC2" s="1195"/>
      <c r="AD2" s="1195"/>
      <c r="AE2" s="1195"/>
      <c r="AF2" s="1195"/>
      <c r="AG2" s="1195"/>
      <c r="AH2" s="1195"/>
      <c r="AI2" s="1195"/>
      <c r="AJ2" s="1195"/>
      <c r="AK2" s="1195"/>
      <c r="AL2" s="1195"/>
      <c r="AM2" s="1195"/>
      <c r="AN2" s="1195"/>
      <c r="AO2" s="1195"/>
      <c r="AP2" s="1195"/>
      <c r="AQ2" s="1195"/>
      <c r="AR2" s="1195"/>
      <c r="AS2" s="1195"/>
      <c r="AT2" s="1195"/>
      <c r="AU2" s="1195"/>
      <c r="AV2" s="1195"/>
      <c r="AW2" s="1195"/>
      <c r="AX2" s="1195"/>
      <c r="AY2" s="1195"/>
      <c r="AZ2" s="1195"/>
      <c r="BA2" s="1195"/>
      <c r="BB2" s="1195"/>
      <c r="BC2" s="1195"/>
      <c r="BD2" s="1195"/>
      <c r="BE2" s="1195"/>
      <c r="BF2" s="1195"/>
      <c r="BG2" s="1195"/>
      <c r="BH2" s="1195"/>
      <c r="BI2" s="1195"/>
      <c r="BJ2" s="1195"/>
      <c r="BK2" s="1195"/>
      <c r="BL2" s="1195"/>
      <c r="BM2" s="1195"/>
      <c r="BN2" s="1195"/>
      <c r="BO2" s="1195"/>
      <c r="BP2" s="1195"/>
      <c r="BQ2" s="1195"/>
      <c r="BR2" s="1195"/>
      <c r="BS2" s="1195"/>
      <c r="BT2" s="1195"/>
      <c r="BU2" s="1195"/>
      <c r="BV2" s="1195"/>
      <c r="BW2" s="1195"/>
      <c r="BX2" s="1195"/>
      <c r="BY2" s="1195"/>
      <c r="BZ2" s="1195"/>
      <c r="CA2" s="1195"/>
      <c r="CB2" s="1195"/>
      <c r="CC2" s="1195"/>
      <c r="CD2" s="1195"/>
      <c r="CE2" s="1195"/>
      <c r="CF2" s="1195"/>
      <c r="CG2" s="1195"/>
      <c r="CH2" s="1195"/>
      <c r="CI2" s="1195"/>
      <c r="CJ2" s="1195"/>
      <c r="CK2" s="1195"/>
      <c r="CL2" s="1195"/>
      <c r="CM2" s="1195"/>
      <c r="CN2" s="1195"/>
      <c r="CO2" s="1195"/>
      <c r="CP2" s="1195"/>
      <c r="CQ2" s="1195"/>
      <c r="CR2" s="1195"/>
      <c r="CS2" s="1195"/>
      <c r="CT2" s="1195"/>
      <c r="CU2" s="1195"/>
      <c r="CV2" s="1195"/>
      <c r="CW2" s="1195"/>
      <c r="CX2" s="1195"/>
      <c r="CY2" s="1195"/>
      <c r="CZ2" s="1195"/>
      <c r="DA2" s="1195"/>
      <c r="DB2" s="1195"/>
      <c r="DC2" s="1195"/>
      <c r="DD2" s="1195"/>
      <c r="DE2" s="1195"/>
      <c r="DF2" s="1195"/>
      <c r="DG2" s="1195"/>
      <c r="DH2" s="1195"/>
      <c r="DI2" s="1195"/>
      <c r="DJ2" s="1195"/>
      <c r="DK2" s="1195"/>
      <c r="DL2" s="1195"/>
      <c r="DM2" s="1195"/>
      <c r="DN2" s="1195"/>
      <c r="DO2" s="1195"/>
      <c r="DP2" s="1195"/>
      <c r="DQ2" s="1195"/>
      <c r="DR2" s="1195"/>
      <c r="DS2" s="1195"/>
      <c r="DT2" s="1195"/>
      <c r="DU2" s="1195"/>
      <c r="DV2" s="1195"/>
      <c r="DW2" s="1195"/>
      <c r="DX2" s="1195"/>
      <c r="DY2" s="1195"/>
      <c r="DZ2" s="1195"/>
      <c r="EA2" s="1195"/>
      <c r="EB2" s="1195"/>
      <c r="EC2" s="1195"/>
      <c r="ED2" s="1195"/>
      <c r="EE2" s="1195"/>
      <c r="EF2" s="1195"/>
      <c r="EG2" s="1195"/>
      <c r="EH2" s="1195"/>
      <c r="EI2" s="1195"/>
      <c r="EJ2" s="1195"/>
      <c r="EK2" s="1195"/>
      <c r="EL2" s="1195"/>
      <c r="EM2" s="1195"/>
      <c r="EN2" s="1195"/>
      <c r="EO2" s="1195"/>
      <c r="EP2" s="1195"/>
      <c r="EQ2" s="1195"/>
      <c r="ER2" s="1195"/>
      <c r="ES2" s="1195"/>
      <c r="ET2" s="1195"/>
      <c r="EU2" s="1195"/>
      <c r="EV2" s="1195"/>
      <c r="EW2" s="1195"/>
      <c r="EX2" s="1195"/>
      <c r="EY2" s="1195"/>
      <c r="EZ2" s="1195"/>
      <c r="FA2" s="1195"/>
      <c r="FB2" s="1195"/>
      <c r="FC2" s="1195"/>
      <c r="FD2" s="1195"/>
      <c r="FE2" s="1195"/>
      <c r="FF2" s="1195"/>
      <c r="FG2" s="1195"/>
      <c r="FH2" s="1195"/>
      <c r="FI2" s="1195"/>
      <c r="FJ2" s="1195"/>
      <c r="FK2" s="1195"/>
      <c r="FL2" s="1195"/>
      <c r="FM2" s="1195"/>
      <c r="FN2" s="1195"/>
      <c r="FO2" s="1195"/>
      <c r="FP2" s="1195"/>
      <c r="FQ2" s="1195"/>
      <c r="FR2" s="1195"/>
      <c r="FS2" s="1195"/>
      <c r="FT2" s="1195"/>
      <c r="FU2" s="1195"/>
      <c r="FV2" s="1195"/>
      <c r="FW2" s="1195"/>
      <c r="FX2" s="1195"/>
      <c r="FY2" s="1195"/>
      <c r="FZ2" s="1195"/>
      <c r="GA2" s="1195"/>
      <c r="GB2" s="1195"/>
      <c r="GC2" s="1195"/>
      <c r="GD2" s="1195"/>
      <c r="GE2" s="1195"/>
      <c r="GF2" s="1195"/>
      <c r="GG2" s="1195"/>
      <c r="GH2" s="1195"/>
      <c r="GI2" s="1195"/>
      <c r="GJ2" s="1195"/>
      <c r="GK2" s="1195"/>
      <c r="GL2" s="1195"/>
      <c r="GM2" s="1195"/>
      <c r="GN2" s="1195"/>
      <c r="GO2" s="1195"/>
      <c r="GP2" s="1195"/>
      <c r="GQ2" s="1195"/>
      <c r="GR2" s="1195"/>
      <c r="GS2" s="1195"/>
      <c r="GT2" s="1195"/>
      <c r="GU2" s="1195"/>
      <c r="GV2" s="1195"/>
      <c r="GW2" s="1195"/>
      <c r="GX2" s="1195"/>
      <c r="GY2" s="1195"/>
      <c r="GZ2" s="1195"/>
      <c r="HA2" s="1195"/>
      <c r="HB2" s="1195"/>
      <c r="HC2" s="1195"/>
      <c r="HD2" s="1195"/>
      <c r="HE2" s="1195"/>
      <c r="HF2" s="1195"/>
      <c r="HG2" s="1195"/>
      <c r="HH2" s="1195"/>
      <c r="HI2" s="1195"/>
      <c r="HJ2" s="1195"/>
      <c r="HK2" s="1195"/>
      <c r="HL2" s="1195"/>
      <c r="HM2" s="1195"/>
      <c r="HN2" s="1195"/>
      <c r="HO2" s="1195"/>
      <c r="HP2" s="1195"/>
      <c r="HQ2" s="1195"/>
      <c r="HR2" s="1195"/>
      <c r="HS2" s="1195"/>
      <c r="HT2" s="1195"/>
      <c r="HU2" s="1195"/>
      <c r="HV2" s="1195"/>
      <c r="HW2" s="1195"/>
      <c r="HX2" s="1195"/>
      <c r="HY2" s="1195"/>
      <c r="HZ2" s="1195"/>
      <c r="IA2" s="1195"/>
      <c r="IB2" s="1195"/>
      <c r="IC2" s="1195"/>
      <c r="ID2" s="1195"/>
      <c r="IE2" s="1195"/>
      <c r="IF2" s="1195"/>
      <c r="IG2" s="1195"/>
      <c r="IH2" s="1195"/>
      <c r="II2" s="1195"/>
      <c r="IJ2" s="1195"/>
      <c r="IK2" s="1195"/>
      <c r="IL2" s="1195"/>
      <c r="IM2" s="1195"/>
      <c r="IN2" s="1195"/>
      <c r="IO2" s="1195"/>
      <c r="IP2" s="1195"/>
      <c r="IQ2" s="1195"/>
      <c r="IR2" s="1195"/>
      <c r="IS2" s="1195"/>
      <c r="IT2" s="1195"/>
      <c r="IU2" s="1195"/>
      <c r="IV2" s="1195"/>
      <c r="IW2" s="1195"/>
    </row>
    <row r="3" customFormat="false" ht="15" hidden="false" customHeight="false" outlineLevel="0" collapsed="false">
      <c r="A3" s="420" t="str">
        <f aca="false">Assm!A3</f>
        <v>ENRON INTERNATIONAL</v>
      </c>
      <c r="B3" s="1195"/>
      <c r="C3" s="39"/>
      <c r="E3" s="1195"/>
      <c r="F3" s="1195"/>
      <c r="H3" s="1195"/>
      <c r="I3" s="1195"/>
      <c r="J3" s="1195"/>
      <c r="L3" s="1195"/>
      <c r="M3" s="1195"/>
      <c r="N3" s="1195"/>
      <c r="O3" s="1195"/>
      <c r="P3" s="1195"/>
      <c r="Q3" s="1195"/>
      <c r="R3" s="1195"/>
      <c r="S3" s="1195"/>
      <c r="T3" s="1195"/>
      <c r="U3" s="1195"/>
      <c r="V3" s="1195"/>
      <c r="W3" s="1195"/>
      <c r="X3" s="1195"/>
      <c r="Y3" s="1195"/>
      <c r="Z3" s="1195"/>
      <c r="AA3" s="1195"/>
      <c r="AB3" s="1195"/>
      <c r="AC3" s="1195"/>
      <c r="AD3" s="1195"/>
      <c r="AE3" s="1195"/>
      <c r="AF3" s="1195"/>
      <c r="AG3" s="1195"/>
      <c r="AH3" s="1195"/>
      <c r="AI3" s="1195"/>
      <c r="AJ3" s="1195"/>
      <c r="AK3" s="1195"/>
      <c r="AL3" s="1195"/>
      <c r="AM3" s="1195"/>
      <c r="AN3" s="1195"/>
      <c r="AO3" s="1195"/>
      <c r="AP3" s="1195"/>
      <c r="AQ3" s="1195"/>
      <c r="AR3" s="1195"/>
      <c r="AS3" s="1195"/>
      <c r="AT3" s="1195"/>
      <c r="AU3" s="1195"/>
      <c r="AV3" s="1195"/>
      <c r="AW3" s="1195"/>
      <c r="AX3" s="1195"/>
      <c r="AY3" s="1195"/>
      <c r="AZ3" s="1195"/>
      <c r="BA3" s="1195"/>
      <c r="BB3" s="1195"/>
      <c r="BC3" s="1195"/>
      <c r="BD3" s="1195"/>
      <c r="BE3" s="1195"/>
      <c r="BF3" s="1195"/>
      <c r="BG3" s="1195"/>
      <c r="BH3" s="1195"/>
      <c r="BI3" s="1195"/>
      <c r="BJ3" s="1195"/>
      <c r="BK3" s="1195"/>
      <c r="BL3" s="1195"/>
      <c r="BM3" s="1195"/>
      <c r="BN3" s="1195"/>
      <c r="BO3" s="1195"/>
      <c r="BP3" s="1195"/>
      <c r="BQ3" s="1195"/>
      <c r="BR3" s="1195"/>
      <c r="BS3" s="1195"/>
      <c r="BT3" s="1195"/>
      <c r="BU3" s="1195"/>
      <c r="BV3" s="1195"/>
      <c r="BW3" s="1195"/>
      <c r="BX3" s="1195"/>
      <c r="BY3" s="1195"/>
      <c r="BZ3" s="1195"/>
      <c r="CA3" s="1195"/>
      <c r="CB3" s="1195"/>
      <c r="CC3" s="1195"/>
      <c r="CD3" s="1195"/>
      <c r="CE3" s="1195"/>
      <c r="CF3" s="1195"/>
      <c r="CG3" s="1195"/>
      <c r="CH3" s="1195"/>
      <c r="CI3" s="1195"/>
      <c r="CJ3" s="1195"/>
      <c r="CK3" s="1195"/>
      <c r="CL3" s="1195"/>
      <c r="CM3" s="1195"/>
      <c r="CN3" s="1195"/>
      <c r="CO3" s="1195"/>
      <c r="CP3" s="1195"/>
      <c r="CQ3" s="1195"/>
      <c r="CR3" s="1195"/>
      <c r="CS3" s="1195"/>
      <c r="CT3" s="1195"/>
      <c r="CU3" s="1195"/>
      <c r="CV3" s="1195"/>
      <c r="CW3" s="1195"/>
      <c r="CX3" s="1195"/>
      <c r="CY3" s="1195"/>
      <c r="CZ3" s="1195"/>
      <c r="DA3" s="1195"/>
      <c r="DB3" s="1195"/>
      <c r="DC3" s="1195"/>
      <c r="DD3" s="1195"/>
      <c r="DE3" s="1195"/>
      <c r="DF3" s="1195"/>
      <c r="DG3" s="1195"/>
      <c r="DH3" s="1195"/>
      <c r="DI3" s="1195"/>
      <c r="DJ3" s="1195"/>
      <c r="DK3" s="1195"/>
      <c r="DL3" s="1195"/>
      <c r="DM3" s="1195"/>
      <c r="DN3" s="1195"/>
      <c r="DO3" s="1195"/>
      <c r="DP3" s="1195"/>
      <c r="DQ3" s="1195"/>
      <c r="DR3" s="1195"/>
      <c r="DS3" s="1195"/>
      <c r="DT3" s="1195"/>
      <c r="DU3" s="1195"/>
      <c r="DV3" s="1195"/>
      <c r="DW3" s="1195"/>
      <c r="DX3" s="1195"/>
      <c r="DY3" s="1195"/>
      <c r="DZ3" s="1195"/>
      <c r="EA3" s="1195"/>
      <c r="EB3" s="1195"/>
      <c r="EC3" s="1195"/>
      <c r="ED3" s="1195"/>
      <c r="EE3" s="1195"/>
      <c r="EF3" s="1195"/>
      <c r="EG3" s="1195"/>
      <c r="EH3" s="1195"/>
      <c r="EI3" s="1195"/>
      <c r="EJ3" s="1195"/>
      <c r="EK3" s="1195"/>
      <c r="EL3" s="1195"/>
      <c r="EM3" s="1195"/>
      <c r="EN3" s="1195"/>
      <c r="EO3" s="1195"/>
      <c r="EP3" s="1195"/>
      <c r="EQ3" s="1195"/>
      <c r="ER3" s="1195"/>
      <c r="ES3" s="1195"/>
      <c r="ET3" s="1195"/>
      <c r="EU3" s="1195"/>
      <c r="EV3" s="1195"/>
      <c r="EW3" s="1195"/>
      <c r="EX3" s="1195"/>
      <c r="EY3" s="1195"/>
      <c r="EZ3" s="1195"/>
      <c r="FA3" s="1195"/>
      <c r="FB3" s="1195"/>
      <c r="FC3" s="1195"/>
      <c r="FD3" s="1195"/>
      <c r="FE3" s="1195"/>
      <c r="FF3" s="1195"/>
      <c r="FG3" s="1195"/>
      <c r="FH3" s="1195"/>
      <c r="FI3" s="1195"/>
      <c r="FJ3" s="1195"/>
      <c r="FK3" s="1195"/>
      <c r="FL3" s="1195"/>
      <c r="FM3" s="1195"/>
      <c r="FN3" s="1195"/>
      <c r="FO3" s="1195"/>
      <c r="FP3" s="1195"/>
      <c r="FQ3" s="1195"/>
      <c r="FR3" s="1195"/>
      <c r="FS3" s="1195"/>
      <c r="FT3" s="1195"/>
      <c r="FU3" s="1195"/>
      <c r="FV3" s="1195"/>
      <c r="FW3" s="1195"/>
      <c r="FX3" s="1195"/>
      <c r="FY3" s="1195"/>
      <c r="FZ3" s="1195"/>
      <c r="GA3" s="1195"/>
      <c r="GB3" s="1195"/>
      <c r="GC3" s="1195"/>
      <c r="GD3" s="1195"/>
      <c r="GE3" s="1195"/>
      <c r="GF3" s="1195"/>
      <c r="GG3" s="1195"/>
      <c r="GH3" s="1195"/>
      <c r="GI3" s="1195"/>
      <c r="GJ3" s="1195"/>
      <c r="GK3" s="1195"/>
      <c r="GL3" s="1195"/>
      <c r="GM3" s="1195"/>
      <c r="GN3" s="1195"/>
      <c r="GO3" s="1195"/>
      <c r="GP3" s="1195"/>
      <c r="GQ3" s="1195"/>
      <c r="GR3" s="1195"/>
      <c r="GS3" s="1195"/>
      <c r="GT3" s="1195"/>
      <c r="GU3" s="1195"/>
      <c r="GV3" s="1195"/>
      <c r="GW3" s="1195"/>
      <c r="GX3" s="1195"/>
      <c r="GY3" s="1195"/>
      <c r="GZ3" s="1195"/>
      <c r="HA3" s="1195"/>
      <c r="HB3" s="1195"/>
      <c r="HC3" s="1195"/>
      <c r="HD3" s="1195"/>
      <c r="HE3" s="1195"/>
      <c r="HF3" s="1195"/>
      <c r="HG3" s="1195"/>
      <c r="HH3" s="1195"/>
      <c r="HI3" s="1195"/>
      <c r="HJ3" s="1195"/>
      <c r="HK3" s="1195"/>
      <c r="HL3" s="1195"/>
      <c r="HM3" s="1195"/>
      <c r="HN3" s="1195"/>
      <c r="HO3" s="1195"/>
      <c r="HP3" s="1195"/>
      <c r="HQ3" s="1195"/>
      <c r="HR3" s="1195"/>
      <c r="HS3" s="1195"/>
      <c r="HT3" s="1195"/>
      <c r="HU3" s="1195"/>
      <c r="HV3" s="1195"/>
      <c r="HW3" s="1195"/>
      <c r="HX3" s="1195"/>
      <c r="HY3" s="1195"/>
      <c r="HZ3" s="1195"/>
      <c r="IA3" s="1195"/>
      <c r="IB3" s="1195"/>
      <c r="IC3" s="1195"/>
      <c r="ID3" s="1195"/>
      <c r="IE3" s="1195"/>
      <c r="IF3" s="1195"/>
      <c r="IG3" s="1195"/>
      <c r="IH3" s="1195"/>
      <c r="II3" s="1195"/>
      <c r="IJ3" s="1195"/>
      <c r="IK3" s="1195"/>
      <c r="IL3" s="1195"/>
      <c r="IM3" s="1195"/>
      <c r="IN3" s="1195"/>
      <c r="IO3" s="1195"/>
      <c r="IP3" s="1195"/>
      <c r="IQ3" s="1195"/>
      <c r="IR3" s="1195"/>
      <c r="IS3" s="1195"/>
      <c r="IT3" s="1195"/>
      <c r="IU3" s="1195"/>
      <c r="IV3" s="1195"/>
      <c r="IW3" s="1195"/>
    </row>
    <row r="4" customFormat="false" ht="15" hidden="false" customHeight="false" outlineLevel="0" collapsed="false">
      <c r="A4" s="1196" t="s">
        <v>1145</v>
      </c>
      <c r="B4" s="1197"/>
      <c r="C4" s="525"/>
      <c r="D4" s="1197"/>
      <c r="E4" s="1197"/>
      <c r="F4" s="1198"/>
      <c r="H4" s="1199" t="s">
        <v>1146</v>
      </c>
      <c r="I4" s="1199"/>
      <c r="J4" s="1195"/>
      <c r="L4" s="1195"/>
      <c r="M4" s="1195"/>
      <c r="N4" s="1195"/>
      <c r="O4" s="1195"/>
      <c r="P4" s="1195"/>
      <c r="Q4" s="1195"/>
      <c r="R4" s="1195"/>
      <c r="S4" s="1195"/>
      <c r="T4" s="1195"/>
      <c r="U4" s="1195"/>
      <c r="V4" s="1195"/>
      <c r="W4" s="1195"/>
      <c r="X4" s="1195"/>
      <c r="Y4" s="1195"/>
      <c r="Z4" s="1195"/>
      <c r="AA4" s="1195"/>
      <c r="AB4" s="1195"/>
      <c r="AC4" s="1195"/>
      <c r="AD4" s="1195"/>
      <c r="AE4" s="1195"/>
      <c r="AF4" s="1195"/>
      <c r="AG4" s="1195"/>
      <c r="AH4" s="1195"/>
      <c r="AI4" s="1195"/>
      <c r="AJ4" s="1195"/>
      <c r="AK4" s="1195"/>
      <c r="AL4" s="1195"/>
      <c r="AM4" s="1195"/>
      <c r="AN4" s="1195"/>
      <c r="AO4" s="1195"/>
      <c r="AP4" s="1195"/>
      <c r="AQ4" s="1195"/>
      <c r="AR4" s="1195"/>
      <c r="AS4" s="1195"/>
      <c r="AT4" s="1195"/>
      <c r="AU4" s="1195"/>
      <c r="AV4" s="1195"/>
      <c r="AW4" s="1195"/>
      <c r="AX4" s="1195"/>
      <c r="AY4" s="1195"/>
      <c r="AZ4" s="1195"/>
      <c r="BA4" s="1195"/>
      <c r="BB4" s="1195"/>
      <c r="BC4" s="1195"/>
      <c r="BD4" s="1195"/>
      <c r="BE4" s="1195"/>
      <c r="BF4" s="1195"/>
      <c r="BG4" s="1195"/>
      <c r="BH4" s="1195"/>
      <c r="BI4" s="1195"/>
      <c r="BJ4" s="1195"/>
      <c r="BK4" s="1195"/>
      <c r="BL4" s="1195"/>
      <c r="BM4" s="1195"/>
      <c r="BN4" s="1195"/>
      <c r="BO4" s="1195"/>
      <c r="BP4" s="1195"/>
      <c r="BQ4" s="1195"/>
      <c r="BR4" s="1195"/>
      <c r="BS4" s="1195"/>
      <c r="BT4" s="1195"/>
      <c r="BU4" s="1195"/>
      <c r="BV4" s="1195"/>
      <c r="BW4" s="1195"/>
      <c r="BX4" s="1195"/>
      <c r="BY4" s="1195"/>
      <c r="BZ4" s="1195"/>
      <c r="CA4" s="1195"/>
      <c r="CB4" s="1195"/>
      <c r="CC4" s="1195"/>
      <c r="CD4" s="1195"/>
      <c r="CE4" s="1195"/>
      <c r="CF4" s="1195"/>
      <c r="CG4" s="1195"/>
      <c r="CH4" s="1195"/>
      <c r="CI4" s="1195"/>
      <c r="CJ4" s="1195"/>
      <c r="CK4" s="1195"/>
      <c r="CL4" s="1195"/>
      <c r="CM4" s="1195"/>
      <c r="CN4" s="1195"/>
      <c r="CO4" s="1195"/>
      <c r="CP4" s="1195"/>
      <c r="CQ4" s="1195"/>
      <c r="CR4" s="1195"/>
      <c r="CS4" s="1195"/>
      <c r="CT4" s="1195"/>
      <c r="CU4" s="1195"/>
      <c r="CV4" s="1195"/>
      <c r="CW4" s="1195"/>
      <c r="CX4" s="1195"/>
      <c r="CY4" s="1195"/>
      <c r="CZ4" s="1195"/>
      <c r="DA4" s="1195"/>
      <c r="DB4" s="1195"/>
      <c r="DC4" s="1195"/>
      <c r="DD4" s="1195"/>
      <c r="DE4" s="1195"/>
      <c r="DF4" s="1195"/>
      <c r="DG4" s="1195"/>
      <c r="DH4" s="1195"/>
      <c r="DI4" s="1195"/>
      <c r="DJ4" s="1195"/>
      <c r="DK4" s="1195"/>
      <c r="DL4" s="1195"/>
      <c r="DM4" s="1195"/>
      <c r="DN4" s="1195"/>
      <c r="DO4" s="1195"/>
      <c r="DP4" s="1195"/>
      <c r="DQ4" s="1195"/>
      <c r="DR4" s="1195"/>
      <c r="DS4" s="1195"/>
      <c r="DT4" s="1195"/>
      <c r="DU4" s="1195"/>
      <c r="DV4" s="1195"/>
      <c r="DW4" s="1195"/>
      <c r="DX4" s="1195"/>
      <c r="DY4" s="1195"/>
      <c r="DZ4" s="1195"/>
      <c r="EA4" s="1195"/>
      <c r="EB4" s="1195"/>
      <c r="EC4" s="1195"/>
      <c r="ED4" s="1195"/>
      <c r="EE4" s="1195"/>
      <c r="EF4" s="1195"/>
      <c r="EG4" s="1195"/>
      <c r="EH4" s="1195"/>
      <c r="EI4" s="1195"/>
      <c r="EJ4" s="1195"/>
      <c r="EK4" s="1195"/>
      <c r="EL4" s="1195"/>
      <c r="EM4" s="1195"/>
      <c r="EN4" s="1195"/>
      <c r="EO4" s="1195"/>
      <c r="EP4" s="1195"/>
      <c r="EQ4" s="1195"/>
      <c r="ER4" s="1195"/>
      <c r="ES4" s="1195"/>
      <c r="ET4" s="1195"/>
      <c r="EU4" s="1195"/>
      <c r="EV4" s="1195"/>
      <c r="EW4" s="1195"/>
      <c r="EX4" s="1195"/>
      <c r="EY4" s="1195"/>
      <c r="EZ4" s="1195"/>
      <c r="FA4" s="1195"/>
      <c r="FB4" s="1195"/>
      <c r="FC4" s="1195"/>
      <c r="FD4" s="1195"/>
      <c r="FE4" s="1195"/>
      <c r="FF4" s="1195"/>
      <c r="FG4" s="1195"/>
      <c r="FH4" s="1195"/>
      <c r="FI4" s="1195"/>
      <c r="FJ4" s="1195"/>
      <c r="FK4" s="1195"/>
      <c r="FL4" s="1195"/>
      <c r="FM4" s="1195"/>
      <c r="FN4" s="1195"/>
      <c r="FO4" s="1195"/>
      <c r="FP4" s="1195"/>
      <c r="FQ4" s="1195"/>
      <c r="FR4" s="1195"/>
      <c r="FS4" s="1195"/>
      <c r="FT4" s="1195"/>
      <c r="FU4" s="1195"/>
      <c r="FV4" s="1195"/>
      <c r="FW4" s="1195"/>
      <c r="FX4" s="1195"/>
      <c r="FY4" s="1195"/>
      <c r="FZ4" s="1195"/>
      <c r="GA4" s="1195"/>
      <c r="GB4" s="1195"/>
      <c r="GC4" s="1195"/>
      <c r="GD4" s="1195"/>
      <c r="GE4" s="1195"/>
      <c r="GF4" s="1195"/>
      <c r="GG4" s="1195"/>
      <c r="GH4" s="1195"/>
      <c r="GI4" s="1195"/>
      <c r="GJ4" s="1195"/>
      <c r="GK4" s="1195"/>
      <c r="GL4" s="1195"/>
      <c r="GM4" s="1195"/>
      <c r="GN4" s="1195"/>
      <c r="GO4" s="1195"/>
      <c r="GP4" s="1195"/>
      <c r="GQ4" s="1195"/>
      <c r="GR4" s="1195"/>
      <c r="GS4" s="1195"/>
      <c r="GT4" s="1195"/>
      <c r="GU4" s="1195"/>
      <c r="GV4" s="1195"/>
      <c r="GW4" s="1195"/>
      <c r="GX4" s="1195"/>
      <c r="GY4" s="1195"/>
      <c r="GZ4" s="1195"/>
      <c r="HA4" s="1195"/>
      <c r="HB4" s="1195"/>
      <c r="HC4" s="1195"/>
      <c r="HD4" s="1195"/>
      <c r="HE4" s="1195"/>
      <c r="HF4" s="1195"/>
      <c r="HG4" s="1195"/>
      <c r="HH4" s="1195"/>
      <c r="HI4" s="1195"/>
      <c r="HJ4" s="1195"/>
      <c r="HK4" s="1195"/>
      <c r="HL4" s="1195"/>
      <c r="HM4" s="1195"/>
      <c r="HN4" s="1195"/>
      <c r="HO4" s="1195"/>
      <c r="HP4" s="1195"/>
      <c r="HQ4" s="1195"/>
      <c r="HR4" s="1195"/>
      <c r="HS4" s="1195"/>
      <c r="HT4" s="1195"/>
      <c r="HU4" s="1195"/>
      <c r="HV4" s="1195"/>
      <c r="HW4" s="1195"/>
      <c r="HX4" s="1195"/>
      <c r="HY4" s="1195"/>
      <c r="HZ4" s="1195"/>
      <c r="IA4" s="1195"/>
      <c r="IB4" s="1195"/>
      <c r="IC4" s="1195"/>
      <c r="ID4" s="1195"/>
      <c r="IE4" s="1195"/>
      <c r="IF4" s="1195"/>
      <c r="IG4" s="1195"/>
      <c r="IH4" s="1195"/>
      <c r="II4" s="1195"/>
      <c r="IJ4" s="1195"/>
      <c r="IK4" s="1195"/>
      <c r="IL4" s="1195"/>
      <c r="IM4" s="1195"/>
      <c r="IN4" s="1195"/>
      <c r="IO4" s="1195"/>
      <c r="IP4" s="1195"/>
      <c r="IQ4" s="1195"/>
      <c r="IR4" s="1195"/>
      <c r="IS4" s="1195"/>
      <c r="IT4" s="1195"/>
      <c r="IU4" s="1195"/>
      <c r="IV4" s="1195"/>
      <c r="IW4" s="1195"/>
    </row>
    <row r="5" customFormat="false" ht="12.75" hidden="false" customHeight="false" outlineLevel="0" collapsed="false">
      <c r="A5" s="1200"/>
      <c r="B5" s="1200"/>
      <c r="C5" s="39"/>
      <c r="E5" s="1200"/>
      <c r="F5" s="1195"/>
      <c r="H5" s="1200"/>
      <c r="I5" s="1195"/>
      <c r="J5" s="1195"/>
      <c r="L5" s="1195"/>
      <c r="M5" s="1195"/>
      <c r="N5" s="1200"/>
      <c r="O5" s="1200"/>
      <c r="P5" s="1200"/>
      <c r="Q5" s="1200"/>
      <c r="R5" s="1200"/>
      <c r="S5" s="1200"/>
      <c r="T5" s="1200"/>
      <c r="U5" s="1200"/>
      <c r="V5" s="1200"/>
      <c r="W5" s="1200"/>
      <c r="X5" s="1200"/>
      <c r="Y5" s="1200"/>
      <c r="Z5" s="1200"/>
      <c r="AA5" s="1200"/>
      <c r="AB5" s="1200"/>
      <c r="AC5" s="1200"/>
      <c r="AD5" s="1200"/>
      <c r="AE5" s="1200"/>
      <c r="AF5" s="1200"/>
      <c r="AG5" s="1200"/>
      <c r="AH5" s="1200"/>
      <c r="AI5" s="1200"/>
      <c r="AJ5" s="1200"/>
      <c r="AK5" s="1200"/>
      <c r="AL5" s="1200"/>
      <c r="AM5" s="1200"/>
      <c r="AN5" s="1200"/>
      <c r="AO5" s="1200"/>
      <c r="AP5" s="1200"/>
      <c r="AQ5" s="1200"/>
      <c r="AR5" s="1200"/>
      <c r="AS5" s="1200"/>
      <c r="AT5" s="1200"/>
      <c r="AU5" s="1200"/>
      <c r="AV5" s="1200"/>
      <c r="AW5" s="1200"/>
      <c r="AX5" s="1200"/>
      <c r="AY5" s="1200"/>
      <c r="AZ5" s="1200"/>
      <c r="BA5" s="1200"/>
      <c r="BB5" s="1200"/>
      <c r="BC5" s="1200"/>
      <c r="BD5" s="1200"/>
      <c r="BE5" s="1200"/>
      <c r="BF5" s="1200"/>
      <c r="BG5" s="1200"/>
      <c r="BH5" s="1200"/>
      <c r="BI5" s="1200"/>
      <c r="BJ5" s="1200"/>
      <c r="BK5" s="1200"/>
      <c r="BL5" s="1200"/>
      <c r="BM5" s="1200"/>
      <c r="BN5" s="1200"/>
      <c r="BO5" s="1200"/>
      <c r="BP5" s="1200"/>
      <c r="BQ5" s="1200"/>
      <c r="BR5" s="1200"/>
      <c r="BS5" s="1200"/>
      <c r="BT5" s="1200"/>
      <c r="BU5" s="1200"/>
      <c r="BV5" s="1200"/>
      <c r="BW5" s="1200"/>
      <c r="BX5" s="1200"/>
      <c r="BY5" s="1200"/>
      <c r="BZ5" s="1200"/>
      <c r="CA5" s="1200"/>
      <c r="CB5" s="1200"/>
      <c r="CC5" s="1200"/>
      <c r="CD5" s="1200"/>
      <c r="CE5" s="1200"/>
      <c r="CF5" s="1200"/>
      <c r="CG5" s="1200"/>
      <c r="CH5" s="1200"/>
      <c r="CI5" s="1200"/>
      <c r="CJ5" s="1200"/>
      <c r="CK5" s="1200"/>
      <c r="CL5" s="1200"/>
      <c r="CM5" s="1200"/>
      <c r="CN5" s="1200"/>
      <c r="CO5" s="1200"/>
      <c r="CP5" s="1200"/>
      <c r="CQ5" s="1200"/>
      <c r="CR5" s="1200"/>
      <c r="CS5" s="1200"/>
      <c r="CT5" s="1200"/>
      <c r="CU5" s="1200"/>
      <c r="CV5" s="1200"/>
      <c r="CW5" s="1200"/>
      <c r="CX5" s="1200"/>
      <c r="CY5" s="1200"/>
      <c r="CZ5" s="1200"/>
      <c r="DA5" s="1200"/>
      <c r="DB5" s="1200"/>
      <c r="DC5" s="1200"/>
      <c r="DD5" s="1200"/>
      <c r="DE5" s="1200"/>
      <c r="DF5" s="1200"/>
      <c r="DG5" s="1200"/>
      <c r="DH5" s="1200"/>
      <c r="DI5" s="1200"/>
      <c r="DJ5" s="1200"/>
      <c r="DK5" s="1200"/>
      <c r="DL5" s="1200"/>
      <c r="DM5" s="1200"/>
      <c r="DN5" s="1200"/>
      <c r="DO5" s="1200"/>
      <c r="DP5" s="1200"/>
      <c r="DQ5" s="1200"/>
      <c r="DR5" s="1200"/>
      <c r="DS5" s="1200"/>
      <c r="DT5" s="1200"/>
      <c r="DU5" s="1200"/>
      <c r="DV5" s="1200"/>
      <c r="DW5" s="1200"/>
      <c r="DX5" s="1200"/>
      <c r="DY5" s="1200"/>
      <c r="DZ5" s="1200"/>
      <c r="EA5" s="1200"/>
      <c r="EB5" s="1200"/>
      <c r="EC5" s="1200"/>
      <c r="ED5" s="1200"/>
      <c r="EE5" s="1200"/>
      <c r="EF5" s="1200"/>
      <c r="EG5" s="1200"/>
      <c r="EH5" s="1200"/>
      <c r="EI5" s="1200"/>
      <c r="EJ5" s="1200"/>
      <c r="EK5" s="1200"/>
      <c r="EL5" s="1200"/>
      <c r="EM5" s="1200"/>
      <c r="EN5" s="1200"/>
      <c r="EO5" s="1200"/>
      <c r="EP5" s="1200"/>
      <c r="EQ5" s="1200"/>
      <c r="ER5" s="1200"/>
      <c r="ES5" s="1200"/>
      <c r="ET5" s="1200"/>
      <c r="EU5" s="1200"/>
      <c r="EV5" s="1200"/>
      <c r="EW5" s="1200"/>
      <c r="EX5" s="1200"/>
      <c r="EY5" s="1200"/>
      <c r="EZ5" s="1200"/>
      <c r="FA5" s="1200"/>
      <c r="FB5" s="1200"/>
      <c r="FC5" s="1200"/>
      <c r="FD5" s="1200"/>
      <c r="FE5" s="1200"/>
      <c r="FF5" s="1200"/>
      <c r="FG5" s="1200"/>
      <c r="FH5" s="1200"/>
      <c r="FI5" s="1200"/>
      <c r="FJ5" s="1200"/>
      <c r="FK5" s="1200"/>
      <c r="FL5" s="1200"/>
      <c r="FM5" s="1200"/>
      <c r="FN5" s="1200"/>
      <c r="FO5" s="1200"/>
      <c r="FP5" s="1200"/>
      <c r="FQ5" s="1200"/>
      <c r="FR5" s="1200"/>
      <c r="FS5" s="1200"/>
      <c r="FT5" s="1200"/>
      <c r="FU5" s="1200"/>
      <c r="FV5" s="1200"/>
      <c r="FW5" s="1200"/>
      <c r="FX5" s="1200"/>
      <c r="FY5" s="1200"/>
      <c r="FZ5" s="1200"/>
      <c r="GA5" s="1200"/>
      <c r="GB5" s="1200"/>
      <c r="GC5" s="1200"/>
      <c r="GD5" s="1200"/>
      <c r="GE5" s="1200"/>
      <c r="GF5" s="1200"/>
      <c r="GG5" s="1200"/>
      <c r="GH5" s="1200"/>
      <c r="GI5" s="1200"/>
      <c r="GJ5" s="1200"/>
      <c r="GK5" s="1200"/>
      <c r="GL5" s="1200"/>
      <c r="GM5" s="1200"/>
      <c r="GN5" s="1200"/>
      <c r="GO5" s="1200"/>
      <c r="GP5" s="1200"/>
      <c r="GQ5" s="1200"/>
      <c r="GR5" s="1200"/>
      <c r="GS5" s="1200"/>
      <c r="GT5" s="1200"/>
      <c r="GU5" s="1200"/>
      <c r="GV5" s="1200"/>
      <c r="GW5" s="1200"/>
      <c r="GX5" s="1200"/>
      <c r="GY5" s="1200"/>
      <c r="GZ5" s="1200"/>
      <c r="HA5" s="1200"/>
      <c r="HB5" s="1200"/>
      <c r="HC5" s="1200"/>
      <c r="HD5" s="1200"/>
      <c r="HE5" s="1200"/>
      <c r="HF5" s="1200"/>
      <c r="HG5" s="1200"/>
      <c r="HH5" s="1200"/>
      <c r="HI5" s="1200"/>
      <c r="HJ5" s="1200"/>
      <c r="HK5" s="1200"/>
      <c r="HL5" s="1200"/>
      <c r="HM5" s="1200"/>
      <c r="HN5" s="1200"/>
      <c r="HO5" s="1200"/>
      <c r="HP5" s="1200"/>
      <c r="HQ5" s="1200"/>
      <c r="HR5" s="1200"/>
      <c r="HS5" s="1200"/>
      <c r="HT5" s="1200"/>
      <c r="HU5" s="1200"/>
      <c r="HV5" s="1200"/>
      <c r="HW5" s="1200"/>
      <c r="HX5" s="1200"/>
      <c r="HY5" s="1200"/>
      <c r="HZ5" s="1200"/>
      <c r="IA5" s="1200"/>
      <c r="IB5" s="1200"/>
      <c r="IC5" s="1200"/>
      <c r="ID5" s="1200"/>
      <c r="IE5" s="1200"/>
      <c r="IF5" s="1200"/>
      <c r="IG5" s="1200"/>
      <c r="IH5" s="1200"/>
      <c r="II5" s="1200"/>
      <c r="IJ5" s="1200"/>
      <c r="IK5" s="1200"/>
      <c r="IL5" s="1200"/>
      <c r="IM5" s="1200"/>
      <c r="IN5" s="1200"/>
      <c r="IO5" s="1200"/>
      <c r="IP5" s="1200"/>
      <c r="IQ5" s="1200"/>
      <c r="IR5" s="1200"/>
      <c r="IS5" s="1200"/>
      <c r="IT5" s="1200"/>
      <c r="IU5" s="1200"/>
      <c r="IV5" s="1200"/>
      <c r="IW5" s="1200"/>
    </row>
    <row r="6" customFormat="false" ht="12.75" hidden="false" customHeight="false" outlineLevel="0" collapsed="false">
      <c r="C6" s="1201" t="s">
        <v>1147</v>
      </c>
      <c r="D6" s="1201"/>
      <c r="E6" s="1201"/>
      <c r="F6" s="1201"/>
      <c r="G6" s="1201"/>
      <c r="H6" s="1201"/>
      <c r="I6" s="1201"/>
      <c r="J6" s="1201"/>
      <c r="K6" s="1201"/>
      <c r="L6" s="1201"/>
      <c r="M6" s="1201"/>
    </row>
    <row r="7" customFormat="false" ht="13.5" hidden="false" customHeight="false" outlineLevel="0" collapsed="false">
      <c r="D7" s="1194"/>
      <c r="G7" s="1194"/>
      <c r="K7" s="1194"/>
    </row>
    <row r="8" customFormat="false" ht="12.75" hidden="false" customHeight="false" outlineLevel="0" collapsed="false">
      <c r="A8" s="1202"/>
      <c r="C8" s="1203" t="s">
        <v>159</v>
      </c>
      <c r="D8" s="1204" t="s">
        <v>1148</v>
      </c>
      <c r="E8" s="1204" t="s">
        <v>1149</v>
      </c>
      <c r="F8" s="1205" t="s">
        <v>1149</v>
      </c>
      <c r="G8" s="1206" t="s">
        <v>1148</v>
      </c>
      <c r="H8" s="1204" t="s">
        <v>1150</v>
      </c>
      <c r="I8" s="1205" t="s">
        <v>1150</v>
      </c>
      <c r="J8" s="1206" t="s">
        <v>1151</v>
      </c>
      <c r="K8" s="1204"/>
      <c r="L8" s="1204" t="s">
        <v>1151</v>
      </c>
      <c r="M8" s="1207" t="s">
        <v>1152</v>
      </c>
    </row>
    <row r="9" customFormat="false" ht="12.75" hidden="false" customHeight="false" outlineLevel="0" collapsed="false">
      <c r="A9" s="1208"/>
      <c r="C9" s="259" t="s">
        <v>1153</v>
      </c>
      <c r="D9" s="1209" t="s">
        <v>1154</v>
      </c>
      <c r="E9" s="1209" t="s">
        <v>1155</v>
      </c>
      <c r="F9" s="1210" t="s">
        <v>1156</v>
      </c>
      <c r="G9" s="1211" t="s">
        <v>1154</v>
      </c>
      <c r="H9" s="1209" t="s">
        <v>1155</v>
      </c>
      <c r="I9" s="1210" t="s">
        <v>1156</v>
      </c>
      <c r="J9" s="1211" t="s">
        <v>1156</v>
      </c>
      <c r="K9" s="1212" t="str">
        <f aca="false">Escalation!N14</f>
        <v>US</v>
      </c>
      <c r="L9" s="1209" t="s">
        <v>1156</v>
      </c>
      <c r="M9" s="1213" t="s">
        <v>1156</v>
      </c>
    </row>
    <row r="10" customFormat="false" ht="12.75" hidden="false" customHeight="false" outlineLevel="0" collapsed="false">
      <c r="A10" s="1214" t="s">
        <v>1157</v>
      </c>
      <c r="C10" s="1215" t="s">
        <v>1158</v>
      </c>
      <c r="D10" s="289" t="s">
        <v>158</v>
      </c>
      <c r="E10" s="1216" t="s">
        <v>1159</v>
      </c>
      <c r="F10" s="1217" t="s">
        <v>1159</v>
      </c>
      <c r="G10" s="1218" t="s">
        <v>1160</v>
      </c>
      <c r="H10" s="1216" t="s">
        <v>1159</v>
      </c>
      <c r="I10" s="1217" t="s">
        <v>1159</v>
      </c>
      <c r="J10" s="1219" t="s">
        <v>1159</v>
      </c>
      <c r="K10" s="1220" t="str">
        <f aca="false">Escalation!O14</f>
        <v>CPI</v>
      </c>
      <c r="L10" s="1216" t="s">
        <v>1161</v>
      </c>
      <c r="M10" s="1221" t="s">
        <v>1162</v>
      </c>
    </row>
    <row r="11" customFormat="false" ht="12.75" hidden="false" customHeight="false" outlineLevel="0" collapsed="false">
      <c r="A11" s="1208"/>
      <c r="C11" s="37"/>
      <c r="D11" s="39"/>
      <c r="E11" s="1195"/>
      <c r="F11" s="1222"/>
      <c r="G11" s="1223"/>
      <c r="H11" s="1195"/>
      <c r="I11" s="1222"/>
      <c r="J11" s="1224"/>
      <c r="L11" s="1195"/>
      <c r="M11" s="1225"/>
    </row>
    <row r="12" customFormat="false" ht="12.75" hidden="false" customHeight="false" outlineLevel="0" collapsed="false">
      <c r="A12" s="1226" t="n">
        <f aca="false">Startops1</f>
        <v>36951</v>
      </c>
      <c r="C12" s="1227" t="n">
        <f aca="false">A13-A12</f>
        <v>31</v>
      </c>
      <c r="D12" s="1228" t="n">
        <f aca="false">(IF($A12&gt;Endyr,0,IF($A12&lt;Assm!$F$32,G12,Capacity*C12)))*(1+RAROC!$N$12)</f>
        <v>127419.274092616</v>
      </c>
      <c r="E12" s="1229" t="n">
        <f aca="false">IF($A12&gt;Endyr,0,Tariff_Cap)</f>
        <v>0.5668</v>
      </c>
      <c r="F12" s="1230" t="n">
        <f aca="false">D12*E12/1000</f>
        <v>72.2212445556946</v>
      </c>
      <c r="G12" s="1231" t="n">
        <f aca="false">[4]MMBTU!U35</f>
        <v>127419.274092616</v>
      </c>
      <c r="H12" s="1229" t="n">
        <f aca="false">IF($A12&gt;Endyr,0,Tariff_Var)</f>
        <v>0.0064</v>
      </c>
      <c r="I12" s="1230" t="n">
        <f aca="false">G12*H12/1000</f>
        <v>0.815483354192741</v>
      </c>
      <c r="J12" s="1232" t="n">
        <f aca="false">SUM(F12,I12)</f>
        <v>73.0367279098874</v>
      </c>
      <c r="K12" s="1233" t="n">
        <f aca="false">VLOOKUP($A12,Curves_Table,Escalation!$O$291)</f>
        <v>1.06207999503397</v>
      </c>
      <c r="L12" s="1234" t="n">
        <f aca="false">J12*K12</f>
        <v>77.5708476158304</v>
      </c>
      <c r="M12" s="1235" t="str">
        <f aca="false">IF(MONTH($A12)=12,SUM(L1:L12)," ")</f>
        <v> </v>
      </c>
    </row>
    <row r="13" customFormat="false" ht="12.75" hidden="false" customHeight="false" outlineLevel="0" collapsed="false">
      <c r="A13" s="1226" t="n">
        <f aca="false">EDATE(A12,1)</f>
        <v>36982</v>
      </c>
      <c r="C13" s="1227" t="n">
        <f aca="false">A14-A13</f>
        <v>30</v>
      </c>
      <c r="D13" s="1228" t="n">
        <f aca="false">(IF($A13&gt;Endyr,0,IF($A13&lt;Assm!$F$32,G13,Capacity*C13)))*(1+RAROC!$N$12)</f>
        <v>709907.384230288</v>
      </c>
      <c r="E13" s="1229" t="n">
        <f aca="false">IF($A13&gt;Endyr,0,Tariff_Cap)</f>
        <v>0.5668</v>
      </c>
      <c r="F13" s="1230" t="n">
        <f aca="false">D13*E13/1000</f>
        <v>402.375505381727</v>
      </c>
      <c r="G13" s="1231" t="n">
        <f aca="false">[4]MMBTU!U36</f>
        <v>709907.384230288</v>
      </c>
      <c r="H13" s="1229" t="n">
        <f aca="false">IF($A13&gt;Endyr,0,Tariff_Var)</f>
        <v>0.0064</v>
      </c>
      <c r="I13" s="1230" t="n">
        <f aca="false">G13*H13/1000</f>
        <v>4.54340725907384</v>
      </c>
      <c r="J13" s="1232" t="n">
        <f aca="false">SUM(F13,I13)</f>
        <v>406.918912640801</v>
      </c>
      <c r="K13" s="1233" t="n">
        <f aca="false">VLOOKUP($A13,Curves_Table,Escalation!$O$291)</f>
        <v>1.06207999503397</v>
      </c>
      <c r="L13" s="1234" t="n">
        <f aca="false">J13*K13</f>
        <v>432.180436716769</v>
      </c>
      <c r="M13" s="1235" t="str">
        <f aca="false">IF(MONTH($A13)=12,SUM(L2:L13)," ")</f>
        <v> </v>
      </c>
    </row>
    <row r="14" customFormat="false" ht="12.75" hidden="false" customHeight="false" outlineLevel="0" collapsed="false">
      <c r="A14" s="1226" t="n">
        <f aca="false">EDATE(A13,1)</f>
        <v>37012</v>
      </c>
      <c r="C14" s="1227" t="n">
        <f aca="false">A15-A14</f>
        <v>31</v>
      </c>
      <c r="D14" s="1228" t="n">
        <f aca="false">(IF($A14&gt;Endyr,0,IF($A14&lt;Assm!$F$32,G14,Capacity*C14)))*(1+RAROC!$N$12)</f>
        <v>1485344.68085106</v>
      </c>
      <c r="E14" s="1229" t="n">
        <f aca="false">IF($A14&gt;Endyr,0,Tariff_Cap)</f>
        <v>0.5668</v>
      </c>
      <c r="F14" s="1230" t="n">
        <f aca="false">D14*E14/1000</f>
        <v>841.893365106383</v>
      </c>
      <c r="G14" s="1231" t="n">
        <f aca="false">[4]MMBTU!U37</f>
        <v>1485344.68085106</v>
      </c>
      <c r="H14" s="1229" t="n">
        <f aca="false">IF($A14&gt;Endyr,0,Tariff_Var)</f>
        <v>0.0064</v>
      </c>
      <c r="I14" s="1230" t="n">
        <f aca="false">G14*H14/1000</f>
        <v>9.50620595744681</v>
      </c>
      <c r="J14" s="1232" t="n">
        <f aca="false">SUM(F14,I14)</f>
        <v>851.39957106383</v>
      </c>
      <c r="K14" s="1233" t="n">
        <f aca="false">VLOOKUP($A14,Curves_Table,Escalation!$O$291)</f>
        <v>1.09718061747934</v>
      </c>
      <c r="L14" s="1234" t="n">
        <f aca="false">J14*K14</f>
        <v>934.139107101459</v>
      </c>
      <c r="M14" s="1235" t="str">
        <f aca="false">IF(MONTH($A14)=12,SUM(L3:L14)," ")</f>
        <v> </v>
      </c>
    </row>
    <row r="15" customFormat="false" ht="12.75" hidden="false" customHeight="false" outlineLevel="0" collapsed="false">
      <c r="A15" s="1226" t="n">
        <f aca="false">EDATE(A14,1)</f>
        <v>37043</v>
      </c>
      <c r="C15" s="1227" t="n">
        <f aca="false">A16-A15</f>
        <v>30</v>
      </c>
      <c r="D15" s="1228" t="n">
        <f aca="false">(IF($A15&gt;Endyr,0,IF($A15&lt;Assm!$F$32,G15,Capacity*C15)))*(1+RAROC!$N$12)</f>
        <v>2347427.08385482</v>
      </c>
      <c r="E15" s="1229" t="n">
        <f aca="false">IF($A15&gt;Endyr,0,Tariff_Cap)</f>
        <v>0.5668</v>
      </c>
      <c r="F15" s="1230" t="n">
        <f aca="false">D15*E15/1000</f>
        <v>1330.52167112891</v>
      </c>
      <c r="G15" s="1231" t="n">
        <f aca="false">[4]MMBTU!U38</f>
        <v>2347427.08385482</v>
      </c>
      <c r="H15" s="1229" t="n">
        <f aca="false">IF($A15&gt;Endyr,0,Tariff_Var)</f>
        <v>0.0064</v>
      </c>
      <c r="I15" s="1230" t="n">
        <f aca="false">G15*H15/1000</f>
        <v>15.0235333366708</v>
      </c>
      <c r="J15" s="1232" t="n">
        <f aca="false">SUM(F15,I15)</f>
        <v>1345.54520446558</v>
      </c>
      <c r="K15" s="1233" t="n">
        <f aca="false">VLOOKUP($A15,Curves_Table,Escalation!$O$291)</f>
        <v>1.09718061747934</v>
      </c>
      <c r="L15" s="1234" t="n">
        <f aca="false">J15*K15</f>
        <v>1476.30611828191</v>
      </c>
      <c r="M15" s="1235" t="str">
        <f aca="false">IF(MONTH($A15)=12,SUM(L4:L15)," ")</f>
        <v> </v>
      </c>
    </row>
    <row r="16" customFormat="false" ht="12.75" hidden="false" customHeight="false" outlineLevel="0" collapsed="false">
      <c r="A16" s="1226" t="n">
        <f aca="false">EDATE(A15,1)</f>
        <v>37073</v>
      </c>
      <c r="C16" s="1227" t="n">
        <f aca="false">A17-A16</f>
        <v>31</v>
      </c>
      <c r="D16" s="1228" t="n">
        <f aca="false">(IF($A16&gt;Endyr,0,IF($A16&lt;Assm!$F$32,G16,Capacity*C16)))*(1+RAROC!$N$12)</f>
        <v>2370504.1301627</v>
      </c>
      <c r="E16" s="1229" t="n">
        <f aca="false">IF($A16&gt;Endyr,0,Tariff_Cap)</f>
        <v>0.5668</v>
      </c>
      <c r="F16" s="1230" t="n">
        <f aca="false">D16*E16/1000</f>
        <v>1343.60174097622</v>
      </c>
      <c r="G16" s="1231" t="n">
        <f aca="false">[4]MMBTU!U39</f>
        <v>2370504.1301627</v>
      </c>
      <c r="H16" s="1229" t="n">
        <f aca="false">IF($A16&gt;Endyr,0,Tariff_Var)</f>
        <v>0.0064</v>
      </c>
      <c r="I16" s="1230" t="n">
        <f aca="false">G16*H16/1000</f>
        <v>15.1712264330413</v>
      </c>
      <c r="J16" s="1232" t="n">
        <f aca="false">SUM(F16,I16)</f>
        <v>1358.77296740926</v>
      </c>
      <c r="K16" s="1233" t="n">
        <f aca="false">VLOOKUP($A16,Curves_Table,Escalation!$O$291)</f>
        <v>1.09718061747934</v>
      </c>
      <c r="L16" s="1234" t="n">
        <f aca="false">J16*K16</f>
        <v>1490.81936339633</v>
      </c>
      <c r="M16" s="1235" t="str">
        <f aca="false">IF(MONTH($A16)=12,SUM(L5:L16)," ")</f>
        <v> </v>
      </c>
    </row>
    <row r="17" customFormat="false" ht="12.75" hidden="false" customHeight="false" outlineLevel="0" collapsed="false">
      <c r="A17" s="1226" t="n">
        <f aca="false">EDATE(A16,1)</f>
        <v>37104</v>
      </c>
      <c r="C17" s="1227" t="n">
        <f aca="false">A18-A17</f>
        <v>31</v>
      </c>
      <c r="D17" s="1228" t="n">
        <f aca="false">(IF($A17&gt;Endyr,0,IF($A17&lt;Assm!$F$32,G17,Capacity*C17)))*(1+RAROC!$N$12)</f>
        <v>3192690</v>
      </c>
      <c r="E17" s="1229" t="n">
        <f aca="false">IF($A17&gt;Endyr,0,Tariff_Cap)</f>
        <v>0.5668</v>
      </c>
      <c r="F17" s="1230" t="n">
        <f aca="false">D17*E17/1000</f>
        <v>1809.616692</v>
      </c>
      <c r="G17" s="1231" t="n">
        <f aca="false">[4]MMBTU!U40</f>
        <v>2095485.40475594</v>
      </c>
      <c r="H17" s="1229" t="n">
        <f aca="false">IF($A17&gt;Endyr,0,Tariff_Var)</f>
        <v>0.0064</v>
      </c>
      <c r="I17" s="1230" t="n">
        <f aca="false">G17*H17/1000</f>
        <v>13.411106590438</v>
      </c>
      <c r="J17" s="1232" t="n">
        <f aca="false">SUM(F17,I17)</f>
        <v>1823.02779859044</v>
      </c>
      <c r="K17" s="1233" t="n">
        <f aca="false">VLOOKUP($A17,Curves_Table,Escalation!$O$291)</f>
        <v>1.09718061747934</v>
      </c>
      <c r="L17" s="1234" t="n">
        <f aca="false">J17*K17</f>
        <v>2000.19076573946</v>
      </c>
      <c r="M17" s="1235" t="str">
        <f aca="false">IF(MONTH($A17)=12,SUM(L6:L17)," ")</f>
        <v> </v>
      </c>
    </row>
    <row r="18" customFormat="false" ht="12.75" hidden="false" customHeight="false" outlineLevel="0" collapsed="false">
      <c r="A18" s="1226" t="n">
        <f aca="false">EDATE(A17,1)</f>
        <v>37135</v>
      </c>
      <c r="C18" s="1227" t="n">
        <f aca="false">A19-A18</f>
        <v>30</v>
      </c>
      <c r="D18" s="1228" t="n">
        <f aca="false">(IF($A18&gt;Endyr,0,IF($A18&lt;Assm!$F$32,G18,Capacity*C18)))*(1+RAROC!$N$12)</f>
        <v>3089700</v>
      </c>
      <c r="E18" s="1229" t="n">
        <f aca="false">IF($A18&gt;Endyr,0,Tariff_Cap)</f>
        <v>0.5668</v>
      </c>
      <c r="F18" s="1230" t="n">
        <f aca="false">D18*E18/1000</f>
        <v>1751.24196</v>
      </c>
      <c r="G18" s="1231" t="n">
        <f aca="false">[4]MMBTU!U41</f>
        <v>2027889.10137672</v>
      </c>
      <c r="H18" s="1229" t="n">
        <f aca="false">IF($A18&gt;Endyr,0,Tariff_Var)</f>
        <v>0.0064</v>
      </c>
      <c r="I18" s="1230" t="n">
        <f aca="false">G18*H18/1000</f>
        <v>12.978490248811</v>
      </c>
      <c r="J18" s="1232" t="n">
        <f aca="false">SUM(F18,I18)</f>
        <v>1764.22045024881</v>
      </c>
      <c r="K18" s="1233" t="n">
        <f aca="false">VLOOKUP($A18,Curves_Table,Escalation!$O$291)</f>
        <v>1.09718061747934</v>
      </c>
      <c r="L18" s="1234" t="n">
        <f aca="false">J18*K18</f>
        <v>1935.66848297367</v>
      </c>
      <c r="M18" s="1235" t="str">
        <f aca="false">IF(MONTH($A18)=12,SUM(L7:L18)," ")</f>
        <v> </v>
      </c>
    </row>
    <row r="19" customFormat="false" ht="12.75" hidden="false" customHeight="false" outlineLevel="0" collapsed="false">
      <c r="A19" s="1226" t="n">
        <f aca="false">EDATE(A18,1)</f>
        <v>37165</v>
      </c>
      <c r="C19" s="1227" t="n">
        <f aca="false">A20-A19</f>
        <v>31</v>
      </c>
      <c r="D19" s="1228" t="n">
        <f aca="false">(IF($A19&gt;Endyr,0,IF($A19&lt;Assm!$F$32,G19,Capacity*C19)))*(1+RAROC!$N$12)</f>
        <v>3192690</v>
      </c>
      <c r="E19" s="1229" t="n">
        <f aca="false">IF($A19&gt;Endyr,0,Tariff_Cap)</f>
        <v>0.5668</v>
      </c>
      <c r="F19" s="1230" t="n">
        <f aca="false">D19*E19/1000</f>
        <v>1809.616692</v>
      </c>
      <c r="G19" s="1231" t="n">
        <f aca="false">[4]MMBTU!U42</f>
        <v>2095485.40475594</v>
      </c>
      <c r="H19" s="1229" t="n">
        <f aca="false">IF($A19&gt;Endyr,0,Tariff_Var)</f>
        <v>0.0064</v>
      </c>
      <c r="I19" s="1230" t="n">
        <f aca="false">G19*H19/1000</f>
        <v>13.411106590438</v>
      </c>
      <c r="J19" s="1232" t="n">
        <f aca="false">SUM(F19,I19)</f>
        <v>1823.02779859044</v>
      </c>
      <c r="K19" s="1233" t="n">
        <f aca="false">VLOOKUP($A19,Curves_Table,Escalation!$O$291)</f>
        <v>1.09718061747934</v>
      </c>
      <c r="L19" s="1234" t="n">
        <f aca="false">J19*K19</f>
        <v>2000.19076573946</v>
      </c>
      <c r="M19" s="1235" t="str">
        <f aca="false">IF(MONTH($A19)=12,SUM(L8:L19)," ")</f>
        <v> </v>
      </c>
    </row>
    <row r="20" customFormat="false" ht="12.75" hidden="false" customHeight="false" outlineLevel="0" collapsed="false">
      <c r="A20" s="1226" t="n">
        <f aca="false">EDATE(A19,1)</f>
        <v>37196</v>
      </c>
      <c r="C20" s="1227" t="n">
        <f aca="false">A21-A20</f>
        <v>30</v>
      </c>
      <c r="D20" s="1228" t="n">
        <f aca="false">(IF($A20&gt;Endyr,0,IF($A20&lt;Assm!$F$32,G20,Capacity*C20)))*(1+RAROC!$N$12)</f>
        <v>3089700</v>
      </c>
      <c r="E20" s="1229" t="n">
        <f aca="false">IF($A20&gt;Endyr,0,Tariff_Cap)</f>
        <v>0.5668</v>
      </c>
      <c r="F20" s="1230" t="n">
        <f aca="false">D20*E20/1000</f>
        <v>1751.24196</v>
      </c>
      <c r="G20" s="1231" t="n">
        <f aca="false">[4]MMBTU!U43</f>
        <v>2027889.10137672</v>
      </c>
      <c r="H20" s="1229" t="n">
        <f aca="false">IF($A20&gt;Endyr,0,Tariff_Var)</f>
        <v>0.0064</v>
      </c>
      <c r="I20" s="1230" t="n">
        <f aca="false">G20*H20/1000</f>
        <v>12.978490248811</v>
      </c>
      <c r="J20" s="1232" t="n">
        <f aca="false">SUM(F20,I20)</f>
        <v>1764.22045024881</v>
      </c>
      <c r="K20" s="1233" t="n">
        <f aca="false">VLOOKUP($A20,Curves_Table,Escalation!$O$291)</f>
        <v>1.09718061747934</v>
      </c>
      <c r="L20" s="1234" t="n">
        <f aca="false">J20*K20</f>
        <v>1935.66848297367</v>
      </c>
      <c r="M20" s="1235" t="str">
        <f aca="false">IF(MONTH($A20)=12,SUM(L9:L20)," ")</f>
        <v> </v>
      </c>
    </row>
    <row r="21" customFormat="false" ht="12.75" hidden="false" customHeight="false" outlineLevel="0" collapsed="false">
      <c r="A21" s="1226" t="n">
        <f aca="false">EDATE(A20,1)</f>
        <v>37226</v>
      </c>
      <c r="C21" s="1227" t="n">
        <f aca="false">A22-A21</f>
        <v>31</v>
      </c>
      <c r="D21" s="1228" t="n">
        <f aca="false">(IF($A21&gt;Endyr,0,IF($A21&lt;Assm!$F$32,G21,Capacity*C21)))*(1+RAROC!$N$12)</f>
        <v>3192690</v>
      </c>
      <c r="E21" s="1229" t="n">
        <f aca="false">IF($A21&gt;Endyr,0,Tariff_Cap)</f>
        <v>0.5668</v>
      </c>
      <c r="F21" s="1230" t="n">
        <f aca="false">D21*E21/1000</f>
        <v>1809.616692</v>
      </c>
      <c r="G21" s="1231" t="n">
        <f aca="false">[4]MMBTU!U44</f>
        <v>2095485.40475594</v>
      </c>
      <c r="H21" s="1229" t="n">
        <f aca="false">IF($A21&gt;Endyr,0,Tariff_Var)</f>
        <v>0.0064</v>
      </c>
      <c r="I21" s="1230" t="n">
        <f aca="false">G21*H21/1000</f>
        <v>13.411106590438</v>
      </c>
      <c r="J21" s="1232" t="n">
        <f aca="false">SUM(F21,I21)</f>
        <v>1823.02779859044</v>
      </c>
      <c r="K21" s="1233" t="n">
        <f aca="false">VLOOKUP($A21,Curves_Table,Escalation!$O$291)</f>
        <v>1.09718061747934</v>
      </c>
      <c r="L21" s="1234" t="n">
        <f aca="false">J21*K21</f>
        <v>2000.19076573946</v>
      </c>
      <c r="M21" s="1235" t="n">
        <f aca="false">IF(MONTH($A21)=12,SUM(L10:L21)," ")</f>
        <v>14282.925136278</v>
      </c>
    </row>
    <row r="22" customFormat="false" ht="12.75" hidden="false" customHeight="false" outlineLevel="0" collapsed="false">
      <c r="A22" s="1236" t="n">
        <f aca="false">EDATE(A21,1)</f>
        <v>37257</v>
      </c>
      <c r="C22" s="1227" t="n">
        <f aca="false">A23-A22</f>
        <v>31</v>
      </c>
      <c r="D22" s="1237" t="n">
        <f aca="false">(IF($A22&gt;Endyr,0,IF($A22&lt;Assm!$F$32,G22,Capacity*C22)))*(1+RAROC!$N$12)</f>
        <v>3192690</v>
      </c>
      <c r="E22" s="1238" t="n">
        <f aca="false">IF($A22&gt;Endyr,0,Tariff_Cap)</f>
        <v>0.5668</v>
      </c>
      <c r="F22" s="1239" t="n">
        <f aca="false">D22*E22/1000</f>
        <v>1809.616692</v>
      </c>
      <c r="G22" s="1240" t="n">
        <f aca="false">[4]MMBTU!U45</f>
        <v>2095485.40475594</v>
      </c>
      <c r="H22" s="1238" t="n">
        <f aca="false">IF($A22&gt;Endyr,0,Tariff_Var)</f>
        <v>0.0064</v>
      </c>
      <c r="I22" s="1239" t="n">
        <f aca="false">G22*H22/1000</f>
        <v>13.411106590438</v>
      </c>
      <c r="J22" s="1241" t="n">
        <f aca="false">SUM(F22,I22)</f>
        <v>1823.02779859044</v>
      </c>
      <c r="K22" s="1233" t="n">
        <f aca="false">VLOOKUP($A22,Curves_Table,Escalation!$O$291)</f>
        <v>1.09718061747934</v>
      </c>
      <c r="L22" s="1242" t="n">
        <f aca="false">J22*K22</f>
        <v>2000.19076573946</v>
      </c>
      <c r="M22" s="1235" t="str">
        <f aca="false">IF(MONTH($A22)=12,SUM(L11:L22)," ")</f>
        <v> </v>
      </c>
    </row>
    <row r="23" customFormat="false" ht="12.75" hidden="false" customHeight="false" outlineLevel="0" collapsed="false">
      <c r="A23" s="1226" t="n">
        <f aca="false">EDATE(A22,1)</f>
        <v>37288</v>
      </c>
      <c r="C23" s="1227" t="n">
        <f aca="false">A24-A23</f>
        <v>28</v>
      </c>
      <c r="D23" s="1228" t="n">
        <f aca="false">(IF($A23&gt;Endyr,0,IF($A23&lt;Assm!$F$32,G23,Capacity*C23)))*(1+RAROC!$N$12)</f>
        <v>2883720</v>
      </c>
      <c r="E23" s="1229" t="n">
        <f aca="false">IF($A23&gt;Endyr,0,Tariff_Cap)</f>
        <v>0.5668</v>
      </c>
      <c r="F23" s="1230" t="n">
        <f aca="false">D23*E23/1000</f>
        <v>1634.492496</v>
      </c>
      <c r="G23" s="1231" t="n">
        <f aca="false">[4]MMBTU!U46</f>
        <v>1892696.49461827</v>
      </c>
      <c r="H23" s="1229" t="n">
        <f aca="false">IF($A23&gt;Endyr,0,Tariff_Var)</f>
        <v>0.0064</v>
      </c>
      <c r="I23" s="1230" t="n">
        <f aca="false">G23*H23/1000</f>
        <v>12.113257565557</v>
      </c>
      <c r="J23" s="1232" t="n">
        <f aca="false">SUM(F23,I23)</f>
        <v>1646.60575356556</v>
      </c>
      <c r="K23" s="1233" t="n">
        <f aca="false">VLOOKUP($A23,Curves_Table,Escalation!$O$291)</f>
        <v>1.09718061747934</v>
      </c>
      <c r="L23" s="1234" t="n">
        <f aca="false">J23*K23</f>
        <v>1806.62391744209</v>
      </c>
      <c r="M23" s="1235" t="str">
        <f aca="false">IF(MONTH($A23)=12,SUM(L12:L23)," ")</f>
        <v> </v>
      </c>
    </row>
    <row r="24" customFormat="false" ht="12.75" hidden="false" customHeight="false" outlineLevel="0" collapsed="false">
      <c r="A24" s="1226" t="n">
        <f aca="false">EDATE(A23,1)</f>
        <v>37316</v>
      </c>
      <c r="C24" s="1227" t="n">
        <f aca="false">A25-A24</f>
        <v>31</v>
      </c>
      <c r="D24" s="1228" t="n">
        <f aca="false">(IF($A24&gt;Endyr,0,IF($A24&lt;Assm!$F$32,G24,Capacity*C24)))*(1+RAROC!$N$12)</f>
        <v>3192690</v>
      </c>
      <c r="E24" s="1229" t="n">
        <f aca="false">IF($A24&gt;Endyr,0,Tariff_Cap)</f>
        <v>0.5668</v>
      </c>
      <c r="F24" s="1230" t="n">
        <f aca="false">D24*E24/1000</f>
        <v>1809.616692</v>
      </c>
      <c r="G24" s="1231" t="n">
        <f aca="false">[4]MMBTU!U47</f>
        <v>2095485.40475594</v>
      </c>
      <c r="H24" s="1229" t="n">
        <f aca="false">IF($A24&gt;Endyr,0,Tariff_Var)</f>
        <v>0.0064</v>
      </c>
      <c r="I24" s="1230" t="n">
        <f aca="false">G24*H24/1000</f>
        <v>13.411106590438</v>
      </c>
      <c r="J24" s="1232" t="n">
        <f aca="false">SUM(F24,I24)</f>
        <v>1823.02779859044</v>
      </c>
      <c r="K24" s="1233" t="n">
        <f aca="false">VLOOKUP($A24,Curves_Table,Escalation!$O$291)</f>
        <v>1.09718061747934</v>
      </c>
      <c r="L24" s="1234" t="n">
        <f aca="false">J24*K24</f>
        <v>2000.19076573946</v>
      </c>
      <c r="M24" s="1235" t="str">
        <f aca="false">IF(MONTH($A24)=12,SUM(L13:L24)," ")</f>
        <v> </v>
      </c>
    </row>
    <row r="25" customFormat="false" ht="12.75" hidden="false" customHeight="false" outlineLevel="0" collapsed="false">
      <c r="A25" s="1226" t="n">
        <f aca="false">EDATE(A24,1)</f>
        <v>37347</v>
      </c>
      <c r="C25" s="1227" t="n">
        <f aca="false">A26-A25</f>
        <v>30</v>
      </c>
      <c r="D25" s="1228" t="n">
        <f aca="false">(IF($A25&gt;Endyr,0,IF($A25&lt;Assm!$F$32,G25,Capacity*C25)))*(1+RAROC!$N$12)</f>
        <v>3089700</v>
      </c>
      <c r="E25" s="1229" t="n">
        <f aca="false">IF($A25&gt;Endyr,0,Tariff_Cap)</f>
        <v>0.5668</v>
      </c>
      <c r="F25" s="1230" t="n">
        <f aca="false">D25*E25/1000</f>
        <v>1751.24196</v>
      </c>
      <c r="G25" s="1231" t="n">
        <f aca="false">[4]MMBTU!U48</f>
        <v>2027889.10137672</v>
      </c>
      <c r="H25" s="1229" t="n">
        <f aca="false">IF($A25&gt;Endyr,0,Tariff_Var)</f>
        <v>0.0064</v>
      </c>
      <c r="I25" s="1230" t="n">
        <f aca="false">G25*H25/1000</f>
        <v>12.978490248811</v>
      </c>
      <c r="J25" s="1232" t="n">
        <f aca="false">SUM(F25,I25)</f>
        <v>1764.22045024881</v>
      </c>
      <c r="K25" s="1233" t="n">
        <f aca="false">VLOOKUP($A25,Curves_Table,Escalation!$O$291)</f>
        <v>1.09718061747934</v>
      </c>
      <c r="L25" s="1234" t="n">
        <f aca="false">J25*K25</f>
        <v>1935.66848297367</v>
      </c>
      <c r="M25" s="1235" t="str">
        <f aca="false">IF(MONTH($A25)=12,SUM(L14:L25)," ")</f>
        <v> </v>
      </c>
    </row>
    <row r="26" customFormat="false" ht="12.75" hidden="false" customHeight="false" outlineLevel="0" collapsed="false">
      <c r="A26" s="1226" t="n">
        <f aca="false">EDATE(A25,1)</f>
        <v>37377</v>
      </c>
      <c r="C26" s="1227" t="n">
        <f aca="false">A27-A26</f>
        <v>31</v>
      </c>
      <c r="D26" s="1228" t="n">
        <f aca="false">(IF($A26&gt;Endyr,0,IF($A26&lt;Assm!$F$32,G26,Capacity*C26)))*(1+RAROC!$N$12)</f>
        <v>3192690</v>
      </c>
      <c r="E26" s="1229" t="n">
        <f aca="false">IF($A26&gt;Endyr,0,Tariff_Cap)</f>
        <v>0.5668</v>
      </c>
      <c r="F26" s="1230" t="n">
        <f aca="false">D26*E26/1000</f>
        <v>1809.616692</v>
      </c>
      <c r="G26" s="1231" t="n">
        <f aca="false">[4]MMBTU!U49</f>
        <v>2095485.40475594</v>
      </c>
      <c r="H26" s="1229" t="n">
        <f aca="false">IF($A26&gt;Endyr,0,Tariff_Var)</f>
        <v>0.0064</v>
      </c>
      <c r="I26" s="1230" t="n">
        <f aca="false">G26*H26/1000</f>
        <v>13.411106590438</v>
      </c>
      <c r="J26" s="1232" t="n">
        <f aca="false">SUM(F26,I26)</f>
        <v>1823.02779859044</v>
      </c>
      <c r="K26" s="1233" t="n">
        <f aca="false">VLOOKUP($A26,Curves_Table,Escalation!$O$291)</f>
        <v>1.13219066683837</v>
      </c>
      <c r="L26" s="1234" t="n">
        <f aca="false">J26*K26</f>
        <v>2064.01505895099</v>
      </c>
      <c r="M26" s="1235" t="str">
        <f aca="false">IF(MONTH($A26)=12,SUM(L15:L26)," ")</f>
        <v> </v>
      </c>
    </row>
    <row r="27" customFormat="false" ht="12.75" hidden="false" customHeight="false" outlineLevel="0" collapsed="false">
      <c r="A27" s="1226" t="n">
        <f aca="false">EDATE(A26,1)</f>
        <v>37408</v>
      </c>
      <c r="C27" s="1227" t="n">
        <f aca="false">A28-A27</f>
        <v>30</v>
      </c>
      <c r="D27" s="1228" t="n">
        <f aca="false">(IF($A27&gt;Endyr,0,IF($A27&lt;Assm!$F$32,G27,Capacity*C27)))*(1+RAROC!$N$12)</f>
        <v>3089700</v>
      </c>
      <c r="E27" s="1229" t="n">
        <f aca="false">IF($A27&gt;Endyr,0,Tariff_Cap)</f>
        <v>0.5668</v>
      </c>
      <c r="F27" s="1230" t="n">
        <f aca="false">D27*E27/1000</f>
        <v>1751.24196</v>
      </c>
      <c r="G27" s="1231" t="n">
        <f aca="false">[4]MMBTU!U50</f>
        <v>2027889.10137672</v>
      </c>
      <c r="H27" s="1229" t="n">
        <f aca="false">IF($A27&gt;Endyr,0,Tariff_Var)</f>
        <v>0.0064</v>
      </c>
      <c r="I27" s="1230" t="n">
        <f aca="false">G27*H27/1000</f>
        <v>12.978490248811</v>
      </c>
      <c r="J27" s="1232" t="n">
        <f aca="false">SUM(F27,I27)</f>
        <v>1764.22045024881</v>
      </c>
      <c r="K27" s="1233" t="n">
        <f aca="false">VLOOKUP($A27,Curves_Table,Escalation!$O$291)</f>
        <v>1.13219066683837</v>
      </c>
      <c r="L27" s="1234" t="n">
        <f aca="false">J27*K27</f>
        <v>1997.43392801708</v>
      </c>
      <c r="M27" s="1235" t="str">
        <f aca="false">IF(MONTH($A27)=12,SUM(L16:L27)," ")</f>
        <v> </v>
      </c>
    </row>
    <row r="28" customFormat="false" ht="12.75" hidden="false" customHeight="false" outlineLevel="0" collapsed="false">
      <c r="A28" s="1226" t="n">
        <f aca="false">EDATE(A27,1)</f>
        <v>37438</v>
      </c>
      <c r="C28" s="1227" t="n">
        <f aca="false">A29-A28</f>
        <v>31</v>
      </c>
      <c r="D28" s="1228" t="n">
        <f aca="false">(IF($A28&gt;Endyr,0,IF($A28&lt;Assm!$F$32,G28,Capacity*C28)))*(1+RAROC!$N$12)</f>
        <v>3192690</v>
      </c>
      <c r="E28" s="1229" t="n">
        <f aca="false">IF($A28&gt;Endyr,0,Tariff_Cap)</f>
        <v>0.5668</v>
      </c>
      <c r="F28" s="1230" t="n">
        <f aca="false">D28*E28/1000</f>
        <v>1809.616692</v>
      </c>
      <c r="G28" s="1231" t="n">
        <f aca="false">[4]MMBTU!U51</f>
        <v>2095485.40475594</v>
      </c>
      <c r="H28" s="1229" t="n">
        <f aca="false">IF($A28&gt;Endyr,0,Tariff_Var)</f>
        <v>0.0064</v>
      </c>
      <c r="I28" s="1230" t="n">
        <f aca="false">G28*H28/1000</f>
        <v>13.411106590438</v>
      </c>
      <c r="J28" s="1232" t="n">
        <f aca="false">SUM(F28,I28)</f>
        <v>1823.02779859044</v>
      </c>
      <c r="K28" s="1233" t="n">
        <f aca="false">VLOOKUP($A28,Curves_Table,Escalation!$O$291)</f>
        <v>1.13219066683837</v>
      </c>
      <c r="L28" s="1234" t="n">
        <f aca="false">J28*K28</f>
        <v>2064.01505895099</v>
      </c>
      <c r="M28" s="1235" t="str">
        <f aca="false">IF(MONTH($A28)=12,SUM(L17:L28)," ")</f>
        <v> </v>
      </c>
    </row>
    <row r="29" customFormat="false" ht="12.75" hidden="false" customHeight="false" outlineLevel="0" collapsed="false">
      <c r="A29" s="1226" t="n">
        <f aca="false">EDATE(A28,1)</f>
        <v>37469</v>
      </c>
      <c r="C29" s="1227" t="n">
        <f aca="false">A30-A29</f>
        <v>31</v>
      </c>
      <c r="D29" s="1228" t="n">
        <f aca="false">(IF($A29&gt;Endyr,0,IF($A29&lt;Assm!$F$32,G29,Capacity*C29)))*(1+RAROC!$N$12)</f>
        <v>3192690</v>
      </c>
      <c r="E29" s="1229" t="n">
        <f aca="false">IF($A29&gt;Endyr,0,Tariff_Cap)</f>
        <v>0.5668</v>
      </c>
      <c r="F29" s="1230" t="n">
        <f aca="false">D29*E29/1000</f>
        <v>1809.616692</v>
      </c>
      <c r="G29" s="1231" t="n">
        <f aca="false">[4]MMBTU!U52</f>
        <v>2095485.40475594</v>
      </c>
      <c r="H29" s="1229" t="n">
        <f aca="false">IF($A29&gt;Endyr,0,Tariff_Var)</f>
        <v>0.0064</v>
      </c>
      <c r="I29" s="1230" t="n">
        <f aca="false">G29*H29/1000</f>
        <v>13.411106590438</v>
      </c>
      <c r="J29" s="1232" t="n">
        <f aca="false">SUM(F29,I29)</f>
        <v>1823.02779859044</v>
      </c>
      <c r="K29" s="1233" t="n">
        <f aca="false">VLOOKUP($A29,Curves_Table,Escalation!$O$291)</f>
        <v>1.13219066683837</v>
      </c>
      <c r="L29" s="1234" t="n">
        <f aca="false">J29*K29</f>
        <v>2064.01505895099</v>
      </c>
      <c r="M29" s="1235" t="str">
        <f aca="false">IF(MONTH($A29)=12,SUM(L18:L29)," ")</f>
        <v> </v>
      </c>
    </row>
    <row r="30" customFormat="false" ht="12.75" hidden="false" customHeight="false" outlineLevel="0" collapsed="false">
      <c r="A30" s="1226" t="n">
        <f aca="false">EDATE(A29,1)</f>
        <v>37500</v>
      </c>
      <c r="C30" s="1227" t="n">
        <f aca="false">A31-A30</f>
        <v>30</v>
      </c>
      <c r="D30" s="1228" t="n">
        <f aca="false">(IF($A30&gt;Endyr,0,IF($A30&lt;Assm!$F$32,G30,Capacity*C30)))*(1+RAROC!$N$12)</f>
        <v>3089700</v>
      </c>
      <c r="E30" s="1229" t="n">
        <f aca="false">IF($A30&gt;Endyr,0,Tariff_Cap)</f>
        <v>0.5668</v>
      </c>
      <c r="F30" s="1230" t="n">
        <f aca="false">D30*E30/1000</f>
        <v>1751.24196</v>
      </c>
      <c r="G30" s="1231" t="n">
        <f aca="false">[4]MMBTU!U53</f>
        <v>2027889.10137672</v>
      </c>
      <c r="H30" s="1229" t="n">
        <f aca="false">IF($A30&gt;Endyr,0,Tariff_Var)</f>
        <v>0.0064</v>
      </c>
      <c r="I30" s="1230" t="n">
        <f aca="false">G30*H30/1000</f>
        <v>12.978490248811</v>
      </c>
      <c r="J30" s="1232" t="n">
        <f aca="false">SUM(F30,I30)</f>
        <v>1764.22045024881</v>
      </c>
      <c r="K30" s="1233" t="n">
        <f aca="false">VLOOKUP($A30,Curves_Table,Escalation!$O$291)</f>
        <v>1.13219066683837</v>
      </c>
      <c r="L30" s="1234" t="n">
        <f aca="false">J30*K30</f>
        <v>1997.43392801708</v>
      </c>
      <c r="M30" s="1235" t="str">
        <f aca="false">IF(MONTH($A30)=12,SUM(L19:L30)," ")</f>
        <v> </v>
      </c>
    </row>
    <row r="31" customFormat="false" ht="12.75" hidden="false" customHeight="false" outlineLevel="0" collapsed="false">
      <c r="A31" s="1226" t="n">
        <f aca="false">EDATE(A30,1)</f>
        <v>37530</v>
      </c>
      <c r="C31" s="1227" t="n">
        <f aca="false">A32-A31</f>
        <v>31</v>
      </c>
      <c r="D31" s="1228" t="n">
        <f aca="false">(IF($A31&gt;Endyr,0,IF($A31&lt;Assm!$F$32,G31,Capacity*C31)))*(1+RAROC!$N$12)</f>
        <v>3192690</v>
      </c>
      <c r="E31" s="1229" t="n">
        <f aca="false">IF($A31&gt;Endyr,0,Tariff_Cap)</f>
        <v>0.5668</v>
      </c>
      <c r="F31" s="1230" t="n">
        <f aca="false">D31*E31/1000</f>
        <v>1809.616692</v>
      </c>
      <c r="G31" s="1231" t="n">
        <f aca="false">[4]MMBTU!U54</f>
        <v>2095485.40475594</v>
      </c>
      <c r="H31" s="1229" t="n">
        <f aca="false">IF($A31&gt;Endyr,0,Tariff_Var)</f>
        <v>0.0064</v>
      </c>
      <c r="I31" s="1230" t="n">
        <f aca="false">G31*H31/1000</f>
        <v>13.411106590438</v>
      </c>
      <c r="J31" s="1232" t="n">
        <f aca="false">SUM(F31,I31)</f>
        <v>1823.02779859044</v>
      </c>
      <c r="K31" s="1233" t="n">
        <f aca="false">VLOOKUP($A31,Curves_Table,Escalation!$O$291)</f>
        <v>1.13219066683837</v>
      </c>
      <c r="L31" s="1234" t="n">
        <f aca="false">J31*K31</f>
        <v>2064.01505895099</v>
      </c>
      <c r="M31" s="1235" t="str">
        <f aca="false">IF(MONTH($A31)=12,SUM(L20:L31)," ")</f>
        <v> </v>
      </c>
    </row>
    <row r="32" customFormat="false" ht="12.75" hidden="false" customHeight="false" outlineLevel="0" collapsed="false">
      <c r="A32" s="1226" t="n">
        <f aca="false">EDATE(A31,1)</f>
        <v>37561</v>
      </c>
      <c r="C32" s="1227" t="n">
        <f aca="false">A33-A32</f>
        <v>30</v>
      </c>
      <c r="D32" s="1228" t="n">
        <f aca="false">(IF($A32&gt;Endyr,0,IF($A32&lt;Assm!$F$32,G32,Capacity*C32)))*(1+RAROC!$N$12)</f>
        <v>3089700</v>
      </c>
      <c r="E32" s="1229" t="n">
        <f aca="false">IF($A32&gt;Endyr,0,Tariff_Cap)</f>
        <v>0.5668</v>
      </c>
      <c r="F32" s="1230" t="n">
        <f aca="false">D32*E32/1000</f>
        <v>1751.24196</v>
      </c>
      <c r="G32" s="1231" t="n">
        <f aca="false">[4]MMBTU!U55</f>
        <v>2027889.10137672</v>
      </c>
      <c r="H32" s="1229" t="n">
        <f aca="false">IF($A32&gt;Endyr,0,Tariff_Var)</f>
        <v>0.0064</v>
      </c>
      <c r="I32" s="1230" t="n">
        <f aca="false">G32*H32/1000</f>
        <v>12.978490248811</v>
      </c>
      <c r="J32" s="1232" t="n">
        <f aca="false">SUM(F32,I32)</f>
        <v>1764.22045024881</v>
      </c>
      <c r="K32" s="1233" t="n">
        <f aca="false">VLOOKUP($A32,Curves_Table,Escalation!$O$291)</f>
        <v>1.13219066683837</v>
      </c>
      <c r="L32" s="1234" t="n">
        <f aca="false">J32*K32</f>
        <v>1997.43392801708</v>
      </c>
      <c r="M32" s="1235" t="str">
        <f aca="false">IF(MONTH($A32)=12,SUM(L21:L32)," ")</f>
        <v> </v>
      </c>
    </row>
    <row r="33" customFormat="false" ht="12.75" hidden="false" customHeight="false" outlineLevel="0" collapsed="false">
      <c r="A33" s="1226" t="n">
        <f aca="false">EDATE(A32,1)</f>
        <v>37591</v>
      </c>
      <c r="C33" s="1227" t="n">
        <f aca="false">A34-A33</f>
        <v>31</v>
      </c>
      <c r="D33" s="1228" t="n">
        <f aca="false">(IF($A33&gt;Endyr,0,IF($A33&lt;Assm!$F$32,G33,Capacity*C33)))*(1+RAROC!$N$12)</f>
        <v>3192690</v>
      </c>
      <c r="E33" s="1229" t="n">
        <f aca="false">IF($A33&gt;Endyr,0,Tariff_Cap)</f>
        <v>0.5668</v>
      </c>
      <c r="F33" s="1230" t="n">
        <f aca="false">D33*E33/1000</f>
        <v>1809.616692</v>
      </c>
      <c r="G33" s="1231" t="n">
        <f aca="false">[4]MMBTU!U56</f>
        <v>2095485.40475594</v>
      </c>
      <c r="H33" s="1229" t="n">
        <f aca="false">IF($A33&gt;Endyr,0,Tariff_Var)</f>
        <v>0.0064</v>
      </c>
      <c r="I33" s="1230" t="n">
        <f aca="false">G33*H33/1000</f>
        <v>13.411106590438</v>
      </c>
      <c r="J33" s="1232" t="n">
        <f aca="false">SUM(F33,I33)</f>
        <v>1823.02779859044</v>
      </c>
      <c r="K33" s="1233" t="n">
        <f aca="false">VLOOKUP($A33,Curves_Table,Escalation!$O$291)</f>
        <v>1.13219066683837</v>
      </c>
      <c r="L33" s="1234" t="n">
        <f aca="false">J33*K33</f>
        <v>2064.01505895099</v>
      </c>
      <c r="M33" s="1243" t="n">
        <f aca="false">IF(MONTH($A33)=12,SUM(L22:L33)," ")</f>
        <v>24055.0510107009</v>
      </c>
    </row>
    <row r="34" customFormat="false" ht="12.75" hidden="false" customHeight="false" outlineLevel="0" collapsed="false">
      <c r="A34" s="1226" t="n">
        <f aca="false">EDATE(A33,1)</f>
        <v>37622</v>
      </c>
      <c r="C34" s="1227" t="n">
        <f aca="false">A35-A34</f>
        <v>31</v>
      </c>
      <c r="D34" s="1228" t="n">
        <f aca="false">(IF($A34&gt;Endyr,0,IF($A34&lt;Assm!$F$32,G34,Capacity*C34)))*(1+RAROC!$N$12)</f>
        <v>3192690</v>
      </c>
      <c r="E34" s="1229" t="n">
        <f aca="false">IF($A34&gt;Endyr,0,Tariff_Cap)</f>
        <v>0.5668</v>
      </c>
      <c r="F34" s="1230" t="n">
        <f aca="false">D34*E34/1000</f>
        <v>1809.616692</v>
      </c>
      <c r="G34" s="1231" t="n">
        <f aca="false">[4]MMBTU!U57</f>
        <v>2095485.40475594</v>
      </c>
      <c r="H34" s="1229" t="n">
        <f aca="false">IF($A34&gt;Endyr,0,Tariff_Var)</f>
        <v>0.0064</v>
      </c>
      <c r="I34" s="1230" t="n">
        <f aca="false">G34*H34/1000</f>
        <v>13.411106590438</v>
      </c>
      <c r="J34" s="1232" t="n">
        <f aca="false">SUM(F34,I34)</f>
        <v>1823.02779859044</v>
      </c>
      <c r="K34" s="1233" t="n">
        <f aca="false">VLOOKUP($A34,Curves_Table,Escalation!$O$291)</f>
        <v>1.13219066683837</v>
      </c>
      <c r="L34" s="1234" t="n">
        <f aca="false">J34*K34</f>
        <v>2064.01505895099</v>
      </c>
      <c r="M34" s="1235" t="str">
        <f aca="false">IF(MONTH($A34)=12,SUM(L23:L34)," ")</f>
        <v> </v>
      </c>
    </row>
    <row r="35" customFormat="false" ht="12.75" hidden="false" customHeight="false" outlineLevel="0" collapsed="false">
      <c r="A35" s="1226" t="n">
        <f aca="false">EDATE(A34,1)</f>
        <v>37653</v>
      </c>
      <c r="C35" s="1227" t="n">
        <f aca="false">A36-A35</f>
        <v>28</v>
      </c>
      <c r="D35" s="1228" t="n">
        <f aca="false">(IF($A35&gt;Endyr,0,IF($A35&lt;Assm!$F$32,G35,Capacity*C35)))*(1+RAROC!$N$12)</f>
        <v>2883720</v>
      </c>
      <c r="E35" s="1229" t="n">
        <f aca="false">IF($A35&gt;Endyr,0,Tariff_Cap)</f>
        <v>0.5668</v>
      </c>
      <c r="F35" s="1230" t="n">
        <f aca="false">D35*E35/1000</f>
        <v>1634.492496</v>
      </c>
      <c r="G35" s="1231" t="n">
        <f aca="false">[4]MMBTU!U58</f>
        <v>1892696.49461827</v>
      </c>
      <c r="H35" s="1229" t="n">
        <f aca="false">IF($A35&gt;Endyr,0,Tariff_Var)</f>
        <v>0.0064</v>
      </c>
      <c r="I35" s="1230" t="n">
        <f aca="false">G35*H35/1000</f>
        <v>12.113257565557</v>
      </c>
      <c r="J35" s="1232" t="n">
        <f aca="false">SUM(F35,I35)</f>
        <v>1646.60575356556</v>
      </c>
      <c r="K35" s="1233" t="n">
        <f aca="false">VLOOKUP($A35,Curves_Table,Escalation!$O$291)</f>
        <v>1.13219066683837</v>
      </c>
      <c r="L35" s="1234" t="n">
        <f aca="false">J35*K35</f>
        <v>1864.27166614928</v>
      </c>
      <c r="M35" s="1235" t="str">
        <f aca="false">IF(MONTH($A35)=12,SUM(L24:L35)," ")</f>
        <v> </v>
      </c>
    </row>
    <row r="36" customFormat="false" ht="12.75" hidden="false" customHeight="false" outlineLevel="0" collapsed="false">
      <c r="A36" s="1226" t="n">
        <f aca="false">EDATE(A35,1)</f>
        <v>37681</v>
      </c>
      <c r="C36" s="1227" t="n">
        <f aca="false">A37-A36</f>
        <v>31</v>
      </c>
      <c r="D36" s="1228" t="n">
        <f aca="false">(IF($A36&gt;Endyr,0,IF($A36&lt;Assm!$F$32,G36,Capacity*C36)))*(1+RAROC!$N$12)</f>
        <v>3192690</v>
      </c>
      <c r="E36" s="1229" t="n">
        <f aca="false">IF($A36&gt;Endyr,0,Tariff_Cap)</f>
        <v>0.5668</v>
      </c>
      <c r="F36" s="1230" t="n">
        <f aca="false">D36*E36/1000</f>
        <v>1809.616692</v>
      </c>
      <c r="G36" s="1231" t="n">
        <f aca="false">[4]MMBTU!U59</f>
        <v>2095485.40475594</v>
      </c>
      <c r="H36" s="1229" t="n">
        <f aca="false">IF($A36&gt;Endyr,0,Tariff_Var)</f>
        <v>0.0064</v>
      </c>
      <c r="I36" s="1230" t="n">
        <f aca="false">G36*H36/1000</f>
        <v>13.411106590438</v>
      </c>
      <c r="J36" s="1232" t="n">
        <f aca="false">SUM(F36,I36)</f>
        <v>1823.02779859044</v>
      </c>
      <c r="K36" s="1233" t="n">
        <f aca="false">VLOOKUP($A36,Curves_Table,Escalation!$O$291)</f>
        <v>1.13219066683837</v>
      </c>
      <c r="L36" s="1234" t="n">
        <f aca="false">J36*K36</f>
        <v>2064.01505895099</v>
      </c>
      <c r="M36" s="1235" t="str">
        <f aca="false">IF(MONTH($A36)=12,SUM(L25:L36)," ")</f>
        <v> </v>
      </c>
    </row>
    <row r="37" customFormat="false" ht="12.75" hidden="false" customHeight="false" outlineLevel="0" collapsed="false">
      <c r="A37" s="1226" t="n">
        <f aca="false">EDATE(A36,1)</f>
        <v>37712</v>
      </c>
      <c r="C37" s="1227" t="n">
        <f aca="false">A38-A37</f>
        <v>30</v>
      </c>
      <c r="D37" s="1228" t="n">
        <f aca="false">(IF($A37&gt;Endyr,0,IF($A37&lt;Assm!$F$32,G37,Capacity*C37)))*(1+RAROC!$N$12)</f>
        <v>3089700</v>
      </c>
      <c r="E37" s="1229" t="n">
        <f aca="false">IF($A37&gt;Endyr,0,Tariff_Cap)</f>
        <v>0.5668</v>
      </c>
      <c r="F37" s="1230" t="n">
        <f aca="false">D37*E37/1000</f>
        <v>1751.24196</v>
      </c>
      <c r="G37" s="1231" t="n">
        <f aca="false">[4]MMBTU!U60</f>
        <v>2027889.10137672</v>
      </c>
      <c r="H37" s="1229" t="n">
        <f aca="false">IF($A37&gt;Endyr,0,Tariff_Var)</f>
        <v>0.0064</v>
      </c>
      <c r="I37" s="1230" t="n">
        <f aca="false">G37*H37/1000</f>
        <v>12.978490248811</v>
      </c>
      <c r="J37" s="1232" t="n">
        <f aca="false">SUM(F37,I37)</f>
        <v>1764.22045024881</v>
      </c>
      <c r="K37" s="1233" t="n">
        <f aca="false">VLOOKUP($A37,Curves_Table,Escalation!$O$291)</f>
        <v>1.13219066683837</v>
      </c>
      <c r="L37" s="1234" t="n">
        <f aca="false">J37*K37</f>
        <v>1997.43392801708</v>
      </c>
      <c r="M37" s="1235" t="str">
        <f aca="false">IF(MONTH($A37)=12,SUM(L26:L37)," ")</f>
        <v> </v>
      </c>
    </row>
    <row r="38" customFormat="false" ht="12.75" hidden="false" customHeight="false" outlineLevel="0" collapsed="false">
      <c r="A38" s="1226" t="n">
        <f aca="false">EDATE(A37,1)</f>
        <v>37742</v>
      </c>
      <c r="C38" s="1227" t="n">
        <f aca="false">A39-A38</f>
        <v>31</v>
      </c>
      <c r="D38" s="1228" t="n">
        <f aca="false">(IF($A38&gt;Endyr,0,IF($A38&lt;Assm!$F$32,G38,Capacity*C38)))*(1+RAROC!$N$12)</f>
        <v>3192690</v>
      </c>
      <c r="E38" s="1229" t="n">
        <f aca="false">IF($A38&gt;Endyr,0,Tariff_Cap)</f>
        <v>0.5668</v>
      </c>
      <c r="F38" s="1230" t="n">
        <f aca="false">D38*E38/1000</f>
        <v>1809.616692</v>
      </c>
      <c r="G38" s="1231" t="n">
        <f aca="false">[4]MMBTU!U61</f>
        <v>2095485.40475594</v>
      </c>
      <c r="H38" s="1229" t="n">
        <f aca="false">IF($A38&gt;Endyr,0,Tariff_Var)</f>
        <v>0.0064</v>
      </c>
      <c r="I38" s="1230" t="n">
        <f aca="false">G38*H38/1000</f>
        <v>13.411106590438</v>
      </c>
      <c r="J38" s="1232" t="n">
        <f aca="false">SUM(F38,I38)</f>
        <v>1823.02779859044</v>
      </c>
      <c r="K38" s="1233" t="n">
        <f aca="false">VLOOKUP($A38,Curves_Table,Escalation!$O$291)</f>
        <v>1.16628704592773</v>
      </c>
      <c r="L38" s="1234" t="n">
        <f aca="false">J38*K38</f>
        <v>2126.17370586218</v>
      </c>
      <c r="M38" s="1235" t="str">
        <f aca="false">IF(MONTH($A38)=12,SUM(L27:L38)," ")</f>
        <v> </v>
      </c>
    </row>
    <row r="39" customFormat="false" ht="12.75" hidden="false" customHeight="false" outlineLevel="0" collapsed="false">
      <c r="A39" s="1226" t="n">
        <f aca="false">EDATE(A38,1)</f>
        <v>37773</v>
      </c>
      <c r="C39" s="1227" t="n">
        <f aca="false">A40-A39</f>
        <v>30</v>
      </c>
      <c r="D39" s="1228" t="n">
        <f aca="false">(IF($A39&gt;Endyr,0,IF($A39&lt;Assm!$F$32,G39,Capacity*C39)))*(1+RAROC!$N$12)</f>
        <v>3089700</v>
      </c>
      <c r="E39" s="1229" t="n">
        <f aca="false">IF($A39&gt;Endyr,0,Tariff_Cap)</f>
        <v>0.5668</v>
      </c>
      <c r="F39" s="1230" t="n">
        <f aca="false">D39*E39/1000</f>
        <v>1751.24196</v>
      </c>
      <c r="G39" s="1231" t="n">
        <f aca="false">[4]MMBTU!U62</f>
        <v>2027889.10137672</v>
      </c>
      <c r="H39" s="1229" t="n">
        <f aca="false">IF($A39&gt;Endyr,0,Tariff_Var)</f>
        <v>0.0064</v>
      </c>
      <c r="I39" s="1230" t="n">
        <f aca="false">G39*H39/1000</f>
        <v>12.978490248811</v>
      </c>
      <c r="J39" s="1232" t="n">
        <f aca="false">SUM(F39,I39)</f>
        <v>1764.22045024881</v>
      </c>
      <c r="K39" s="1233" t="n">
        <f aca="false">VLOOKUP($A39,Curves_Table,Escalation!$O$291)</f>
        <v>1.16628704592773</v>
      </c>
      <c r="L39" s="1234" t="n">
        <f aca="false">J39*K39</f>
        <v>2057.58745728598</v>
      </c>
      <c r="M39" s="1235" t="str">
        <f aca="false">IF(MONTH($A39)=12,SUM(L28:L39)," ")</f>
        <v> </v>
      </c>
    </row>
    <row r="40" customFormat="false" ht="12.75" hidden="false" customHeight="false" outlineLevel="0" collapsed="false">
      <c r="A40" s="1226" t="n">
        <f aca="false">EDATE(A39,1)</f>
        <v>37803</v>
      </c>
      <c r="C40" s="1227" t="n">
        <f aca="false">A41-A40</f>
        <v>31</v>
      </c>
      <c r="D40" s="1228" t="n">
        <f aca="false">(IF($A40&gt;Endyr,0,IF($A40&lt;Assm!$F$32,G40,Capacity*C40)))*(1+RAROC!$N$12)</f>
        <v>3192690</v>
      </c>
      <c r="E40" s="1229" t="n">
        <f aca="false">IF($A40&gt;Endyr,0,Tariff_Cap)</f>
        <v>0.5668</v>
      </c>
      <c r="F40" s="1230" t="n">
        <f aca="false">D40*E40/1000</f>
        <v>1809.616692</v>
      </c>
      <c r="G40" s="1231" t="n">
        <f aca="false">[4]MMBTU!U63</f>
        <v>2095485.40475594</v>
      </c>
      <c r="H40" s="1229" t="n">
        <f aca="false">IF($A40&gt;Endyr,0,Tariff_Var)</f>
        <v>0.0064</v>
      </c>
      <c r="I40" s="1230" t="n">
        <f aca="false">G40*H40/1000</f>
        <v>13.411106590438</v>
      </c>
      <c r="J40" s="1232" t="n">
        <f aca="false">SUM(F40,I40)</f>
        <v>1823.02779859044</v>
      </c>
      <c r="K40" s="1233" t="n">
        <f aca="false">VLOOKUP($A40,Curves_Table,Escalation!$O$291)</f>
        <v>1.16628704592773</v>
      </c>
      <c r="L40" s="1234" t="n">
        <f aca="false">J40*K40</f>
        <v>2126.17370586218</v>
      </c>
      <c r="M40" s="1235" t="str">
        <f aca="false">IF(MONTH($A40)=12,SUM(L29:L40)," ")</f>
        <v> </v>
      </c>
    </row>
    <row r="41" customFormat="false" ht="12.75" hidden="false" customHeight="false" outlineLevel="0" collapsed="false">
      <c r="A41" s="1226" t="n">
        <f aca="false">EDATE(A40,1)</f>
        <v>37834</v>
      </c>
      <c r="C41" s="1227" t="n">
        <f aca="false">A42-A41</f>
        <v>31</v>
      </c>
      <c r="D41" s="1228" t="n">
        <f aca="false">(IF($A41&gt;Endyr,0,IF($A41&lt;Assm!$F$32,G41,Capacity*C41)))*(1+RAROC!$N$12)</f>
        <v>3192690</v>
      </c>
      <c r="E41" s="1229" t="n">
        <f aca="false">IF($A41&gt;Endyr,0,Tariff_Cap)</f>
        <v>0.5668</v>
      </c>
      <c r="F41" s="1230" t="n">
        <f aca="false">D41*E41/1000</f>
        <v>1809.616692</v>
      </c>
      <c r="G41" s="1231" t="n">
        <f aca="false">[4]MMBTU!U64</f>
        <v>2095485.40475594</v>
      </c>
      <c r="H41" s="1229" t="n">
        <f aca="false">IF($A41&gt;Endyr,0,Tariff_Var)</f>
        <v>0.0064</v>
      </c>
      <c r="I41" s="1230" t="n">
        <f aca="false">G41*H41/1000</f>
        <v>13.411106590438</v>
      </c>
      <c r="J41" s="1232" t="n">
        <f aca="false">SUM(F41,I41)</f>
        <v>1823.02779859044</v>
      </c>
      <c r="K41" s="1233" t="n">
        <f aca="false">VLOOKUP($A41,Curves_Table,Escalation!$O$291)</f>
        <v>1.16628704592773</v>
      </c>
      <c r="L41" s="1234" t="n">
        <f aca="false">J41*K41</f>
        <v>2126.17370586218</v>
      </c>
      <c r="M41" s="1235" t="str">
        <f aca="false">IF(MONTH($A41)=12,SUM(L30:L41)," ")</f>
        <v> </v>
      </c>
    </row>
    <row r="42" customFormat="false" ht="12.75" hidden="false" customHeight="false" outlineLevel="0" collapsed="false">
      <c r="A42" s="1226" t="n">
        <f aca="false">EDATE(A41,1)</f>
        <v>37865</v>
      </c>
      <c r="C42" s="1227" t="n">
        <f aca="false">A43-A42</f>
        <v>30</v>
      </c>
      <c r="D42" s="1228" t="n">
        <f aca="false">(IF($A42&gt;Endyr,0,IF($A42&lt;Assm!$F$32,G42,Capacity*C42)))*(1+RAROC!$N$12)</f>
        <v>3089700</v>
      </c>
      <c r="E42" s="1229" t="n">
        <f aca="false">IF($A42&gt;Endyr,0,Tariff_Cap)</f>
        <v>0.5668</v>
      </c>
      <c r="F42" s="1230" t="n">
        <f aca="false">D42*E42/1000</f>
        <v>1751.24196</v>
      </c>
      <c r="G42" s="1231" t="n">
        <f aca="false">[4]MMBTU!U65</f>
        <v>2027889.10137672</v>
      </c>
      <c r="H42" s="1229" t="n">
        <f aca="false">IF($A42&gt;Endyr,0,Tariff_Var)</f>
        <v>0.0064</v>
      </c>
      <c r="I42" s="1230" t="n">
        <f aca="false">G42*H42/1000</f>
        <v>12.978490248811</v>
      </c>
      <c r="J42" s="1232" t="n">
        <f aca="false">SUM(F42,I42)</f>
        <v>1764.22045024881</v>
      </c>
      <c r="K42" s="1233" t="n">
        <f aca="false">VLOOKUP($A42,Curves_Table,Escalation!$O$291)</f>
        <v>1.16628704592773</v>
      </c>
      <c r="L42" s="1234" t="n">
        <f aca="false">J42*K42</f>
        <v>2057.58745728598</v>
      </c>
      <c r="M42" s="1235" t="str">
        <f aca="false">IF(MONTH($A42)=12,SUM(L31:L42)," ")</f>
        <v> </v>
      </c>
    </row>
    <row r="43" customFormat="false" ht="12.75" hidden="false" customHeight="false" outlineLevel="0" collapsed="false">
      <c r="A43" s="1226" t="n">
        <f aca="false">EDATE(A42,1)</f>
        <v>37895</v>
      </c>
      <c r="C43" s="1227" t="n">
        <f aca="false">A44-A43</f>
        <v>31</v>
      </c>
      <c r="D43" s="1228" t="n">
        <f aca="false">(IF($A43&gt;Endyr,0,IF($A43&lt;Assm!$F$32,G43,Capacity*C43)))*(1+RAROC!$N$12)</f>
        <v>3192690</v>
      </c>
      <c r="E43" s="1229" t="n">
        <f aca="false">IF($A43&gt;Endyr,0,Tariff_Cap)</f>
        <v>0.5668</v>
      </c>
      <c r="F43" s="1230" t="n">
        <f aca="false">D43*E43/1000</f>
        <v>1809.616692</v>
      </c>
      <c r="G43" s="1231" t="n">
        <f aca="false">[4]MMBTU!U66</f>
        <v>2095485.40475594</v>
      </c>
      <c r="H43" s="1229" t="n">
        <f aca="false">IF($A43&gt;Endyr,0,Tariff_Var)</f>
        <v>0.0064</v>
      </c>
      <c r="I43" s="1230" t="n">
        <f aca="false">G43*H43/1000</f>
        <v>13.411106590438</v>
      </c>
      <c r="J43" s="1232" t="n">
        <f aca="false">SUM(F43,I43)</f>
        <v>1823.02779859044</v>
      </c>
      <c r="K43" s="1233" t="n">
        <f aca="false">VLOOKUP($A43,Curves_Table,Escalation!$O$291)</f>
        <v>1.16628704592773</v>
      </c>
      <c r="L43" s="1234" t="n">
        <f aca="false">J43*K43</f>
        <v>2126.17370586218</v>
      </c>
      <c r="M43" s="1235" t="str">
        <f aca="false">IF(MONTH($A43)=12,SUM(L32:L43)," ")</f>
        <v> </v>
      </c>
    </row>
    <row r="44" customFormat="false" ht="12.75" hidden="false" customHeight="false" outlineLevel="0" collapsed="false">
      <c r="A44" s="1226" t="n">
        <f aca="false">EDATE(A43,1)</f>
        <v>37926</v>
      </c>
      <c r="C44" s="1227" t="n">
        <f aca="false">A45-A44</f>
        <v>30</v>
      </c>
      <c r="D44" s="1228" t="n">
        <f aca="false">(IF($A44&gt;Endyr,0,IF($A44&lt;Assm!$F$32,G44,Capacity*C44)))*(1+RAROC!$N$12)</f>
        <v>3089700</v>
      </c>
      <c r="E44" s="1229" t="n">
        <f aca="false">IF($A44&gt;Endyr,0,Tariff_Cap)</f>
        <v>0.5668</v>
      </c>
      <c r="F44" s="1230" t="n">
        <f aca="false">D44*E44/1000</f>
        <v>1751.24196</v>
      </c>
      <c r="G44" s="1231" t="n">
        <f aca="false">[4]MMBTU!U67</f>
        <v>2027889.10137672</v>
      </c>
      <c r="H44" s="1229" t="n">
        <f aca="false">IF($A44&gt;Endyr,0,Tariff_Var)</f>
        <v>0.0064</v>
      </c>
      <c r="I44" s="1230" t="n">
        <f aca="false">G44*H44/1000</f>
        <v>12.978490248811</v>
      </c>
      <c r="J44" s="1232" t="n">
        <f aca="false">SUM(F44,I44)</f>
        <v>1764.22045024881</v>
      </c>
      <c r="K44" s="1233" t="n">
        <f aca="false">VLOOKUP($A44,Curves_Table,Escalation!$O$291)</f>
        <v>1.16628704592773</v>
      </c>
      <c r="L44" s="1234" t="n">
        <f aca="false">J44*K44</f>
        <v>2057.58745728598</v>
      </c>
      <c r="M44" s="1235" t="str">
        <f aca="false">IF(MONTH($A44)=12,SUM(L33:L44)," ")</f>
        <v> </v>
      </c>
    </row>
    <row r="45" customFormat="false" ht="12.75" hidden="false" customHeight="false" outlineLevel="0" collapsed="false">
      <c r="A45" s="1226" t="n">
        <f aca="false">EDATE(A44,1)</f>
        <v>37956</v>
      </c>
      <c r="C45" s="1227" t="n">
        <f aca="false">A46-A45</f>
        <v>31</v>
      </c>
      <c r="D45" s="1228" t="n">
        <f aca="false">(IF($A45&gt;Endyr,0,IF($A45&lt;Assm!$F$32,G45,Capacity*C45)))*(1+RAROC!$N$12)</f>
        <v>3192690</v>
      </c>
      <c r="E45" s="1229" t="n">
        <f aca="false">IF($A45&gt;Endyr,0,Tariff_Cap)</f>
        <v>0.5668</v>
      </c>
      <c r="F45" s="1230" t="n">
        <f aca="false">D45*E45/1000</f>
        <v>1809.616692</v>
      </c>
      <c r="G45" s="1231" t="n">
        <f aca="false">[4]MMBTU!U68</f>
        <v>2095485.40475594</v>
      </c>
      <c r="H45" s="1229" t="n">
        <f aca="false">IF($A45&gt;Endyr,0,Tariff_Var)</f>
        <v>0.0064</v>
      </c>
      <c r="I45" s="1230" t="n">
        <f aca="false">G45*H45/1000</f>
        <v>13.411106590438</v>
      </c>
      <c r="J45" s="1232" t="n">
        <f aca="false">SUM(F45,I45)</f>
        <v>1823.02779859044</v>
      </c>
      <c r="K45" s="1233" t="n">
        <f aca="false">VLOOKUP($A45,Curves_Table,Escalation!$O$291)</f>
        <v>1.16628704592773</v>
      </c>
      <c r="L45" s="1234" t="n">
        <f aca="false">J45*K45</f>
        <v>2126.17370586218</v>
      </c>
      <c r="M45" s="1235" t="n">
        <f aca="false">IF(MONTH($A45)=12,SUM(L34:L45)," ")</f>
        <v>24793.3666132372</v>
      </c>
    </row>
    <row r="46" customFormat="false" ht="12.75" hidden="false" customHeight="false" outlineLevel="0" collapsed="false">
      <c r="A46" s="1226" t="n">
        <f aca="false">EDATE(A45,1)</f>
        <v>37987</v>
      </c>
      <c r="C46" s="1227" t="n">
        <f aca="false">A47-A46</f>
        <v>31</v>
      </c>
      <c r="D46" s="1228" t="n">
        <f aca="false">(IF($A46&gt;Endyr,0,IF($A46&lt;Assm!$F$32,G46,Capacity*C46)))*(1+RAROC!$N$12)</f>
        <v>3192690</v>
      </c>
      <c r="E46" s="1229" t="n">
        <f aca="false">IF($A46&gt;Endyr,0,Tariff_Cap)</f>
        <v>0.5668</v>
      </c>
      <c r="F46" s="1230" t="n">
        <f aca="false">D46*E46/1000</f>
        <v>1809.616692</v>
      </c>
      <c r="G46" s="1231" t="n">
        <f aca="false">[4]MMBTU!U69</f>
        <v>2095485.40475594</v>
      </c>
      <c r="H46" s="1229" t="n">
        <f aca="false">IF($A46&gt;Endyr,0,Tariff_Var)</f>
        <v>0.0064</v>
      </c>
      <c r="I46" s="1230" t="n">
        <f aca="false">G46*H46/1000</f>
        <v>13.411106590438</v>
      </c>
      <c r="J46" s="1232" t="n">
        <f aca="false">SUM(F46,I46)</f>
        <v>1823.02779859044</v>
      </c>
      <c r="K46" s="1233" t="n">
        <f aca="false">VLOOKUP($A46,Curves_Table,Escalation!$O$291)</f>
        <v>1.16628704592773</v>
      </c>
      <c r="L46" s="1234" t="n">
        <f aca="false">J46*K46</f>
        <v>2126.17370586218</v>
      </c>
      <c r="M46" s="1235" t="str">
        <f aca="false">IF(MONTH($A46)=12,SUM(L35:L46)," ")</f>
        <v> </v>
      </c>
    </row>
    <row r="47" customFormat="false" ht="12.75" hidden="false" customHeight="false" outlineLevel="0" collapsed="false">
      <c r="A47" s="1226" t="n">
        <f aca="false">EDATE(A46,1)</f>
        <v>38018</v>
      </c>
      <c r="C47" s="1227" t="n">
        <f aca="false">A48-A47</f>
        <v>29</v>
      </c>
      <c r="D47" s="1228" t="n">
        <f aca="false">(IF($A47&gt;Endyr,0,IF($A47&lt;Assm!$F$32,G47,Capacity*C47)))*(1+RAROC!$N$12)</f>
        <v>2986710</v>
      </c>
      <c r="E47" s="1229" t="n">
        <f aca="false">IF($A47&gt;Endyr,0,Tariff_Cap)</f>
        <v>0.5668</v>
      </c>
      <c r="F47" s="1230" t="n">
        <f aca="false">D47*E47/1000</f>
        <v>1692.867228</v>
      </c>
      <c r="G47" s="1231" t="n">
        <f aca="false">[4]MMBTU!U70</f>
        <v>1960292.7979975</v>
      </c>
      <c r="H47" s="1229" t="n">
        <f aca="false">IF($A47&gt;Endyr,0,Tariff_Var)</f>
        <v>0.0064</v>
      </c>
      <c r="I47" s="1230" t="n">
        <f aca="false">G47*H47/1000</f>
        <v>12.545873907184</v>
      </c>
      <c r="J47" s="1232" t="n">
        <f aca="false">SUM(F47,I47)</f>
        <v>1705.41310190718</v>
      </c>
      <c r="K47" s="1233" t="n">
        <f aca="false">VLOOKUP($A47,Curves_Table,Escalation!$O$291)</f>
        <v>1.16628704592773</v>
      </c>
      <c r="L47" s="1234" t="n">
        <f aca="false">J47*K47</f>
        <v>1989.00120870978</v>
      </c>
      <c r="M47" s="1235" t="str">
        <f aca="false">IF(MONTH($A47)=12,SUM(L36:L47)," ")</f>
        <v> </v>
      </c>
    </row>
    <row r="48" customFormat="false" ht="12.75" hidden="false" customHeight="false" outlineLevel="0" collapsed="false">
      <c r="A48" s="1226" t="n">
        <f aca="false">EDATE(A47,1)</f>
        <v>38047</v>
      </c>
      <c r="C48" s="1227" t="n">
        <f aca="false">A49-A48</f>
        <v>31</v>
      </c>
      <c r="D48" s="1228" t="n">
        <f aca="false">(IF($A48&gt;Endyr,0,IF($A48&lt;Assm!$F$32,G48,Capacity*C48)))*(1+RAROC!$N$12)</f>
        <v>3192690</v>
      </c>
      <c r="E48" s="1229" t="n">
        <f aca="false">IF($A48&gt;Endyr,0,Tariff_Cap)</f>
        <v>0.5668</v>
      </c>
      <c r="F48" s="1230" t="n">
        <f aca="false">D48*E48/1000</f>
        <v>1809.616692</v>
      </c>
      <c r="G48" s="1231" t="n">
        <f aca="false">[4]MMBTU!U71</f>
        <v>2095485.40475594</v>
      </c>
      <c r="H48" s="1229" t="n">
        <f aca="false">IF($A48&gt;Endyr,0,Tariff_Var)</f>
        <v>0.0064</v>
      </c>
      <c r="I48" s="1230" t="n">
        <f aca="false">G48*H48/1000</f>
        <v>13.411106590438</v>
      </c>
      <c r="J48" s="1232" t="n">
        <f aca="false">SUM(F48,I48)</f>
        <v>1823.02779859044</v>
      </c>
      <c r="K48" s="1233" t="n">
        <f aca="false">VLOOKUP($A48,Curves_Table,Escalation!$O$291)</f>
        <v>1.16628704592773</v>
      </c>
      <c r="L48" s="1234" t="n">
        <f aca="false">J48*K48</f>
        <v>2126.17370586218</v>
      </c>
      <c r="M48" s="1235" t="str">
        <f aca="false">IF(MONTH($A48)=12,SUM(L37:L48)," ")</f>
        <v> </v>
      </c>
    </row>
    <row r="49" customFormat="false" ht="12.75" hidden="false" customHeight="false" outlineLevel="0" collapsed="false">
      <c r="A49" s="1226" t="n">
        <f aca="false">EDATE(A48,1)</f>
        <v>38078</v>
      </c>
      <c r="C49" s="1227" t="n">
        <f aca="false">A50-A49</f>
        <v>30</v>
      </c>
      <c r="D49" s="1228" t="n">
        <f aca="false">(IF($A49&gt;Endyr,0,IF($A49&lt;Assm!$F$32,G49,Capacity*C49)))*(1+RAROC!$N$12)</f>
        <v>3089700</v>
      </c>
      <c r="E49" s="1229" t="n">
        <f aca="false">IF($A49&gt;Endyr,0,Tariff_Cap)</f>
        <v>0.5668</v>
      </c>
      <c r="F49" s="1230" t="n">
        <f aca="false">D49*E49/1000</f>
        <v>1751.24196</v>
      </c>
      <c r="G49" s="1231" t="n">
        <f aca="false">[4]MMBTU!U72</f>
        <v>2027889.10137672</v>
      </c>
      <c r="H49" s="1229" t="n">
        <f aca="false">IF($A49&gt;Endyr,0,Tariff_Var)</f>
        <v>0.0064</v>
      </c>
      <c r="I49" s="1230" t="n">
        <f aca="false">G49*H49/1000</f>
        <v>12.978490248811</v>
      </c>
      <c r="J49" s="1232" t="n">
        <f aca="false">SUM(F49,I49)</f>
        <v>1764.22045024881</v>
      </c>
      <c r="K49" s="1233" t="n">
        <f aca="false">VLOOKUP($A49,Curves_Table,Escalation!$O$291)</f>
        <v>1.16628704592773</v>
      </c>
      <c r="L49" s="1234" t="n">
        <f aca="false">J49*K49</f>
        <v>2057.58745728598</v>
      </c>
      <c r="M49" s="1235" t="str">
        <f aca="false">IF(MONTH($A49)=12,SUM(L38:L49)," ")</f>
        <v> </v>
      </c>
    </row>
    <row r="50" customFormat="false" ht="12.75" hidden="false" customHeight="false" outlineLevel="0" collapsed="false">
      <c r="A50" s="1226" t="n">
        <f aca="false">EDATE(A49,1)</f>
        <v>38108</v>
      </c>
      <c r="C50" s="1227" t="n">
        <f aca="false">A51-A50</f>
        <v>31</v>
      </c>
      <c r="D50" s="1228" t="n">
        <f aca="false">(IF($A50&gt;Endyr,0,IF($A50&lt;Assm!$F$32,G50,Capacity*C50)))*(1+RAROC!$N$12)</f>
        <v>3192690</v>
      </c>
      <c r="E50" s="1229" t="n">
        <f aca="false">IF($A50&gt;Endyr,0,Tariff_Cap)</f>
        <v>0.5668</v>
      </c>
      <c r="F50" s="1230" t="n">
        <f aca="false">D50*E50/1000</f>
        <v>1809.616692</v>
      </c>
      <c r="G50" s="1231" t="n">
        <f aca="false">[4]MMBTU!U73</f>
        <v>2095485.40475594</v>
      </c>
      <c r="H50" s="1229" t="n">
        <f aca="false">IF($A50&gt;Endyr,0,Tariff_Var)</f>
        <v>0.0064</v>
      </c>
      <c r="I50" s="1230" t="n">
        <f aca="false">G50*H50/1000</f>
        <v>13.411106590438</v>
      </c>
      <c r="J50" s="1232" t="n">
        <f aca="false">SUM(F50,I50)</f>
        <v>1823.02779859044</v>
      </c>
      <c r="K50" s="1233" t="n">
        <f aca="false">VLOOKUP($A50,Curves_Table,Escalation!$O$291)</f>
        <v>1.20034933429065</v>
      </c>
      <c r="L50" s="1234" t="n">
        <f aca="false">J50*K50</f>
        <v>2188.27020443138</v>
      </c>
      <c r="M50" s="1235" t="str">
        <f aca="false">IF(MONTH($A50)=12,SUM(L39:L50)," ")</f>
        <v> </v>
      </c>
    </row>
    <row r="51" customFormat="false" ht="12.75" hidden="false" customHeight="false" outlineLevel="0" collapsed="false">
      <c r="A51" s="1226" t="n">
        <f aca="false">EDATE(A50,1)</f>
        <v>38139</v>
      </c>
      <c r="C51" s="1227" t="n">
        <f aca="false">A52-A51</f>
        <v>30</v>
      </c>
      <c r="D51" s="1228" t="n">
        <f aca="false">(IF($A51&gt;Endyr,0,IF($A51&lt;Assm!$F$32,G51,Capacity*C51)))*(1+RAROC!$N$12)</f>
        <v>3089700</v>
      </c>
      <c r="E51" s="1229" t="n">
        <f aca="false">IF($A51&gt;Endyr,0,Tariff_Cap)</f>
        <v>0.5668</v>
      </c>
      <c r="F51" s="1230" t="n">
        <f aca="false">D51*E51/1000</f>
        <v>1751.24196</v>
      </c>
      <c r="G51" s="1231" t="n">
        <f aca="false">[4]MMBTU!U74</f>
        <v>2027889.10137672</v>
      </c>
      <c r="H51" s="1229" t="n">
        <f aca="false">IF($A51&gt;Endyr,0,Tariff_Var)</f>
        <v>0.0064</v>
      </c>
      <c r="I51" s="1230" t="n">
        <f aca="false">G51*H51/1000</f>
        <v>12.978490248811</v>
      </c>
      <c r="J51" s="1232" t="n">
        <f aca="false">SUM(F51,I51)</f>
        <v>1764.22045024881</v>
      </c>
      <c r="K51" s="1233" t="n">
        <f aca="false">VLOOKUP($A51,Curves_Table,Escalation!$O$291)</f>
        <v>1.20034933429065</v>
      </c>
      <c r="L51" s="1234" t="n">
        <f aca="false">J51*K51</f>
        <v>2117.68084299811</v>
      </c>
      <c r="M51" s="1235" t="str">
        <f aca="false">IF(MONTH($A51)=12,SUM(L40:L51)," ")</f>
        <v> </v>
      </c>
    </row>
    <row r="52" customFormat="false" ht="12.75" hidden="false" customHeight="false" outlineLevel="0" collapsed="false">
      <c r="A52" s="1226" t="n">
        <f aca="false">EDATE(A51,1)</f>
        <v>38169</v>
      </c>
      <c r="C52" s="1227" t="n">
        <f aca="false">A53-A52</f>
        <v>31</v>
      </c>
      <c r="D52" s="1228" t="n">
        <f aca="false">(IF($A52&gt;Endyr,0,IF($A52&lt;Assm!$F$32,G52,Capacity*C52)))*(1+RAROC!$N$12)</f>
        <v>3192690</v>
      </c>
      <c r="E52" s="1229" t="n">
        <f aca="false">IF($A52&gt;Endyr,0,Tariff_Cap)</f>
        <v>0.5668</v>
      </c>
      <c r="F52" s="1230" t="n">
        <f aca="false">D52*E52/1000</f>
        <v>1809.616692</v>
      </c>
      <c r="G52" s="1231" t="n">
        <f aca="false">[4]MMBTU!U75</f>
        <v>2095485.40475594</v>
      </c>
      <c r="H52" s="1229" t="n">
        <f aca="false">IF($A52&gt;Endyr,0,Tariff_Var)</f>
        <v>0.0064</v>
      </c>
      <c r="I52" s="1230" t="n">
        <f aca="false">G52*H52/1000</f>
        <v>13.411106590438</v>
      </c>
      <c r="J52" s="1232" t="n">
        <f aca="false">SUM(F52,I52)</f>
        <v>1823.02779859044</v>
      </c>
      <c r="K52" s="1233" t="n">
        <f aca="false">VLOOKUP($A52,Curves_Table,Escalation!$O$291)</f>
        <v>1.20034933429065</v>
      </c>
      <c r="L52" s="1234" t="n">
        <f aca="false">J52*K52</f>
        <v>2188.27020443138</v>
      </c>
      <c r="M52" s="1235" t="str">
        <f aca="false">IF(MONTH($A52)=12,SUM(L41:L52)," ")</f>
        <v> </v>
      </c>
    </row>
    <row r="53" customFormat="false" ht="12.75" hidden="false" customHeight="false" outlineLevel="0" collapsed="false">
      <c r="A53" s="1226" t="n">
        <f aca="false">EDATE(A52,1)</f>
        <v>38200</v>
      </c>
      <c r="C53" s="1227" t="n">
        <f aca="false">A54-A53</f>
        <v>31</v>
      </c>
      <c r="D53" s="1228" t="n">
        <f aca="false">(IF($A53&gt;Endyr,0,IF($A53&lt;Assm!$F$32,G53,Capacity*C53)))*(1+RAROC!$N$12)</f>
        <v>3192690</v>
      </c>
      <c r="E53" s="1229" t="n">
        <f aca="false">IF($A53&gt;Endyr,0,Tariff_Cap)</f>
        <v>0.5668</v>
      </c>
      <c r="F53" s="1230" t="n">
        <f aca="false">D53*E53/1000</f>
        <v>1809.616692</v>
      </c>
      <c r="G53" s="1231" t="n">
        <f aca="false">[4]MMBTU!U76</f>
        <v>2095485.40475594</v>
      </c>
      <c r="H53" s="1229" t="n">
        <f aca="false">IF($A53&gt;Endyr,0,Tariff_Var)</f>
        <v>0.0064</v>
      </c>
      <c r="I53" s="1230" t="n">
        <f aca="false">G53*H53/1000</f>
        <v>13.411106590438</v>
      </c>
      <c r="J53" s="1232" t="n">
        <f aca="false">SUM(F53,I53)</f>
        <v>1823.02779859044</v>
      </c>
      <c r="K53" s="1233" t="n">
        <f aca="false">VLOOKUP($A53,Curves_Table,Escalation!$O$291)</f>
        <v>1.20034933429065</v>
      </c>
      <c r="L53" s="1234" t="n">
        <f aca="false">J53*K53</f>
        <v>2188.27020443138</v>
      </c>
      <c r="M53" s="1235" t="str">
        <f aca="false">IF(MONTH($A53)=12,SUM(L42:L53)," ")</f>
        <v> </v>
      </c>
    </row>
    <row r="54" customFormat="false" ht="12.75" hidden="false" customHeight="false" outlineLevel="0" collapsed="false">
      <c r="A54" s="1226" t="n">
        <f aca="false">EDATE(A53,1)</f>
        <v>38231</v>
      </c>
      <c r="C54" s="1227" t="n">
        <f aca="false">A55-A54</f>
        <v>30</v>
      </c>
      <c r="D54" s="1228" t="n">
        <f aca="false">(IF($A54&gt;Endyr,0,IF($A54&lt;Assm!$F$32,G54,Capacity*C54)))*(1+RAROC!$N$12)</f>
        <v>3089700</v>
      </c>
      <c r="E54" s="1229" t="n">
        <f aca="false">IF($A54&gt;Endyr,0,Tariff_Cap)</f>
        <v>0.5668</v>
      </c>
      <c r="F54" s="1230" t="n">
        <f aca="false">D54*E54/1000</f>
        <v>1751.24196</v>
      </c>
      <c r="G54" s="1231" t="n">
        <f aca="false">[4]MMBTU!U77</f>
        <v>2027889.10137672</v>
      </c>
      <c r="H54" s="1229" t="n">
        <f aca="false">IF($A54&gt;Endyr,0,Tariff_Var)</f>
        <v>0.0064</v>
      </c>
      <c r="I54" s="1230" t="n">
        <f aca="false">G54*H54/1000</f>
        <v>12.978490248811</v>
      </c>
      <c r="J54" s="1232" t="n">
        <f aca="false">SUM(F54,I54)</f>
        <v>1764.22045024881</v>
      </c>
      <c r="K54" s="1233" t="n">
        <f aca="false">VLOOKUP($A54,Curves_Table,Escalation!$O$291)</f>
        <v>1.20034933429065</v>
      </c>
      <c r="L54" s="1234" t="n">
        <f aca="false">J54*K54</f>
        <v>2117.68084299811</v>
      </c>
      <c r="M54" s="1235" t="str">
        <f aca="false">IF(MONTH($A54)=12,SUM(L43:L54)," ")</f>
        <v> </v>
      </c>
    </row>
    <row r="55" customFormat="false" ht="12.75" hidden="false" customHeight="false" outlineLevel="0" collapsed="false">
      <c r="A55" s="1226" t="n">
        <f aca="false">EDATE(A54,1)</f>
        <v>38261</v>
      </c>
      <c r="C55" s="1227" t="n">
        <f aca="false">A56-A55</f>
        <v>31</v>
      </c>
      <c r="D55" s="1228" t="n">
        <f aca="false">(IF($A55&gt;Endyr,0,IF($A55&lt;Assm!$F$32,G55,Capacity*C55)))*(1+RAROC!$N$12)</f>
        <v>3192690</v>
      </c>
      <c r="E55" s="1229" t="n">
        <f aca="false">IF($A55&gt;Endyr,0,Tariff_Cap)</f>
        <v>0.5668</v>
      </c>
      <c r="F55" s="1230" t="n">
        <f aca="false">D55*E55/1000</f>
        <v>1809.616692</v>
      </c>
      <c r="G55" s="1231" t="n">
        <f aca="false">[4]MMBTU!U78</f>
        <v>2095485.40475594</v>
      </c>
      <c r="H55" s="1229" t="n">
        <f aca="false">IF($A55&gt;Endyr,0,Tariff_Var)</f>
        <v>0.0064</v>
      </c>
      <c r="I55" s="1230" t="n">
        <f aca="false">G55*H55/1000</f>
        <v>13.411106590438</v>
      </c>
      <c r="J55" s="1232" t="n">
        <f aca="false">SUM(F55,I55)</f>
        <v>1823.02779859044</v>
      </c>
      <c r="K55" s="1233" t="n">
        <f aca="false">VLOOKUP($A55,Curves_Table,Escalation!$O$291)</f>
        <v>1.20034933429065</v>
      </c>
      <c r="L55" s="1234" t="n">
        <f aca="false">J55*K55</f>
        <v>2188.27020443138</v>
      </c>
      <c r="M55" s="1235" t="str">
        <f aca="false">IF(MONTH($A55)=12,SUM(L44:L55)," ")</f>
        <v> </v>
      </c>
    </row>
    <row r="56" customFormat="false" ht="12.75" hidden="false" customHeight="false" outlineLevel="0" collapsed="false">
      <c r="A56" s="1226" t="n">
        <f aca="false">EDATE(A55,1)</f>
        <v>38292</v>
      </c>
      <c r="C56" s="1227" t="n">
        <f aca="false">A57-A56</f>
        <v>30</v>
      </c>
      <c r="D56" s="1228" t="n">
        <f aca="false">(IF($A56&gt;Endyr,0,IF($A56&lt;Assm!$F$32,G56,Capacity*C56)))*(1+RAROC!$N$12)</f>
        <v>3089700</v>
      </c>
      <c r="E56" s="1229" t="n">
        <f aca="false">IF($A56&gt;Endyr,0,Tariff_Cap)</f>
        <v>0.5668</v>
      </c>
      <c r="F56" s="1230" t="n">
        <f aca="false">D56*E56/1000</f>
        <v>1751.24196</v>
      </c>
      <c r="G56" s="1231" t="n">
        <f aca="false">[4]MMBTU!U79</f>
        <v>2027889.10137672</v>
      </c>
      <c r="H56" s="1229" t="n">
        <f aca="false">IF($A56&gt;Endyr,0,Tariff_Var)</f>
        <v>0.0064</v>
      </c>
      <c r="I56" s="1230" t="n">
        <f aca="false">G56*H56/1000</f>
        <v>12.978490248811</v>
      </c>
      <c r="J56" s="1232" t="n">
        <f aca="false">SUM(F56,I56)</f>
        <v>1764.22045024881</v>
      </c>
      <c r="K56" s="1233" t="n">
        <f aca="false">VLOOKUP($A56,Curves_Table,Escalation!$O$291)</f>
        <v>1.20034933429065</v>
      </c>
      <c r="L56" s="1234" t="n">
        <f aca="false">J56*K56</f>
        <v>2117.68084299811</v>
      </c>
      <c r="M56" s="1235" t="str">
        <f aca="false">IF(MONTH($A56)=12,SUM(L45:L56)," ")</f>
        <v> </v>
      </c>
    </row>
    <row r="57" customFormat="false" ht="12.75" hidden="false" customHeight="false" outlineLevel="0" collapsed="false">
      <c r="A57" s="1226" t="n">
        <f aca="false">EDATE(A56,1)</f>
        <v>38322</v>
      </c>
      <c r="C57" s="1227" t="n">
        <f aca="false">A58-A57</f>
        <v>31</v>
      </c>
      <c r="D57" s="1228" t="n">
        <f aca="false">(IF($A57&gt;Endyr,0,IF($A57&lt;Assm!$F$32,G57,Capacity*C57)))*(1+RAROC!$N$12)</f>
        <v>3192690</v>
      </c>
      <c r="E57" s="1229" t="n">
        <f aca="false">IF($A57&gt;Endyr,0,Tariff_Cap)</f>
        <v>0.5668</v>
      </c>
      <c r="F57" s="1230" t="n">
        <f aca="false">D57*E57/1000</f>
        <v>1809.616692</v>
      </c>
      <c r="G57" s="1231" t="n">
        <f aca="false">[4]MMBTU!U80</f>
        <v>2095485.40475594</v>
      </c>
      <c r="H57" s="1229" t="n">
        <f aca="false">IF($A57&gt;Endyr,0,Tariff_Var)</f>
        <v>0.0064</v>
      </c>
      <c r="I57" s="1230" t="n">
        <f aca="false">G57*H57/1000</f>
        <v>13.411106590438</v>
      </c>
      <c r="J57" s="1232" t="n">
        <f aca="false">SUM(F57,I57)</f>
        <v>1823.02779859044</v>
      </c>
      <c r="K57" s="1233" t="n">
        <f aca="false">VLOOKUP($A57,Curves_Table,Escalation!$O$291)</f>
        <v>1.20034933429065</v>
      </c>
      <c r="L57" s="1234" t="n">
        <f aca="false">J57*K57</f>
        <v>2188.27020443138</v>
      </c>
      <c r="M57" s="1235" t="n">
        <f aca="false">IF(MONTH($A57)=12,SUM(L46:L57)," ")</f>
        <v>25593.3296288714</v>
      </c>
    </row>
    <row r="58" customFormat="false" ht="12.75" hidden="false" customHeight="false" outlineLevel="0" collapsed="false">
      <c r="A58" s="1226" t="n">
        <f aca="false">EDATE(A57,1)</f>
        <v>38353</v>
      </c>
      <c r="C58" s="1227" t="n">
        <f aca="false">A59-A58</f>
        <v>31</v>
      </c>
      <c r="D58" s="1228" t="n">
        <f aca="false">(IF($A58&gt;Endyr,0,IF($A58&lt;Assm!$F$32,G58,Capacity*C58)))*(1+RAROC!$N$12)</f>
        <v>3192690</v>
      </c>
      <c r="E58" s="1229" t="n">
        <f aca="false">IF($A58&gt;Endyr,0,Tariff_Cap)</f>
        <v>0.5668</v>
      </c>
      <c r="F58" s="1230" t="n">
        <f aca="false">D58*E58/1000</f>
        <v>1809.616692</v>
      </c>
      <c r="G58" s="1231" t="n">
        <f aca="false">[4]MMBTU!U81</f>
        <v>2095485.40475594</v>
      </c>
      <c r="H58" s="1229" t="n">
        <f aca="false">IF($A58&gt;Endyr,0,Tariff_Var)</f>
        <v>0.0064</v>
      </c>
      <c r="I58" s="1230" t="n">
        <f aca="false">G58*H58/1000</f>
        <v>13.411106590438</v>
      </c>
      <c r="J58" s="1232" t="n">
        <f aca="false">SUM(F58,I58)</f>
        <v>1823.02779859044</v>
      </c>
      <c r="K58" s="1233" t="n">
        <f aca="false">VLOOKUP($A58,Curves_Table,Escalation!$O$291)</f>
        <v>1.20034933429065</v>
      </c>
      <c r="L58" s="1234" t="n">
        <f aca="false">J58*K58</f>
        <v>2188.27020443138</v>
      </c>
      <c r="M58" s="1235" t="str">
        <f aca="false">IF(MONTH($A58)=12,SUM(L47:L58)," ")</f>
        <v> </v>
      </c>
    </row>
    <row r="59" customFormat="false" ht="12.75" hidden="false" customHeight="false" outlineLevel="0" collapsed="false">
      <c r="A59" s="1226" t="n">
        <f aca="false">EDATE(A58,1)</f>
        <v>38384</v>
      </c>
      <c r="C59" s="1227" t="n">
        <f aca="false">A60-A59</f>
        <v>28</v>
      </c>
      <c r="D59" s="1228" t="n">
        <f aca="false">(IF($A59&gt;Endyr,0,IF($A59&lt;Assm!$F$32,G59,Capacity*C59)))*(1+RAROC!$N$12)</f>
        <v>2883720</v>
      </c>
      <c r="E59" s="1229" t="n">
        <f aca="false">IF($A59&gt;Endyr,0,Tariff_Cap)</f>
        <v>0.5668</v>
      </c>
      <c r="F59" s="1230" t="n">
        <f aca="false">D59*E59/1000</f>
        <v>1634.492496</v>
      </c>
      <c r="G59" s="1231" t="n">
        <f aca="false">[4]MMBTU!U82</f>
        <v>1892696.49461827</v>
      </c>
      <c r="H59" s="1229" t="n">
        <f aca="false">IF($A59&gt;Endyr,0,Tariff_Var)</f>
        <v>0.0064</v>
      </c>
      <c r="I59" s="1230" t="n">
        <f aca="false">G59*H59/1000</f>
        <v>12.113257565557</v>
      </c>
      <c r="J59" s="1232" t="n">
        <f aca="false">SUM(F59,I59)</f>
        <v>1646.60575356556</v>
      </c>
      <c r="K59" s="1233" t="n">
        <f aca="false">VLOOKUP($A59,Curves_Table,Escalation!$O$291)</f>
        <v>1.20034933429065</v>
      </c>
      <c r="L59" s="1234" t="n">
        <f aca="false">J59*K59</f>
        <v>1976.50212013157</v>
      </c>
      <c r="M59" s="1235" t="str">
        <f aca="false">IF(MONTH($A59)=12,SUM(L48:L59)," ")</f>
        <v> </v>
      </c>
    </row>
    <row r="60" customFormat="false" ht="12.75" hidden="false" customHeight="false" outlineLevel="0" collapsed="false">
      <c r="A60" s="1226" t="n">
        <f aca="false">EDATE(A59,1)</f>
        <v>38412</v>
      </c>
      <c r="C60" s="1227" t="n">
        <f aca="false">A61-A60</f>
        <v>31</v>
      </c>
      <c r="D60" s="1228" t="n">
        <f aca="false">(IF($A60&gt;Endyr,0,IF($A60&lt;Assm!$F$32,G60,Capacity*C60)))*(1+RAROC!$N$12)</f>
        <v>3192690</v>
      </c>
      <c r="E60" s="1229" t="n">
        <f aca="false">IF($A60&gt;Endyr,0,Tariff_Cap)</f>
        <v>0.5668</v>
      </c>
      <c r="F60" s="1230" t="n">
        <f aca="false">D60*E60/1000</f>
        <v>1809.616692</v>
      </c>
      <c r="G60" s="1231" t="n">
        <f aca="false">[4]MMBTU!U83</f>
        <v>2095485.40475594</v>
      </c>
      <c r="H60" s="1229" t="n">
        <f aca="false">IF($A60&gt;Endyr,0,Tariff_Var)</f>
        <v>0.0064</v>
      </c>
      <c r="I60" s="1230" t="n">
        <f aca="false">G60*H60/1000</f>
        <v>13.411106590438</v>
      </c>
      <c r="J60" s="1232" t="n">
        <f aca="false">SUM(F60,I60)</f>
        <v>1823.02779859044</v>
      </c>
      <c r="K60" s="1233" t="n">
        <f aca="false">VLOOKUP($A60,Curves_Table,Escalation!$O$291)</f>
        <v>1.20034933429065</v>
      </c>
      <c r="L60" s="1234" t="n">
        <f aca="false">J60*K60</f>
        <v>2188.27020443138</v>
      </c>
      <c r="M60" s="1235" t="str">
        <f aca="false">IF(MONTH($A60)=12,SUM(L49:L60)," ")</f>
        <v> </v>
      </c>
    </row>
    <row r="61" customFormat="false" ht="12.75" hidden="false" customHeight="false" outlineLevel="0" collapsed="false">
      <c r="A61" s="1226" t="n">
        <f aca="false">EDATE(A60,1)</f>
        <v>38443</v>
      </c>
      <c r="C61" s="1227" t="n">
        <f aca="false">A62-A61</f>
        <v>30</v>
      </c>
      <c r="D61" s="1228" t="n">
        <f aca="false">(IF($A61&gt;Endyr,0,IF($A61&lt;Assm!$F$32,G61,Capacity*C61)))*(1+RAROC!$N$12)</f>
        <v>3089700</v>
      </c>
      <c r="E61" s="1229" t="n">
        <f aca="false">IF($A61&gt;Endyr,0,Tariff_Cap)</f>
        <v>0.5668</v>
      </c>
      <c r="F61" s="1230" t="n">
        <f aca="false">D61*E61/1000</f>
        <v>1751.24196</v>
      </c>
      <c r="G61" s="1231" t="n">
        <f aca="false">[4]MMBTU!U84</f>
        <v>2027889.10137672</v>
      </c>
      <c r="H61" s="1229" t="n">
        <f aca="false">IF($A61&gt;Endyr,0,Tariff_Var)</f>
        <v>0.0064</v>
      </c>
      <c r="I61" s="1230" t="n">
        <f aca="false">G61*H61/1000</f>
        <v>12.978490248811</v>
      </c>
      <c r="J61" s="1232" t="n">
        <f aca="false">SUM(F61,I61)</f>
        <v>1764.22045024881</v>
      </c>
      <c r="K61" s="1233" t="n">
        <f aca="false">VLOOKUP($A61,Curves_Table,Escalation!$O$291)</f>
        <v>1.20034933429065</v>
      </c>
      <c r="L61" s="1234" t="n">
        <f aca="false">J61*K61</f>
        <v>2117.68084299811</v>
      </c>
      <c r="M61" s="1235" t="str">
        <f aca="false">IF(MONTH($A61)=12,SUM(L50:L61)," ")</f>
        <v> </v>
      </c>
    </row>
    <row r="62" customFormat="false" ht="12.75" hidden="false" customHeight="false" outlineLevel="0" collapsed="false">
      <c r="A62" s="1226" t="n">
        <f aca="false">EDATE(A61,1)</f>
        <v>38473</v>
      </c>
      <c r="C62" s="1227" t="n">
        <f aca="false">A63-A62</f>
        <v>31</v>
      </c>
      <c r="D62" s="1228" t="n">
        <f aca="false">(IF($A62&gt;Endyr,0,IF($A62&lt;Assm!$F$32,G62,Capacity*C62)))*(1+RAROC!$N$12)</f>
        <v>3192690</v>
      </c>
      <c r="E62" s="1229" t="n">
        <f aca="false">IF($A62&gt;Endyr,0,Tariff_Cap)</f>
        <v>0.5668</v>
      </c>
      <c r="F62" s="1230" t="n">
        <f aca="false">D62*E62/1000</f>
        <v>1809.616692</v>
      </c>
      <c r="G62" s="1231" t="n">
        <f aca="false">[4]MMBTU!U85</f>
        <v>2095485.40475594</v>
      </c>
      <c r="H62" s="1229" t="n">
        <f aca="false">IF($A62&gt;Endyr,0,Tariff_Var)</f>
        <v>0.0064</v>
      </c>
      <c r="I62" s="1230" t="n">
        <f aca="false">G62*H62/1000</f>
        <v>13.411106590438</v>
      </c>
      <c r="J62" s="1232" t="n">
        <f aca="false">SUM(F62,I62)</f>
        <v>1823.02779859044</v>
      </c>
      <c r="K62" s="1233" t="n">
        <f aca="false">VLOOKUP($A62,Curves_Table,Escalation!$O$291)</f>
        <v>1.23462294375966</v>
      </c>
      <c r="L62" s="1234" t="n">
        <f aca="false">J62*K62</f>
        <v>2250.75194725142</v>
      </c>
      <c r="M62" s="1235" t="str">
        <f aca="false">IF(MONTH($A62)=12,SUM(L51:L62)," ")</f>
        <v> </v>
      </c>
    </row>
    <row r="63" customFormat="false" ht="12.75" hidden="false" customHeight="false" outlineLevel="0" collapsed="false">
      <c r="A63" s="1226" t="n">
        <f aca="false">EDATE(A62,1)</f>
        <v>38504</v>
      </c>
      <c r="C63" s="1227" t="n">
        <f aca="false">A64-A63</f>
        <v>30</v>
      </c>
      <c r="D63" s="1228" t="n">
        <f aca="false">(IF($A63&gt;Endyr,0,IF($A63&lt;Assm!$F$32,G63,Capacity*C63)))*(1+RAROC!$N$12)</f>
        <v>3089700</v>
      </c>
      <c r="E63" s="1229" t="n">
        <f aca="false">IF($A63&gt;Endyr,0,Tariff_Cap)</f>
        <v>0.5668</v>
      </c>
      <c r="F63" s="1230" t="n">
        <f aca="false">D63*E63/1000</f>
        <v>1751.24196</v>
      </c>
      <c r="G63" s="1231" t="n">
        <f aca="false">[4]MMBTU!U86</f>
        <v>2027889.10137672</v>
      </c>
      <c r="H63" s="1229" t="n">
        <f aca="false">IF($A63&gt;Endyr,0,Tariff_Var)</f>
        <v>0.0064</v>
      </c>
      <c r="I63" s="1230" t="n">
        <f aca="false">G63*H63/1000</f>
        <v>12.978490248811</v>
      </c>
      <c r="J63" s="1232" t="n">
        <f aca="false">SUM(F63,I63)</f>
        <v>1764.22045024881</v>
      </c>
      <c r="K63" s="1233" t="n">
        <f aca="false">VLOOKUP($A63,Curves_Table,Escalation!$O$291)</f>
        <v>1.23462294375966</v>
      </c>
      <c r="L63" s="1234" t="n">
        <f aca="false">J63*K63</f>
        <v>2178.14704572719</v>
      </c>
      <c r="M63" s="1235" t="str">
        <f aca="false">IF(MONTH($A63)=12,SUM(L52:L63)," ")</f>
        <v> </v>
      </c>
    </row>
    <row r="64" customFormat="false" ht="12.75" hidden="false" customHeight="false" outlineLevel="0" collapsed="false">
      <c r="A64" s="1226" t="n">
        <f aca="false">EDATE(A63,1)</f>
        <v>38534</v>
      </c>
      <c r="C64" s="1227" t="n">
        <f aca="false">A65-A64</f>
        <v>31</v>
      </c>
      <c r="D64" s="1228" t="n">
        <f aca="false">(IF($A64&gt;Endyr,0,IF($A64&lt;Assm!$F$32,G64,Capacity*C64)))*(1+RAROC!$N$12)</f>
        <v>3192690</v>
      </c>
      <c r="E64" s="1229" t="n">
        <f aca="false">IF($A64&gt;Endyr,0,Tariff_Cap)</f>
        <v>0.5668</v>
      </c>
      <c r="F64" s="1230" t="n">
        <f aca="false">D64*E64/1000</f>
        <v>1809.616692</v>
      </c>
      <c r="G64" s="1231" t="n">
        <f aca="false">[4]MMBTU!U87</f>
        <v>2095485.40475594</v>
      </c>
      <c r="H64" s="1229" t="n">
        <f aca="false">IF($A64&gt;Endyr,0,Tariff_Var)</f>
        <v>0.0064</v>
      </c>
      <c r="I64" s="1230" t="n">
        <f aca="false">G64*H64/1000</f>
        <v>13.411106590438</v>
      </c>
      <c r="J64" s="1232" t="n">
        <f aca="false">SUM(F64,I64)</f>
        <v>1823.02779859044</v>
      </c>
      <c r="K64" s="1233" t="n">
        <f aca="false">VLOOKUP($A64,Curves_Table,Escalation!$O$291)</f>
        <v>1.23462294375966</v>
      </c>
      <c r="L64" s="1234" t="n">
        <f aca="false">J64*K64</f>
        <v>2250.75194725142</v>
      </c>
      <c r="M64" s="1235" t="str">
        <f aca="false">IF(MONTH($A64)=12,SUM(L53:L64)," ")</f>
        <v> </v>
      </c>
    </row>
    <row r="65" customFormat="false" ht="12.75" hidden="false" customHeight="false" outlineLevel="0" collapsed="false">
      <c r="A65" s="1226" t="n">
        <f aca="false">EDATE(A64,1)</f>
        <v>38565</v>
      </c>
      <c r="C65" s="1227" t="n">
        <f aca="false">A66-A65</f>
        <v>31</v>
      </c>
      <c r="D65" s="1228" t="n">
        <f aca="false">(IF($A65&gt;Endyr,0,IF($A65&lt;Assm!$F$32,G65,Capacity*C65)))*(1+RAROC!$N$12)</f>
        <v>3192690</v>
      </c>
      <c r="E65" s="1229" t="n">
        <f aca="false">IF($A65&gt;Endyr,0,Tariff_Cap)</f>
        <v>0.5668</v>
      </c>
      <c r="F65" s="1230" t="n">
        <f aca="false">D65*E65/1000</f>
        <v>1809.616692</v>
      </c>
      <c r="G65" s="1231" t="n">
        <f aca="false">[4]MMBTU!U88</f>
        <v>2095485.40475594</v>
      </c>
      <c r="H65" s="1229" t="n">
        <f aca="false">IF($A65&gt;Endyr,0,Tariff_Var)</f>
        <v>0.0064</v>
      </c>
      <c r="I65" s="1230" t="n">
        <f aca="false">G65*H65/1000</f>
        <v>13.411106590438</v>
      </c>
      <c r="J65" s="1232" t="n">
        <f aca="false">SUM(F65,I65)</f>
        <v>1823.02779859044</v>
      </c>
      <c r="K65" s="1233" t="n">
        <f aca="false">VLOOKUP($A65,Curves_Table,Escalation!$O$291)</f>
        <v>1.23462294375966</v>
      </c>
      <c r="L65" s="1234" t="n">
        <f aca="false">J65*K65</f>
        <v>2250.75194725142</v>
      </c>
      <c r="M65" s="1235" t="str">
        <f aca="false">IF(MONTH($A65)=12,SUM(L54:L65)," ")</f>
        <v> </v>
      </c>
    </row>
    <row r="66" customFormat="false" ht="12.75" hidden="false" customHeight="false" outlineLevel="0" collapsed="false">
      <c r="A66" s="1226" t="n">
        <f aca="false">EDATE(A65,1)</f>
        <v>38596</v>
      </c>
      <c r="C66" s="1227" t="n">
        <f aca="false">A67-A66</f>
        <v>30</v>
      </c>
      <c r="D66" s="1228" t="n">
        <f aca="false">(IF($A66&gt;Endyr,0,IF($A66&lt;Assm!$F$32,G66,Capacity*C66)))*(1+RAROC!$N$12)</f>
        <v>3089700</v>
      </c>
      <c r="E66" s="1229" t="n">
        <f aca="false">IF($A66&gt;Endyr,0,Tariff_Cap)</f>
        <v>0.5668</v>
      </c>
      <c r="F66" s="1230" t="n">
        <f aca="false">D66*E66/1000</f>
        <v>1751.24196</v>
      </c>
      <c r="G66" s="1231" t="n">
        <f aca="false">[4]MMBTU!U89</f>
        <v>2027889.10137672</v>
      </c>
      <c r="H66" s="1229" t="n">
        <f aca="false">IF($A66&gt;Endyr,0,Tariff_Var)</f>
        <v>0.0064</v>
      </c>
      <c r="I66" s="1230" t="n">
        <f aca="false">G66*H66/1000</f>
        <v>12.978490248811</v>
      </c>
      <c r="J66" s="1232" t="n">
        <f aca="false">SUM(F66,I66)</f>
        <v>1764.22045024881</v>
      </c>
      <c r="K66" s="1233" t="n">
        <f aca="false">VLOOKUP($A66,Curves_Table,Escalation!$O$291)</f>
        <v>1.23462294375966</v>
      </c>
      <c r="L66" s="1234" t="n">
        <f aca="false">J66*K66</f>
        <v>2178.14704572719</v>
      </c>
      <c r="M66" s="1235" t="str">
        <f aca="false">IF(MONTH($A66)=12,SUM(L55:L66)," ")</f>
        <v> </v>
      </c>
    </row>
    <row r="67" customFormat="false" ht="12.75" hidden="false" customHeight="false" outlineLevel="0" collapsed="false">
      <c r="A67" s="1226" t="n">
        <f aca="false">EDATE(A66,1)</f>
        <v>38626</v>
      </c>
      <c r="C67" s="1227" t="n">
        <f aca="false">A68-A67</f>
        <v>31</v>
      </c>
      <c r="D67" s="1228" t="n">
        <f aca="false">(IF($A67&gt;Endyr,0,IF($A67&lt;Assm!$F$32,G67,Capacity*C67)))*(1+RAROC!$N$12)</f>
        <v>3192690</v>
      </c>
      <c r="E67" s="1229" t="n">
        <f aca="false">IF($A67&gt;Endyr,0,Tariff_Cap)</f>
        <v>0.5668</v>
      </c>
      <c r="F67" s="1230" t="n">
        <f aca="false">D67*E67/1000</f>
        <v>1809.616692</v>
      </c>
      <c r="G67" s="1231" t="n">
        <f aca="false">[4]MMBTU!U90</f>
        <v>2095485.40475594</v>
      </c>
      <c r="H67" s="1229" t="n">
        <f aca="false">IF($A67&gt;Endyr,0,Tariff_Var)</f>
        <v>0.0064</v>
      </c>
      <c r="I67" s="1230" t="n">
        <f aca="false">G67*H67/1000</f>
        <v>13.411106590438</v>
      </c>
      <c r="J67" s="1232" t="n">
        <f aca="false">SUM(F67,I67)</f>
        <v>1823.02779859044</v>
      </c>
      <c r="K67" s="1233" t="n">
        <f aca="false">VLOOKUP($A67,Curves_Table,Escalation!$O$291)</f>
        <v>1.23462294375966</v>
      </c>
      <c r="L67" s="1234" t="n">
        <f aca="false">J67*K67</f>
        <v>2250.75194725142</v>
      </c>
      <c r="M67" s="1235" t="str">
        <f aca="false">IF(MONTH($A67)=12,SUM(L56:L67)," ")</f>
        <v> </v>
      </c>
    </row>
    <row r="68" customFormat="false" ht="12.75" hidden="false" customHeight="false" outlineLevel="0" collapsed="false">
      <c r="A68" s="1226" t="n">
        <f aca="false">EDATE(A67,1)</f>
        <v>38657</v>
      </c>
      <c r="C68" s="1227" t="n">
        <f aca="false">A69-A68</f>
        <v>30</v>
      </c>
      <c r="D68" s="1228" t="n">
        <f aca="false">(IF($A68&gt;Endyr,0,IF($A68&lt;Assm!$F$32,G68,Capacity*C68)))*(1+RAROC!$N$12)</f>
        <v>3089700</v>
      </c>
      <c r="E68" s="1229" t="n">
        <f aca="false">IF($A68&gt;Endyr,0,Tariff_Cap)</f>
        <v>0.5668</v>
      </c>
      <c r="F68" s="1230" t="n">
        <f aca="false">D68*E68/1000</f>
        <v>1751.24196</v>
      </c>
      <c r="G68" s="1231" t="n">
        <f aca="false">[4]MMBTU!U91</f>
        <v>2027889.10137672</v>
      </c>
      <c r="H68" s="1229" t="n">
        <f aca="false">IF($A68&gt;Endyr,0,Tariff_Var)</f>
        <v>0.0064</v>
      </c>
      <c r="I68" s="1230" t="n">
        <f aca="false">G68*H68/1000</f>
        <v>12.978490248811</v>
      </c>
      <c r="J68" s="1232" t="n">
        <f aca="false">SUM(F68,I68)</f>
        <v>1764.22045024881</v>
      </c>
      <c r="K68" s="1233" t="n">
        <f aca="false">VLOOKUP($A68,Curves_Table,Escalation!$O$291)</f>
        <v>1.23462294375966</v>
      </c>
      <c r="L68" s="1234" t="n">
        <f aca="false">J68*K68</f>
        <v>2178.14704572719</v>
      </c>
      <c r="M68" s="1235" t="str">
        <f aca="false">IF(MONTH($A68)=12,SUM(L57:L68)," ")</f>
        <v> </v>
      </c>
    </row>
    <row r="69" customFormat="false" ht="12.75" hidden="false" customHeight="false" outlineLevel="0" collapsed="false">
      <c r="A69" s="1226" t="n">
        <f aca="false">EDATE(A68,1)</f>
        <v>38687</v>
      </c>
      <c r="C69" s="1227" t="n">
        <f aca="false">A70-A69</f>
        <v>31</v>
      </c>
      <c r="D69" s="1228" t="n">
        <f aca="false">(IF($A69&gt;Endyr,0,IF($A69&lt;Assm!$F$32,G69,Capacity*C69)))*(1+RAROC!$N$12)</f>
        <v>3192690</v>
      </c>
      <c r="E69" s="1229" t="n">
        <f aca="false">IF($A69&gt;Endyr,0,Tariff_Cap)</f>
        <v>0.5668</v>
      </c>
      <c r="F69" s="1230" t="n">
        <f aca="false">D69*E69/1000</f>
        <v>1809.616692</v>
      </c>
      <c r="G69" s="1231" t="n">
        <f aca="false">[4]MMBTU!U92</f>
        <v>2095485.40475594</v>
      </c>
      <c r="H69" s="1229" t="n">
        <f aca="false">IF($A69&gt;Endyr,0,Tariff_Var)</f>
        <v>0.0064</v>
      </c>
      <c r="I69" s="1230" t="n">
        <f aca="false">G69*H69/1000</f>
        <v>13.411106590438</v>
      </c>
      <c r="J69" s="1232" t="n">
        <f aca="false">SUM(F69,I69)</f>
        <v>1823.02779859044</v>
      </c>
      <c r="K69" s="1233" t="n">
        <f aca="false">VLOOKUP($A69,Curves_Table,Escalation!$O$291)</f>
        <v>1.23462294375966</v>
      </c>
      <c r="L69" s="1234" t="n">
        <f aca="false">J69*K69</f>
        <v>2250.75194725142</v>
      </c>
      <c r="M69" s="1235" t="n">
        <f aca="false">IF(MONTH($A69)=12,SUM(L58:L69)," ")</f>
        <v>26258.9242454311</v>
      </c>
    </row>
    <row r="70" customFormat="false" ht="12.75" hidden="false" customHeight="false" outlineLevel="0" collapsed="false">
      <c r="A70" s="1226" t="n">
        <f aca="false">EDATE(A69,1)</f>
        <v>38718</v>
      </c>
      <c r="C70" s="1227" t="n">
        <f aca="false">A71-A70</f>
        <v>31</v>
      </c>
      <c r="D70" s="1228" t="n">
        <f aca="false">(IF($A70&gt;Endyr,0,IF($A70&lt;Assm!$F$32,G70,Capacity*C70)))*(1+RAROC!$N$12)</f>
        <v>3192690</v>
      </c>
      <c r="E70" s="1229" t="n">
        <f aca="false">IF($A70&gt;Endyr,0,Tariff_Cap)</f>
        <v>0.5668</v>
      </c>
      <c r="F70" s="1230" t="n">
        <f aca="false">D70*E70/1000</f>
        <v>1809.616692</v>
      </c>
      <c r="G70" s="1231" t="n">
        <f aca="false">[4]MMBTU!U93</f>
        <v>2095485.40475594</v>
      </c>
      <c r="H70" s="1229" t="n">
        <f aca="false">IF($A70&gt;Endyr,0,Tariff_Var)</f>
        <v>0.0064</v>
      </c>
      <c r="I70" s="1230" t="n">
        <f aca="false">G70*H70/1000</f>
        <v>13.411106590438</v>
      </c>
      <c r="J70" s="1232" t="n">
        <f aca="false">SUM(F70,I70)</f>
        <v>1823.02779859044</v>
      </c>
      <c r="K70" s="1233" t="n">
        <f aca="false">VLOOKUP($A70,Curves_Table,Escalation!$O$291)</f>
        <v>1.23462294375966</v>
      </c>
      <c r="L70" s="1234" t="n">
        <f aca="false">J70*K70</f>
        <v>2250.75194725142</v>
      </c>
      <c r="M70" s="1235" t="str">
        <f aca="false">IF(MONTH($A70)=12,SUM(L59:L70)," ")</f>
        <v> </v>
      </c>
    </row>
    <row r="71" customFormat="false" ht="12.75" hidden="false" customHeight="false" outlineLevel="0" collapsed="false">
      <c r="A71" s="1226" t="n">
        <f aca="false">EDATE(A70,1)</f>
        <v>38749</v>
      </c>
      <c r="C71" s="1227" t="n">
        <f aca="false">A72-A71</f>
        <v>28</v>
      </c>
      <c r="D71" s="1228" t="n">
        <f aca="false">(IF($A71&gt;Endyr,0,IF($A71&lt;Assm!$F$32,G71,Capacity*C71)))*(1+RAROC!$N$12)</f>
        <v>2883720</v>
      </c>
      <c r="E71" s="1229" t="n">
        <f aca="false">IF($A71&gt;Endyr,0,Tariff_Cap)</f>
        <v>0.5668</v>
      </c>
      <c r="F71" s="1230" t="n">
        <f aca="false">D71*E71/1000</f>
        <v>1634.492496</v>
      </c>
      <c r="G71" s="1231" t="n">
        <f aca="false">[4]MMBTU!U94</f>
        <v>1892696.49461827</v>
      </c>
      <c r="H71" s="1229" t="n">
        <f aca="false">IF($A71&gt;Endyr,0,Tariff_Var)</f>
        <v>0.0064</v>
      </c>
      <c r="I71" s="1230" t="n">
        <f aca="false">G71*H71/1000</f>
        <v>12.113257565557</v>
      </c>
      <c r="J71" s="1232" t="n">
        <f aca="false">SUM(F71,I71)</f>
        <v>1646.60575356556</v>
      </c>
      <c r="K71" s="1233" t="n">
        <f aca="false">VLOOKUP($A71,Curves_Table,Escalation!$O$291)</f>
        <v>1.23462294375966</v>
      </c>
      <c r="L71" s="1234" t="n">
        <f aca="false">J71*K71</f>
        <v>2032.93724267871</v>
      </c>
      <c r="M71" s="1235" t="str">
        <f aca="false">IF(MONTH($A71)=12,SUM(L60:L71)," ")</f>
        <v> </v>
      </c>
    </row>
    <row r="72" customFormat="false" ht="12.75" hidden="false" customHeight="false" outlineLevel="0" collapsed="false">
      <c r="A72" s="1226" t="n">
        <f aca="false">EDATE(A71,1)</f>
        <v>38777</v>
      </c>
      <c r="C72" s="1227" t="n">
        <f aca="false">A73-A72</f>
        <v>31</v>
      </c>
      <c r="D72" s="1228" t="n">
        <f aca="false">(IF($A72&gt;Endyr,0,IF($A72&lt;Assm!$F$32,G72,Capacity*C72)))*(1+RAROC!$N$12)</f>
        <v>3192690</v>
      </c>
      <c r="E72" s="1229" t="n">
        <f aca="false">IF($A72&gt;Endyr,0,Tariff_Cap)</f>
        <v>0.5668</v>
      </c>
      <c r="F72" s="1230" t="n">
        <f aca="false">D72*E72/1000</f>
        <v>1809.616692</v>
      </c>
      <c r="G72" s="1231" t="n">
        <f aca="false">[4]MMBTU!U95</f>
        <v>2095485.40475594</v>
      </c>
      <c r="H72" s="1229" t="n">
        <f aca="false">IF($A72&gt;Endyr,0,Tariff_Var)</f>
        <v>0.0064</v>
      </c>
      <c r="I72" s="1230" t="n">
        <f aca="false">G72*H72/1000</f>
        <v>13.411106590438</v>
      </c>
      <c r="J72" s="1232" t="n">
        <f aca="false">SUM(F72,I72)</f>
        <v>1823.02779859044</v>
      </c>
      <c r="K72" s="1233" t="n">
        <f aca="false">VLOOKUP($A72,Curves_Table,Escalation!$O$291)</f>
        <v>1.23462294375966</v>
      </c>
      <c r="L72" s="1234" t="n">
        <f aca="false">J72*K72</f>
        <v>2250.75194725142</v>
      </c>
      <c r="M72" s="1235" t="str">
        <f aca="false">IF(MONTH($A72)=12,SUM(L61:L72)," ")</f>
        <v> </v>
      </c>
    </row>
    <row r="73" customFormat="false" ht="12.75" hidden="false" customHeight="false" outlineLevel="0" collapsed="false">
      <c r="A73" s="1226" t="n">
        <f aca="false">EDATE(A72,1)</f>
        <v>38808</v>
      </c>
      <c r="C73" s="1227" t="n">
        <f aca="false">A74-A73</f>
        <v>30</v>
      </c>
      <c r="D73" s="1228" t="n">
        <f aca="false">(IF($A73&gt;Endyr,0,IF($A73&lt;Assm!$F$32,G73,Capacity*C73)))*(1+RAROC!$N$12)</f>
        <v>3089700</v>
      </c>
      <c r="E73" s="1229" t="n">
        <f aca="false">IF($A73&gt;Endyr,0,Tariff_Cap)</f>
        <v>0.5668</v>
      </c>
      <c r="F73" s="1230" t="n">
        <f aca="false">D73*E73/1000</f>
        <v>1751.24196</v>
      </c>
      <c r="G73" s="1231" t="n">
        <f aca="false">[4]MMBTU!U96</f>
        <v>2027889.10137672</v>
      </c>
      <c r="H73" s="1229" t="n">
        <f aca="false">IF($A73&gt;Endyr,0,Tariff_Var)</f>
        <v>0.0064</v>
      </c>
      <c r="I73" s="1230" t="n">
        <f aca="false">G73*H73/1000</f>
        <v>12.978490248811</v>
      </c>
      <c r="J73" s="1232" t="n">
        <f aca="false">SUM(F73,I73)</f>
        <v>1764.22045024881</v>
      </c>
      <c r="K73" s="1233" t="n">
        <f aca="false">VLOOKUP($A73,Curves_Table,Escalation!$O$291)</f>
        <v>1.23462294375966</v>
      </c>
      <c r="L73" s="1234" t="n">
        <f aca="false">J73*K73</f>
        <v>2178.14704572719</v>
      </c>
      <c r="M73" s="1235" t="str">
        <f aca="false">IF(MONTH($A73)=12,SUM(L62:L73)," ")</f>
        <v> </v>
      </c>
    </row>
    <row r="74" customFormat="false" ht="12.75" hidden="false" customHeight="false" outlineLevel="0" collapsed="false">
      <c r="A74" s="1226" t="n">
        <f aca="false">EDATE(A73,1)</f>
        <v>38838</v>
      </c>
      <c r="C74" s="1227" t="n">
        <f aca="false">A75-A74</f>
        <v>31</v>
      </c>
      <c r="D74" s="1228" t="n">
        <f aca="false">(IF($A74&gt;Endyr,0,IF($A74&lt;Assm!$F$32,G74,Capacity*C74)))*(1+RAROC!$N$12)</f>
        <v>3192690</v>
      </c>
      <c r="E74" s="1229" t="n">
        <f aca="false">IF($A74&gt;Endyr,0,Tariff_Cap)</f>
        <v>0.5668</v>
      </c>
      <c r="F74" s="1230" t="n">
        <f aca="false">D74*E74/1000</f>
        <v>1809.616692</v>
      </c>
      <c r="G74" s="1231" t="n">
        <f aca="false">[4]MMBTU!U97</f>
        <v>2095485.40475594</v>
      </c>
      <c r="H74" s="1229" t="n">
        <f aca="false">IF($A74&gt;Endyr,0,Tariff_Var)</f>
        <v>0.0064</v>
      </c>
      <c r="I74" s="1230" t="n">
        <f aca="false">G74*H74/1000</f>
        <v>13.411106590438</v>
      </c>
      <c r="J74" s="1232" t="n">
        <f aca="false">SUM(F74,I74)</f>
        <v>1823.02779859044</v>
      </c>
      <c r="K74" s="1233" t="n">
        <f aca="false">VLOOKUP($A74,Curves_Table,Escalation!$O$291)</f>
        <v>1.26919095628799</v>
      </c>
      <c r="L74" s="1234" t="n">
        <f aca="false">J74*K74</f>
        <v>2313.77039503258</v>
      </c>
      <c r="M74" s="1235" t="str">
        <f aca="false">IF(MONTH($A74)=12,SUM(L63:L74)," ")</f>
        <v> </v>
      </c>
    </row>
    <row r="75" customFormat="false" ht="12.75" hidden="false" customHeight="false" outlineLevel="0" collapsed="false">
      <c r="A75" s="1226" t="n">
        <f aca="false">EDATE(A74,1)</f>
        <v>38869</v>
      </c>
      <c r="C75" s="1227" t="n">
        <f aca="false">A76-A75</f>
        <v>30</v>
      </c>
      <c r="D75" s="1228" t="n">
        <f aca="false">(IF($A75&gt;Endyr,0,IF($A75&lt;Assm!$F$32,G75,Capacity*C75)))*(1+RAROC!$N$12)</f>
        <v>3089700</v>
      </c>
      <c r="E75" s="1229" t="n">
        <f aca="false">IF($A75&gt;Endyr,0,Tariff_Cap)</f>
        <v>0.5668</v>
      </c>
      <c r="F75" s="1230" t="n">
        <f aca="false">D75*E75/1000</f>
        <v>1751.24196</v>
      </c>
      <c r="G75" s="1231" t="n">
        <f aca="false">[4]MMBTU!U98</f>
        <v>2027889.10137672</v>
      </c>
      <c r="H75" s="1229" t="n">
        <f aca="false">IF($A75&gt;Endyr,0,Tariff_Var)</f>
        <v>0.0064</v>
      </c>
      <c r="I75" s="1230" t="n">
        <f aca="false">G75*H75/1000</f>
        <v>12.978490248811</v>
      </c>
      <c r="J75" s="1232" t="n">
        <f aca="false">SUM(F75,I75)</f>
        <v>1764.22045024881</v>
      </c>
      <c r="K75" s="1233" t="n">
        <f aca="false">VLOOKUP($A75,Curves_Table,Escalation!$O$291)</f>
        <v>1.26919095628799</v>
      </c>
      <c r="L75" s="1234" t="n">
        <f aca="false">J75*K75</f>
        <v>2239.13264035411</v>
      </c>
      <c r="M75" s="1235" t="str">
        <f aca="false">IF(MONTH($A75)=12,SUM(L64:L75)," ")</f>
        <v> </v>
      </c>
    </row>
    <row r="76" customFormat="false" ht="12.75" hidden="false" customHeight="false" outlineLevel="0" collapsed="false">
      <c r="A76" s="1226" t="n">
        <f aca="false">EDATE(A75,1)</f>
        <v>38899</v>
      </c>
      <c r="C76" s="1227" t="n">
        <f aca="false">A77-A76</f>
        <v>31</v>
      </c>
      <c r="D76" s="1228" t="n">
        <f aca="false">(IF($A76&gt;Endyr,0,IF($A76&lt;Assm!$F$32,G76,Capacity*C76)))*(1+RAROC!$N$12)</f>
        <v>3192690</v>
      </c>
      <c r="E76" s="1229" t="n">
        <f aca="false">IF($A76&gt;Endyr,0,Tariff_Cap)</f>
        <v>0.5668</v>
      </c>
      <c r="F76" s="1230" t="n">
        <f aca="false">D76*E76/1000</f>
        <v>1809.616692</v>
      </c>
      <c r="G76" s="1231" t="n">
        <f aca="false">[4]MMBTU!U99</f>
        <v>2095485.40475594</v>
      </c>
      <c r="H76" s="1229" t="n">
        <f aca="false">IF($A76&gt;Endyr,0,Tariff_Var)</f>
        <v>0.0064</v>
      </c>
      <c r="I76" s="1230" t="n">
        <f aca="false">G76*H76/1000</f>
        <v>13.411106590438</v>
      </c>
      <c r="J76" s="1232" t="n">
        <f aca="false">SUM(F76,I76)</f>
        <v>1823.02779859044</v>
      </c>
      <c r="K76" s="1233" t="n">
        <f aca="false">VLOOKUP($A76,Curves_Table,Escalation!$O$291)</f>
        <v>1.26919095628799</v>
      </c>
      <c r="L76" s="1234" t="n">
        <f aca="false">J76*K76</f>
        <v>2313.77039503258</v>
      </c>
      <c r="M76" s="1235" t="str">
        <f aca="false">IF(MONTH($A76)=12,SUM(L65:L76)," ")</f>
        <v> </v>
      </c>
    </row>
    <row r="77" customFormat="false" ht="12.75" hidden="false" customHeight="false" outlineLevel="0" collapsed="false">
      <c r="A77" s="1226" t="n">
        <f aca="false">EDATE(A76,1)</f>
        <v>38930</v>
      </c>
      <c r="C77" s="1227" t="n">
        <f aca="false">A78-A77</f>
        <v>31</v>
      </c>
      <c r="D77" s="1228" t="n">
        <f aca="false">(IF($A77&gt;Endyr,0,IF($A77&lt;Assm!$F$32,G77,Capacity*C77)))*(1+RAROC!$N$12)</f>
        <v>3192690</v>
      </c>
      <c r="E77" s="1229" t="n">
        <f aca="false">IF($A77&gt;Endyr,0,Tariff_Cap)</f>
        <v>0.5668</v>
      </c>
      <c r="F77" s="1230" t="n">
        <f aca="false">D77*E77/1000</f>
        <v>1809.616692</v>
      </c>
      <c r="G77" s="1231" t="n">
        <f aca="false">[4]MMBTU!U100</f>
        <v>2095485.40475594</v>
      </c>
      <c r="H77" s="1229" t="n">
        <f aca="false">IF($A77&gt;Endyr,0,Tariff_Var)</f>
        <v>0.0064</v>
      </c>
      <c r="I77" s="1230" t="n">
        <f aca="false">G77*H77/1000</f>
        <v>13.411106590438</v>
      </c>
      <c r="J77" s="1232" t="n">
        <f aca="false">SUM(F77,I77)</f>
        <v>1823.02779859044</v>
      </c>
      <c r="K77" s="1233" t="n">
        <f aca="false">VLOOKUP($A77,Curves_Table,Escalation!$O$291)</f>
        <v>1.26919095628799</v>
      </c>
      <c r="L77" s="1234" t="n">
        <f aca="false">J77*K77</f>
        <v>2313.77039503258</v>
      </c>
      <c r="M77" s="1235" t="str">
        <f aca="false">IF(MONTH($A77)=12,SUM(L66:L77)," ")</f>
        <v> </v>
      </c>
    </row>
    <row r="78" customFormat="false" ht="12.75" hidden="false" customHeight="false" outlineLevel="0" collapsed="false">
      <c r="A78" s="1226" t="n">
        <f aca="false">EDATE(A77,1)</f>
        <v>38961</v>
      </c>
      <c r="C78" s="1227" t="n">
        <f aca="false">A79-A78</f>
        <v>30</v>
      </c>
      <c r="D78" s="1228" t="n">
        <f aca="false">(IF($A78&gt;Endyr,0,IF($A78&lt;Assm!$F$32,G78,Capacity*C78)))*(1+RAROC!$N$12)</f>
        <v>3089700</v>
      </c>
      <c r="E78" s="1229" t="n">
        <f aca="false">IF($A78&gt;Endyr,0,Tariff_Cap)</f>
        <v>0.5668</v>
      </c>
      <c r="F78" s="1230" t="n">
        <f aca="false">D78*E78/1000</f>
        <v>1751.24196</v>
      </c>
      <c r="G78" s="1231" t="n">
        <f aca="false">[4]MMBTU!U101</f>
        <v>2027889.10137672</v>
      </c>
      <c r="H78" s="1229" t="n">
        <f aca="false">IF($A78&gt;Endyr,0,Tariff_Var)</f>
        <v>0.0064</v>
      </c>
      <c r="I78" s="1230" t="n">
        <f aca="false">G78*H78/1000</f>
        <v>12.978490248811</v>
      </c>
      <c r="J78" s="1232" t="n">
        <f aca="false">SUM(F78,I78)</f>
        <v>1764.22045024881</v>
      </c>
      <c r="K78" s="1233" t="n">
        <f aca="false">VLOOKUP($A78,Curves_Table,Escalation!$O$291)</f>
        <v>1.26919095628799</v>
      </c>
      <c r="L78" s="1234" t="n">
        <f aca="false">J78*K78</f>
        <v>2239.13264035411</v>
      </c>
      <c r="M78" s="1235" t="str">
        <f aca="false">IF(MONTH($A78)=12,SUM(L67:L78)," ")</f>
        <v> </v>
      </c>
    </row>
    <row r="79" customFormat="false" ht="12.75" hidden="false" customHeight="false" outlineLevel="0" collapsed="false">
      <c r="A79" s="1226" t="n">
        <f aca="false">EDATE(A78,1)</f>
        <v>38991</v>
      </c>
      <c r="C79" s="1227" t="n">
        <f aca="false">A80-A79</f>
        <v>31</v>
      </c>
      <c r="D79" s="1228" t="n">
        <f aca="false">(IF($A79&gt;Endyr,0,IF($A79&lt;Assm!$F$32,G79,Capacity*C79)))*(1+RAROC!$N$12)</f>
        <v>3192690</v>
      </c>
      <c r="E79" s="1229" t="n">
        <f aca="false">IF($A79&gt;Endyr,0,Tariff_Cap)</f>
        <v>0.5668</v>
      </c>
      <c r="F79" s="1230" t="n">
        <f aca="false">D79*E79/1000</f>
        <v>1809.616692</v>
      </c>
      <c r="G79" s="1231" t="n">
        <f aca="false">[4]MMBTU!U102</f>
        <v>2095485.40475594</v>
      </c>
      <c r="H79" s="1229" t="n">
        <f aca="false">IF($A79&gt;Endyr,0,Tariff_Var)</f>
        <v>0.0064</v>
      </c>
      <c r="I79" s="1230" t="n">
        <f aca="false">G79*H79/1000</f>
        <v>13.411106590438</v>
      </c>
      <c r="J79" s="1232" t="n">
        <f aca="false">SUM(F79,I79)</f>
        <v>1823.02779859044</v>
      </c>
      <c r="K79" s="1233" t="n">
        <f aca="false">VLOOKUP($A79,Curves_Table,Escalation!$O$291)</f>
        <v>1.26919095628799</v>
      </c>
      <c r="L79" s="1234" t="n">
        <f aca="false">J79*K79</f>
        <v>2313.77039503258</v>
      </c>
      <c r="M79" s="1235" t="str">
        <f aca="false">IF(MONTH($A79)=12,SUM(L68:L79)," ")</f>
        <v> </v>
      </c>
    </row>
    <row r="80" customFormat="false" ht="12.75" hidden="false" customHeight="false" outlineLevel="0" collapsed="false">
      <c r="A80" s="1226" t="n">
        <f aca="false">EDATE(A79,1)</f>
        <v>39022</v>
      </c>
      <c r="C80" s="1227" t="n">
        <f aca="false">A81-A80</f>
        <v>30</v>
      </c>
      <c r="D80" s="1228" t="n">
        <f aca="false">(IF($A80&gt;Endyr,0,IF($A80&lt;Assm!$F$32,G80,Capacity*C80)))*(1+RAROC!$N$12)</f>
        <v>3089700</v>
      </c>
      <c r="E80" s="1229" t="n">
        <f aca="false">IF($A80&gt;Endyr,0,Tariff_Cap)</f>
        <v>0.5668</v>
      </c>
      <c r="F80" s="1230" t="n">
        <f aca="false">D80*E80/1000</f>
        <v>1751.24196</v>
      </c>
      <c r="G80" s="1231" t="n">
        <f aca="false">[4]MMBTU!U103</f>
        <v>2027889.10137672</v>
      </c>
      <c r="H80" s="1229" t="n">
        <f aca="false">IF($A80&gt;Endyr,0,Tariff_Var)</f>
        <v>0.0064</v>
      </c>
      <c r="I80" s="1230" t="n">
        <f aca="false">G80*H80/1000</f>
        <v>12.978490248811</v>
      </c>
      <c r="J80" s="1232" t="n">
        <f aca="false">SUM(F80,I80)</f>
        <v>1764.22045024881</v>
      </c>
      <c r="K80" s="1233" t="n">
        <f aca="false">VLOOKUP($A80,Curves_Table,Escalation!$O$291)</f>
        <v>1.26919095628799</v>
      </c>
      <c r="L80" s="1234" t="n">
        <f aca="false">J80*K80</f>
        <v>2239.13264035411</v>
      </c>
      <c r="M80" s="1235" t="str">
        <f aca="false">IF(MONTH($A80)=12,SUM(L69:L80)," ")</f>
        <v> </v>
      </c>
    </row>
    <row r="81" customFormat="false" ht="12.75" hidden="false" customHeight="false" outlineLevel="0" collapsed="false">
      <c r="A81" s="1226" t="n">
        <f aca="false">EDATE(A80,1)</f>
        <v>39052</v>
      </c>
      <c r="C81" s="1227" t="n">
        <f aca="false">A82-A81</f>
        <v>31</v>
      </c>
      <c r="D81" s="1228" t="n">
        <f aca="false">(IF($A81&gt;Endyr,0,IF($A81&lt;Assm!$F$32,G81,Capacity*C81)))*(1+RAROC!$N$12)</f>
        <v>3192690</v>
      </c>
      <c r="E81" s="1229" t="n">
        <f aca="false">IF($A81&gt;Endyr,0,Tariff_Cap)</f>
        <v>0.5668</v>
      </c>
      <c r="F81" s="1230" t="n">
        <f aca="false">D81*E81/1000</f>
        <v>1809.616692</v>
      </c>
      <c r="G81" s="1231" t="n">
        <f aca="false">[4]MMBTU!U104</f>
        <v>2095485.40475594</v>
      </c>
      <c r="H81" s="1229" t="n">
        <f aca="false">IF($A81&gt;Endyr,0,Tariff_Var)</f>
        <v>0.0064</v>
      </c>
      <c r="I81" s="1230" t="n">
        <f aca="false">G81*H81/1000</f>
        <v>13.411106590438</v>
      </c>
      <c r="J81" s="1232" t="n">
        <f aca="false">SUM(F81,I81)</f>
        <v>1823.02779859044</v>
      </c>
      <c r="K81" s="1233" t="n">
        <f aca="false">VLOOKUP($A81,Curves_Table,Escalation!$O$291)</f>
        <v>1.26919095628799</v>
      </c>
      <c r="L81" s="1234" t="n">
        <f aca="false">J81*K81</f>
        <v>2313.77039503258</v>
      </c>
      <c r="M81" s="1235" t="n">
        <f aca="false">IF(MONTH($A81)=12,SUM(L70:L81)," ")</f>
        <v>26998.838079134</v>
      </c>
    </row>
    <row r="82" customFormat="false" ht="12.75" hidden="false" customHeight="false" outlineLevel="0" collapsed="false">
      <c r="A82" s="1226" t="n">
        <f aca="false">EDATE(A81,1)</f>
        <v>39083</v>
      </c>
      <c r="C82" s="1227" t="n">
        <f aca="false">A83-A82</f>
        <v>31</v>
      </c>
      <c r="D82" s="1228" t="n">
        <f aca="false">(IF($A82&gt;Endyr,0,IF($A82&lt;Assm!$F$32,G82,Capacity*C82)))*(1+RAROC!$N$12)</f>
        <v>3192690</v>
      </c>
      <c r="E82" s="1229" t="n">
        <f aca="false">IF($A82&gt;Endyr,0,Tariff_Cap)</f>
        <v>0.5668</v>
      </c>
      <c r="F82" s="1230" t="n">
        <f aca="false">D82*E82/1000</f>
        <v>1809.616692</v>
      </c>
      <c r="G82" s="1231" t="n">
        <f aca="false">[4]MMBTU!U105</f>
        <v>2095485.40475594</v>
      </c>
      <c r="H82" s="1229" t="n">
        <f aca="false">IF($A82&gt;Endyr,0,Tariff_Var)</f>
        <v>0.0064</v>
      </c>
      <c r="I82" s="1230" t="n">
        <f aca="false">G82*H82/1000</f>
        <v>13.411106590438</v>
      </c>
      <c r="J82" s="1232" t="n">
        <f aca="false">SUM(F82,I82)</f>
        <v>1823.02779859044</v>
      </c>
      <c r="K82" s="1233" t="n">
        <f aca="false">VLOOKUP($A82,Curves_Table,Escalation!$O$291)</f>
        <v>1.26919095628799</v>
      </c>
      <c r="L82" s="1234" t="n">
        <f aca="false">J82*K82</f>
        <v>2313.77039503258</v>
      </c>
      <c r="M82" s="1235" t="str">
        <f aca="false">IF(MONTH($A82)=12,SUM(L71:L82)," ")</f>
        <v> </v>
      </c>
    </row>
    <row r="83" customFormat="false" ht="12.75" hidden="false" customHeight="false" outlineLevel="0" collapsed="false">
      <c r="A83" s="1226" t="n">
        <f aca="false">EDATE(A82,1)</f>
        <v>39114</v>
      </c>
      <c r="C83" s="1227" t="n">
        <f aca="false">A84-A83</f>
        <v>28</v>
      </c>
      <c r="D83" s="1228" t="n">
        <f aca="false">(IF($A83&gt;Endyr,0,IF($A83&lt;Assm!$F$32,G83,Capacity*C83)))*(1+RAROC!$N$12)</f>
        <v>2883720</v>
      </c>
      <c r="E83" s="1229" t="n">
        <f aca="false">IF($A83&gt;Endyr,0,Tariff_Cap)</f>
        <v>0.5668</v>
      </c>
      <c r="F83" s="1230" t="n">
        <f aca="false">D83*E83/1000</f>
        <v>1634.492496</v>
      </c>
      <c r="G83" s="1231" t="n">
        <f aca="false">[4]MMBTU!U106</f>
        <v>1892696.49461827</v>
      </c>
      <c r="H83" s="1229" t="n">
        <f aca="false">IF($A83&gt;Endyr,0,Tariff_Var)</f>
        <v>0.0064</v>
      </c>
      <c r="I83" s="1230" t="n">
        <f aca="false">G83*H83/1000</f>
        <v>12.113257565557</v>
      </c>
      <c r="J83" s="1232" t="n">
        <f aca="false">SUM(F83,I83)</f>
        <v>1646.60575356556</v>
      </c>
      <c r="K83" s="1233" t="n">
        <f aca="false">VLOOKUP($A83,Curves_Table,Escalation!$O$291)</f>
        <v>1.26919095628799</v>
      </c>
      <c r="L83" s="1234" t="n">
        <f aca="false">J83*K83</f>
        <v>2089.85713099717</v>
      </c>
      <c r="M83" s="1235" t="str">
        <f aca="false">IF(MONTH($A83)=12,SUM(L72:L83)," ")</f>
        <v> </v>
      </c>
    </row>
    <row r="84" customFormat="false" ht="12.75" hidden="false" customHeight="false" outlineLevel="0" collapsed="false">
      <c r="A84" s="1226" t="n">
        <f aca="false">EDATE(A83,1)</f>
        <v>39142</v>
      </c>
      <c r="C84" s="1227" t="n">
        <f aca="false">A85-A84</f>
        <v>31</v>
      </c>
      <c r="D84" s="1228" t="n">
        <f aca="false">(IF($A84&gt;Endyr,0,IF($A84&lt;Assm!$F$32,G84,Capacity*C84)))*(1+RAROC!$N$12)</f>
        <v>3192690</v>
      </c>
      <c r="E84" s="1229" t="n">
        <f aca="false">IF($A84&gt;Endyr,0,Tariff_Cap)</f>
        <v>0.5668</v>
      </c>
      <c r="F84" s="1230" t="n">
        <f aca="false">D84*E84/1000</f>
        <v>1809.616692</v>
      </c>
      <c r="G84" s="1231" t="n">
        <f aca="false">[4]MMBTU!U107</f>
        <v>2095485.40475594</v>
      </c>
      <c r="H84" s="1229" t="n">
        <f aca="false">IF($A84&gt;Endyr,0,Tariff_Var)</f>
        <v>0.0064</v>
      </c>
      <c r="I84" s="1230" t="n">
        <f aca="false">G84*H84/1000</f>
        <v>13.411106590438</v>
      </c>
      <c r="J84" s="1232" t="n">
        <f aca="false">SUM(F84,I84)</f>
        <v>1823.02779859044</v>
      </c>
      <c r="K84" s="1233" t="n">
        <f aca="false">VLOOKUP($A84,Curves_Table,Escalation!$O$291)</f>
        <v>1.26919095628799</v>
      </c>
      <c r="L84" s="1234" t="n">
        <f aca="false">J84*K84</f>
        <v>2313.77039503258</v>
      </c>
      <c r="M84" s="1235" t="str">
        <f aca="false">IF(MONTH($A84)=12,SUM(L73:L84)," ")</f>
        <v> </v>
      </c>
    </row>
    <row r="85" customFormat="false" ht="12.75" hidden="false" customHeight="false" outlineLevel="0" collapsed="false">
      <c r="A85" s="1226" t="n">
        <f aca="false">EDATE(A84,1)</f>
        <v>39173</v>
      </c>
      <c r="C85" s="1227" t="n">
        <f aca="false">A86-A85</f>
        <v>30</v>
      </c>
      <c r="D85" s="1228" t="n">
        <f aca="false">(IF($A85&gt;Endyr,0,IF($A85&lt;Assm!$F$32,G85,Capacity*C85)))*(1+RAROC!$N$12)</f>
        <v>3089700</v>
      </c>
      <c r="E85" s="1229" t="n">
        <f aca="false">IF($A85&gt;Endyr,0,Tariff_Cap)</f>
        <v>0.5668</v>
      </c>
      <c r="F85" s="1230" t="n">
        <f aca="false">D85*E85/1000</f>
        <v>1751.24196</v>
      </c>
      <c r="G85" s="1231" t="n">
        <f aca="false">[4]MMBTU!U108</f>
        <v>2027889.10137672</v>
      </c>
      <c r="H85" s="1229" t="n">
        <f aca="false">IF($A85&gt;Endyr,0,Tariff_Var)</f>
        <v>0.0064</v>
      </c>
      <c r="I85" s="1230" t="n">
        <f aca="false">G85*H85/1000</f>
        <v>12.978490248811</v>
      </c>
      <c r="J85" s="1232" t="n">
        <f aca="false">SUM(F85,I85)</f>
        <v>1764.22045024881</v>
      </c>
      <c r="K85" s="1233" t="n">
        <f aca="false">VLOOKUP($A85,Curves_Table,Escalation!$O$291)</f>
        <v>1.26919095628799</v>
      </c>
      <c r="L85" s="1234" t="n">
        <f aca="false">J85*K85</f>
        <v>2239.13264035411</v>
      </c>
      <c r="M85" s="1235" t="str">
        <f aca="false">IF(MONTH($A85)=12,SUM(L74:L85)," ")</f>
        <v> </v>
      </c>
    </row>
    <row r="86" customFormat="false" ht="12.75" hidden="false" customHeight="false" outlineLevel="0" collapsed="false">
      <c r="A86" s="1226" t="n">
        <f aca="false">EDATE(A85,1)</f>
        <v>39203</v>
      </c>
      <c r="C86" s="1227" t="n">
        <f aca="false">A87-A86</f>
        <v>31</v>
      </c>
      <c r="D86" s="1228" t="n">
        <f aca="false">(IF($A86&gt;Endyr,0,IF($A86&lt;Assm!$F$32,G86,Capacity*C86)))*(1+RAROC!$N$12)</f>
        <v>3192690</v>
      </c>
      <c r="E86" s="1229" t="n">
        <f aca="false">IF($A86&gt;Endyr,0,Tariff_Cap)</f>
        <v>0.5668</v>
      </c>
      <c r="F86" s="1230" t="n">
        <f aca="false">D86*E86/1000</f>
        <v>1809.616692</v>
      </c>
      <c r="G86" s="1231" t="n">
        <f aca="false">[4]MMBTU!U109</f>
        <v>2095485.40475594</v>
      </c>
      <c r="H86" s="1229" t="n">
        <f aca="false">IF($A86&gt;Endyr,0,Tariff_Var)</f>
        <v>0.0064</v>
      </c>
      <c r="I86" s="1230" t="n">
        <f aca="false">G86*H86/1000</f>
        <v>13.411106590438</v>
      </c>
      <c r="J86" s="1232" t="n">
        <f aca="false">SUM(F86,I86)</f>
        <v>1823.02779859044</v>
      </c>
      <c r="K86" s="1233" t="n">
        <f aca="false">VLOOKUP($A86,Curves_Table,Escalation!$O$291)</f>
        <v>1.30389657610682</v>
      </c>
      <c r="L86" s="1234" t="n">
        <f aca="false">J86*K86</f>
        <v>2377.03970472962</v>
      </c>
      <c r="M86" s="1235" t="str">
        <f aca="false">IF(MONTH($A86)=12,SUM(L75:L86)," ")</f>
        <v> </v>
      </c>
    </row>
    <row r="87" customFormat="false" ht="12.75" hidden="false" customHeight="false" outlineLevel="0" collapsed="false">
      <c r="A87" s="1226" t="n">
        <f aca="false">EDATE(A86,1)</f>
        <v>39234</v>
      </c>
      <c r="C87" s="1227" t="n">
        <f aca="false">A88-A87</f>
        <v>30</v>
      </c>
      <c r="D87" s="1228" t="n">
        <f aca="false">(IF($A87&gt;Endyr,0,IF($A87&lt;Assm!$F$32,G87,Capacity*C87)))*(1+RAROC!$N$12)</f>
        <v>3089700</v>
      </c>
      <c r="E87" s="1229" t="n">
        <f aca="false">IF($A87&gt;Endyr,0,Tariff_Cap)</f>
        <v>0.5668</v>
      </c>
      <c r="F87" s="1230" t="n">
        <f aca="false">D87*E87/1000</f>
        <v>1751.24196</v>
      </c>
      <c r="G87" s="1231" t="n">
        <f aca="false">[4]MMBTU!U110</f>
        <v>2027889.10137672</v>
      </c>
      <c r="H87" s="1229" t="n">
        <f aca="false">IF($A87&gt;Endyr,0,Tariff_Var)</f>
        <v>0.0064</v>
      </c>
      <c r="I87" s="1230" t="n">
        <f aca="false">G87*H87/1000</f>
        <v>12.978490248811</v>
      </c>
      <c r="J87" s="1232" t="n">
        <f aca="false">SUM(F87,I87)</f>
        <v>1764.22045024881</v>
      </c>
      <c r="K87" s="1233" t="n">
        <f aca="false">VLOOKUP($A87,Curves_Table,Escalation!$O$291)</f>
        <v>1.30389657610682</v>
      </c>
      <c r="L87" s="1234" t="n">
        <f aca="false">J87*K87</f>
        <v>2300.36100457705</v>
      </c>
      <c r="M87" s="1235" t="str">
        <f aca="false">IF(MONTH($A87)=12,SUM(L76:L87)," ")</f>
        <v> </v>
      </c>
    </row>
    <row r="88" customFormat="false" ht="12.75" hidden="false" customHeight="false" outlineLevel="0" collapsed="false">
      <c r="A88" s="1226" t="n">
        <f aca="false">EDATE(A87,1)</f>
        <v>39264</v>
      </c>
      <c r="C88" s="1227" t="n">
        <f aca="false">A89-A88</f>
        <v>31</v>
      </c>
      <c r="D88" s="1228" t="n">
        <f aca="false">(IF($A88&gt;Endyr,0,IF($A88&lt;Assm!$F$32,G88,Capacity*C88)))*(1+RAROC!$N$12)</f>
        <v>3192690</v>
      </c>
      <c r="E88" s="1229" t="n">
        <f aca="false">IF($A88&gt;Endyr,0,Tariff_Cap)</f>
        <v>0.5668</v>
      </c>
      <c r="F88" s="1230" t="n">
        <f aca="false">D88*E88/1000</f>
        <v>1809.616692</v>
      </c>
      <c r="G88" s="1231" t="n">
        <f aca="false">[4]MMBTU!U111</f>
        <v>2095485.40475594</v>
      </c>
      <c r="H88" s="1229" t="n">
        <f aca="false">IF($A88&gt;Endyr,0,Tariff_Var)</f>
        <v>0.0064</v>
      </c>
      <c r="I88" s="1230" t="n">
        <f aca="false">G88*H88/1000</f>
        <v>13.411106590438</v>
      </c>
      <c r="J88" s="1232" t="n">
        <f aca="false">SUM(F88,I88)</f>
        <v>1823.02779859044</v>
      </c>
      <c r="K88" s="1233" t="n">
        <f aca="false">VLOOKUP($A88,Curves_Table,Escalation!$O$291)</f>
        <v>1.30389657610682</v>
      </c>
      <c r="L88" s="1234" t="n">
        <f aca="false">J88*K88</f>
        <v>2377.03970472962</v>
      </c>
      <c r="M88" s="1235" t="str">
        <f aca="false">IF(MONTH($A88)=12,SUM(L77:L88)," ")</f>
        <v> </v>
      </c>
    </row>
    <row r="89" customFormat="false" ht="12.75" hidden="false" customHeight="false" outlineLevel="0" collapsed="false">
      <c r="A89" s="1226" t="n">
        <f aca="false">EDATE(A88,1)</f>
        <v>39295</v>
      </c>
      <c r="C89" s="1227" t="n">
        <f aca="false">A90-A89</f>
        <v>31</v>
      </c>
      <c r="D89" s="1228" t="n">
        <f aca="false">(IF($A89&gt;Endyr,0,IF($A89&lt;Assm!$F$32,G89,Capacity*C89)))*(1+RAROC!$N$12)</f>
        <v>3192690</v>
      </c>
      <c r="E89" s="1229" t="n">
        <f aca="false">IF($A89&gt;Endyr,0,Tariff_Cap)</f>
        <v>0.5668</v>
      </c>
      <c r="F89" s="1230" t="n">
        <f aca="false">D89*E89/1000</f>
        <v>1809.616692</v>
      </c>
      <c r="G89" s="1231" t="n">
        <f aca="false">[4]MMBTU!U112</f>
        <v>2095485.40475594</v>
      </c>
      <c r="H89" s="1229" t="n">
        <f aca="false">IF($A89&gt;Endyr,0,Tariff_Var)</f>
        <v>0.0064</v>
      </c>
      <c r="I89" s="1230" t="n">
        <f aca="false">G89*H89/1000</f>
        <v>13.411106590438</v>
      </c>
      <c r="J89" s="1232" t="n">
        <f aca="false">SUM(F89,I89)</f>
        <v>1823.02779859044</v>
      </c>
      <c r="K89" s="1233" t="n">
        <f aca="false">VLOOKUP($A89,Curves_Table,Escalation!$O$291)</f>
        <v>1.30389657610682</v>
      </c>
      <c r="L89" s="1234" t="n">
        <f aca="false">J89*K89</f>
        <v>2377.03970472962</v>
      </c>
      <c r="M89" s="1235" t="str">
        <f aca="false">IF(MONTH($A89)=12,SUM(L78:L89)," ")</f>
        <v> </v>
      </c>
    </row>
    <row r="90" customFormat="false" ht="12.75" hidden="false" customHeight="false" outlineLevel="0" collapsed="false">
      <c r="A90" s="1226" t="n">
        <f aca="false">EDATE(A89,1)</f>
        <v>39326</v>
      </c>
      <c r="C90" s="1227" t="n">
        <f aca="false">A91-A90</f>
        <v>30</v>
      </c>
      <c r="D90" s="1228" t="n">
        <f aca="false">(IF($A90&gt;Endyr,0,IF($A90&lt;Assm!$F$32,G90,Capacity*C90)))*(1+RAROC!$N$12)</f>
        <v>3089700</v>
      </c>
      <c r="E90" s="1229" t="n">
        <f aca="false">IF($A90&gt;Endyr,0,Tariff_Cap)</f>
        <v>0.5668</v>
      </c>
      <c r="F90" s="1230" t="n">
        <f aca="false">D90*E90/1000</f>
        <v>1751.24196</v>
      </c>
      <c r="G90" s="1231" t="n">
        <f aca="false">[4]MMBTU!U113</f>
        <v>2027889.10137672</v>
      </c>
      <c r="H90" s="1229" t="n">
        <f aca="false">IF($A90&gt;Endyr,0,Tariff_Var)</f>
        <v>0.0064</v>
      </c>
      <c r="I90" s="1230" t="n">
        <f aca="false">G90*H90/1000</f>
        <v>12.978490248811</v>
      </c>
      <c r="J90" s="1232" t="n">
        <f aca="false">SUM(F90,I90)</f>
        <v>1764.22045024881</v>
      </c>
      <c r="K90" s="1233" t="n">
        <f aca="false">VLOOKUP($A90,Curves_Table,Escalation!$O$291)</f>
        <v>1.30389657610682</v>
      </c>
      <c r="L90" s="1234" t="n">
        <f aca="false">J90*K90</f>
        <v>2300.36100457705</v>
      </c>
      <c r="M90" s="1235" t="str">
        <f aca="false">IF(MONTH($A90)=12,SUM(L79:L90)," ")</f>
        <v> </v>
      </c>
    </row>
    <row r="91" customFormat="false" ht="12.75" hidden="false" customHeight="false" outlineLevel="0" collapsed="false">
      <c r="A91" s="1226" t="n">
        <f aca="false">EDATE(A90,1)</f>
        <v>39356</v>
      </c>
      <c r="C91" s="1227" t="n">
        <f aca="false">A92-A91</f>
        <v>31</v>
      </c>
      <c r="D91" s="1228" t="n">
        <f aca="false">(IF($A91&gt;Endyr,0,IF($A91&lt;Assm!$F$32,G91,Capacity*C91)))*(1+RAROC!$N$12)</f>
        <v>3192690</v>
      </c>
      <c r="E91" s="1229" t="n">
        <f aca="false">IF($A91&gt;Endyr,0,Tariff_Cap)</f>
        <v>0.5668</v>
      </c>
      <c r="F91" s="1230" t="n">
        <f aca="false">D91*E91/1000</f>
        <v>1809.616692</v>
      </c>
      <c r="G91" s="1231" t="n">
        <f aca="false">[4]MMBTU!U114</f>
        <v>2095485.40475594</v>
      </c>
      <c r="H91" s="1229" t="n">
        <f aca="false">IF($A91&gt;Endyr,0,Tariff_Var)</f>
        <v>0.0064</v>
      </c>
      <c r="I91" s="1230" t="n">
        <f aca="false">G91*H91/1000</f>
        <v>13.411106590438</v>
      </c>
      <c r="J91" s="1232" t="n">
        <f aca="false">SUM(F91,I91)</f>
        <v>1823.02779859044</v>
      </c>
      <c r="K91" s="1233" t="n">
        <f aca="false">VLOOKUP($A91,Curves_Table,Escalation!$O$291)</f>
        <v>1.30389657610682</v>
      </c>
      <c r="L91" s="1234" t="n">
        <f aca="false">J91*K91</f>
        <v>2377.03970472962</v>
      </c>
      <c r="M91" s="1235" t="str">
        <f aca="false">IF(MONTH($A91)=12,SUM(L80:L91)," ")</f>
        <v> </v>
      </c>
    </row>
    <row r="92" customFormat="false" ht="12.75" hidden="false" customHeight="false" outlineLevel="0" collapsed="false">
      <c r="A92" s="1226" t="n">
        <f aca="false">EDATE(A91,1)</f>
        <v>39387</v>
      </c>
      <c r="C92" s="1227" t="n">
        <f aca="false">A93-A92</f>
        <v>30</v>
      </c>
      <c r="D92" s="1228" t="n">
        <f aca="false">(IF($A92&gt;Endyr,0,IF($A92&lt;Assm!$F$32,G92,Capacity*C92)))*(1+RAROC!$N$12)</f>
        <v>3089700</v>
      </c>
      <c r="E92" s="1229" t="n">
        <f aca="false">IF($A92&gt;Endyr,0,Tariff_Cap)</f>
        <v>0.5668</v>
      </c>
      <c r="F92" s="1230" t="n">
        <f aca="false">D92*E92/1000</f>
        <v>1751.24196</v>
      </c>
      <c r="G92" s="1231" t="n">
        <f aca="false">[4]MMBTU!U115</f>
        <v>2027889.10137672</v>
      </c>
      <c r="H92" s="1229" t="n">
        <f aca="false">IF($A92&gt;Endyr,0,Tariff_Var)</f>
        <v>0.0064</v>
      </c>
      <c r="I92" s="1230" t="n">
        <f aca="false">G92*H92/1000</f>
        <v>12.978490248811</v>
      </c>
      <c r="J92" s="1232" t="n">
        <f aca="false">SUM(F92,I92)</f>
        <v>1764.22045024881</v>
      </c>
      <c r="K92" s="1233" t="n">
        <f aca="false">VLOOKUP($A92,Curves_Table,Escalation!$O$291)</f>
        <v>1.30389657610682</v>
      </c>
      <c r="L92" s="1234" t="n">
        <f aca="false">J92*K92</f>
        <v>2300.36100457705</v>
      </c>
      <c r="M92" s="1235" t="str">
        <f aca="false">IF(MONTH($A92)=12,SUM(L81:L92)," ")</f>
        <v> </v>
      </c>
    </row>
    <row r="93" customFormat="false" ht="12.75" hidden="false" customHeight="false" outlineLevel="0" collapsed="false">
      <c r="A93" s="1226" t="n">
        <f aca="false">EDATE(A92,1)</f>
        <v>39417</v>
      </c>
      <c r="C93" s="1227" t="n">
        <f aca="false">A94-A93</f>
        <v>31</v>
      </c>
      <c r="D93" s="1228" t="n">
        <f aca="false">(IF($A93&gt;Endyr,0,IF($A93&lt;Assm!$F$32,G93,Capacity*C93)))*(1+RAROC!$N$12)</f>
        <v>3192690</v>
      </c>
      <c r="E93" s="1229" t="n">
        <f aca="false">IF($A93&gt;Endyr,0,Tariff_Cap)</f>
        <v>0.5668</v>
      </c>
      <c r="F93" s="1230" t="n">
        <f aca="false">D93*E93/1000</f>
        <v>1809.616692</v>
      </c>
      <c r="G93" s="1231" t="n">
        <f aca="false">[4]MMBTU!U116</f>
        <v>2095485.40475594</v>
      </c>
      <c r="H93" s="1229" t="n">
        <f aca="false">IF($A93&gt;Endyr,0,Tariff_Var)</f>
        <v>0.0064</v>
      </c>
      <c r="I93" s="1230" t="n">
        <f aca="false">G93*H93/1000</f>
        <v>13.411106590438</v>
      </c>
      <c r="J93" s="1232" t="n">
        <f aca="false">SUM(F93,I93)</f>
        <v>1823.02779859044</v>
      </c>
      <c r="K93" s="1233" t="n">
        <f aca="false">VLOOKUP($A93,Curves_Table,Escalation!$O$291)</f>
        <v>1.30389657610682</v>
      </c>
      <c r="L93" s="1234" t="n">
        <f aca="false">J93*K93</f>
        <v>2377.03970472962</v>
      </c>
      <c r="M93" s="1235" t="n">
        <f aca="false">IF(MONTH($A93)=12,SUM(L82:L93)," ")</f>
        <v>27742.8120987957</v>
      </c>
    </row>
    <row r="94" customFormat="false" ht="12.75" hidden="false" customHeight="false" outlineLevel="0" collapsed="false">
      <c r="A94" s="1226" t="n">
        <f aca="false">EDATE(A93,1)</f>
        <v>39448</v>
      </c>
      <c r="C94" s="1227" t="n">
        <f aca="false">A95-A94</f>
        <v>31</v>
      </c>
      <c r="D94" s="1228" t="n">
        <f aca="false">(IF($A94&gt;Endyr,0,IF($A94&lt;Assm!$F$32,G94,Capacity*C94)))*(1+RAROC!$N$12)</f>
        <v>3192690</v>
      </c>
      <c r="E94" s="1229" t="n">
        <f aca="false">IF($A94&gt;Endyr,0,Tariff_Cap)</f>
        <v>0.5668</v>
      </c>
      <c r="F94" s="1230" t="n">
        <f aca="false">D94*E94/1000</f>
        <v>1809.616692</v>
      </c>
      <c r="G94" s="1231" t="n">
        <f aca="false">[4]MMBTU!U117</f>
        <v>2095485.40475594</v>
      </c>
      <c r="H94" s="1229" t="n">
        <f aca="false">IF($A94&gt;Endyr,0,Tariff_Var)</f>
        <v>0.0064</v>
      </c>
      <c r="I94" s="1230" t="n">
        <f aca="false">G94*H94/1000</f>
        <v>13.411106590438</v>
      </c>
      <c r="J94" s="1232" t="n">
        <f aca="false">SUM(F94,I94)</f>
        <v>1823.02779859044</v>
      </c>
      <c r="K94" s="1233" t="n">
        <f aca="false">VLOOKUP($A94,Curves_Table,Escalation!$O$291)</f>
        <v>1.30389657610682</v>
      </c>
      <c r="L94" s="1234" t="n">
        <f aca="false">J94*K94</f>
        <v>2377.03970472962</v>
      </c>
      <c r="M94" s="1235" t="str">
        <f aca="false">IF(MONTH($A94)=12,SUM(L83:L94)," ")</f>
        <v> </v>
      </c>
    </row>
    <row r="95" customFormat="false" ht="12.75" hidden="false" customHeight="false" outlineLevel="0" collapsed="false">
      <c r="A95" s="1226" t="n">
        <f aca="false">EDATE(A94,1)</f>
        <v>39479</v>
      </c>
      <c r="C95" s="1227" t="n">
        <f aca="false">A96-A95</f>
        <v>29</v>
      </c>
      <c r="D95" s="1228" t="n">
        <f aca="false">(IF($A95&gt;Endyr,0,IF($A95&lt;Assm!$F$32,G95,Capacity*C95)))*(1+RAROC!$N$12)</f>
        <v>2986710</v>
      </c>
      <c r="E95" s="1229" t="n">
        <f aca="false">IF($A95&gt;Endyr,0,Tariff_Cap)</f>
        <v>0.5668</v>
      </c>
      <c r="F95" s="1230" t="n">
        <f aca="false">D95*E95/1000</f>
        <v>1692.867228</v>
      </c>
      <c r="G95" s="1231" t="n">
        <f aca="false">[4]MMBTU!U118</f>
        <v>1960292.7979975</v>
      </c>
      <c r="H95" s="1229" t="n">
        <f aca="false">IF($A95&gt;Endyr,0,Tariff_Var)</f>
        <v>0.0064</v>
      </c>
      <c r="I95" s="1230" t="n">
        <f aca="false">G95*H95/1000</f>
        <v>12.545873907184</v>
      </c>
      <c r="J95" s="1232" t="n">
        <f aca="false">SUM(F95,I95)</f>
        <v>1705.41310190718</v>
      </c>
      <c r="K95" s="1233" t="n">
        <f aca="false">VLOOKUP($A95,Curves_Table,Escalation!$O$291)</f>
        <v>1.30389657610682</v>
      </c>
      <c r="L95" s="1234" t="n">
        <f aca="false">J95*K95</f>
        <v>2223.68230442448</v>
      </c>
      <c r="M95" s="1235" t="str">
        <f aca="false">IF(MONTH($A95)=12,SUM(L84:L95)," ")</f>
        <v> </v>
      </c>
    </row>
    <row r="96" customFormat="false" ht="12.75" hidden="false" customHeight="false" outlineLevel="0" collapsed="false">
      <c r="A96" s="1226" t="n">
        <f aca="false">EDATE(A95,1)</f>
        <v>39508</v>
      </c>
      <c r="C96" s="1227" t="n">
        <f aca="false">A97-A96</f>
        <v>31</v>
      </c>
      <c r="D96" s="1228" t="n">
        <f aca="false">(IF($A96&gt;Endyr,0,IF($A96&lt;Assm!$F$32,G96,Capacity*C96)))*(1+RAROC!$N$12)</f>
        <v>3192690</v>
      </c>
      <c r="E96" s="1229" t="n">
        <f aca="false">IF($A96&gt;Endyr,0,Tariff_Cap)</f>
        <v>0.5668</v>
      </c>
      <c r="F96" s="1230" t="n">
        <f aca="false">D96*E96/1000</f>
        <v>1809.616692</v>
      </c>
      <c r="G96" s="1231" t="n">
        <f aca="false">[4]MMBTU!U119</f>
        <v>2095485.40475594</v>
      </c>
      <c r="H96" s="1229" t="n">
        <f aca="false">IF($A96&gt;Endyr,0,Tariff_Var)</f>
        <v>0.0064</v>
      </c>
      <c r="I96" s="1230" t="n">
        <f aca="false">G96*H96/1000</f>
        <v>13.411106590438</v>
      </c>
      <c r="J96" s="1232" t="n">
        <f aca="false">SUM(F96,I96)</f>
        <v>1823.02779859044</v>
      </c>
      <c r="K96" s="1233" t="n">
        <f aca="false">VLOOKUP($A96,Curves_Table,Escalation!$O$291)</f>
        <v>1.30389657610682</v>
      </c>
      <c r="L96" s="1234" t="n">
        <f aca="false">J96*K96</f>
        <v>2377.03970472962</v>
      </c>
      <c r="M96" s="1235" t="str">
        <f aca="false">IF(MONTH($A96)=12,SUM(L85:L96)," ")</f>
        <v> </v>
      </c>
    </row>
    <row r="97" customFormat="false" ht="12.75" hidden="false" customHeight="false" outlineLevel="0" collapsed="false">
      <c r="A97" s="1226" t="n">
        <f aca="false">EDATE(A96,1)</f>
        <v>39539</v>
      </c>
      <c r="C97" s="1227" t="n">
        <f aca="false">A98-A97</f>
        <v>30</v>
      </c>
      <c r="D97" s="1228" t="n">
        <f aca="false">(IF($A97&gt;Endyr,0,IF($A97&lt;Assm!$F$32,G97,Capacity*C97)))*(1+RAROC!$N$12)</f>
        <v>3089700</v>
      </c>
      <c r="E97" s="1229" t="n">
        <f aca="false">IF($A97&gt;Endyr,0,Tariff_Cap)</f>
        <v>0.5668</v>
      </c>
      <c r="F97" s="1230" t="n">
        <f aca="false">D97*E97/1000</f>
        <v>1751.24196</v>
      </c>
      <c r="G97" s="1231" t="n">
        <f aca="false">[4]MMBTU!U120</f>
        <v>2027889.10137672</v>
      </c>
      <c r="H97" s="1229" t="n">
        <f aca="false">IF($A97&gt;Endyr,0,Tariff_Var)</f>
        <v>0.0064</v>
      </c>
      <c r="I97" s="1230" t="n">
        <f aca="false">G97*H97/1000</f>
        <v>12.978490248811</v>
      </c>
      <c r="J97" s="1232" t="n">
        <f aca="false">SUM(F97,I97)</f>
        <v>1764.22045024881</v>
      </c>
      <c r="K97" s="1233" t="n">
        <f aca="false">VLOOKUP($A97,Curves_Table,Escalation!$O$291)</f>
        <v>1.30389657610682</v>
      </c>
      <c r="L97" s="1234" t="n">
        <f aca="false">J97*K97</f>
        <v>2300.36100457705</v>
      </c>
      <c r="M97" s="1235" t="str">
        <f aca="false">IF(MONTH($A97)=12,SUM(L86:L97)," ")</f>
        <v> </v>
      </c>
    </row>
    <row r="98" customFormat="false" ht="12.75" hidden="false" customHeight="false" outlineLevel="0" collapsed="false">
      <c r="A98" s="1226" t="n">
        <f aca="false">EDATE(A97,1)</f>
        <v>39569</v>
      </c>
      <c r="C98" s="1227" t="n">
        <f aca="false">A99-A98</f>
        <v>31</v>
      </c>
      <c r="D98" s="1228" t="n">
        <f aca="false">(IF($A98&gt;Endyr,0,IF($A98&lt;Assm!$F$32,G98,Capacity*C98)))*(1+RAROC!$N$12)</f>
        <v>3192690</v>
      </c>
      <c r="E98" s="1229" t="n">
        <f aca="false">IF($A98&gt;Endyr,0,Tariff_Cap)</f>
        <v>0.5668</v>
      </c>
      <c r="F98" s="1230" t="n">
        <f aca="false">D98*E98/1000</f>
        <v>1809.616692</v>
      </c>
      <c r="G98" s="1231" t="n">
        <f aca="false">[4]MMBTU!U121</f>
        <v>2095485.40475594</v>
      </c>
      <c r="H98" s="1229" t="n">
        <f aca="false">IF($A98&gt;Endyr,0,Tariff_Var)</f>
        <v>0.0064</v>
      </c>
      <c r="I98" s="1230" t="n">
        <f aca="false">G98*H98/1000</f>
        <v>13.411106590438</v>
      </c>
      <c r="J98" s="1232" t="n">
        <f aca="false">SUM(F98,I98)</f>
        <v>1823.02779859044</v>
      </c>
      <c r="K98" s="1233" t="n">
        <f aca="false">VLOOKUP($A98,Curves_Table,Escalation!$O$291)</f>
        <v>1.33877978058913</v>
      </c>
      <c r="L98" s="1234" t="n">
        <f aca="false">J98*K98</f>
        <v>2440.63275620478</v>
      </c>
      <c r="M98" s="1235" t="str">
        <f aca="false">IF(MONTH($A98)=12,SUM(L87:L98)," ")</f>
        <v> </v>
      </c>
    </row>
    <row r="99" customFormat="false" ht="12.75" hidden="false" customHeight="false" outlineLevel="0" collapsed="false">
      <c r="A99" s="1226" t="n">
        <f aca="false">EDATE(A98,1)</f>
        <v>39600</v>
      </c>
      <c r="C99" s="1227" t="n">
        <f aca="false">A100-A99</f>
        <v>30</v>
      </c>
      <c r="D99" s="1228" t="n">
        <f aca="false">(IF($A99&gt;Endyr,0,IF($A99&lt;Assm!$F$32,G99,Capacity*C99)))*(1+RAROC!$N$12)</f>
        <v>3089700</v>
      </c>
      <c r="E99" s="1229" t="n">
        <f aca="false">IF($A99&gt;Endyr,0,Tariff_Cap)</f>
        <v>0.5668</v>
      </c>
      <c r="F99" s="1230" t="n">
        <f aca="false">D99*E99/1000</f>
        <v>1751.24196</v>
      </c>
      <c r="G99" s="1231" t="n">
        <f aca="false">[4]MMBTU!U122</f>
        <v>2027889.10137672</v>
      </c>
      <c r="H99" s="1229" t="n">
        <f aca="false">IF($A99&gt;Endyr,0,Tariff_Var)</f>
        <v>0.0064</v>
      </c>
      <c r="I99" s="1230" t="n">
        <f aca="false">G99*H99/1000</f>
        <v>12.978490248811</v>
      </c>
      <c r="J99" s="1232" t="n">
        <f aca="false">SUM(F99,I99)</f>
        <v>1764.22045024881</v>
      </c>
      <c r="K99" s="1233" t="n">
        <f aca="false">VLOOKUP($A99,Curves_Table,Escalation!$O$291)</f>
        <v>1.33877978058913</v>
      </c>
      <c r="L99" s="1234" t="n">
        <f aca="false">J99*K99</f>
        <v>2361.90266729495</v>
      </c>
      <c r="M99" s="1235" t="str">
        <f aca="false">IF(MONTH($A99)=12,SUM(L88:L99)," ")</f>
        <v> </v>
      </c>
    </row>
    <row r="100" customFormat="false" ht="12.75" hidden="false" customHeight="false" outlineLevel="0" collapsed="false">
      <c r="A100" s="1226" t="n">
        <f aca="false">EDATE(A99,1)</f>
        <v>39630</v>
      </c>
      <c r="C100" s="1227" t="n">
        <f aca="false">A101-A100</f>
        <v>31</v>
      </c>
      <c r="D100" s="1228" t="n">
        <f aca="false">(IF($A100&gt;Endyr,0,IF($A100&lt;Assm!$F$32,G100,Capacity*C100)))*(1+RAROC!$N$12)</f>
        <v>3192690</v>
      </c>
      <c r="E100" s="1229" t="n">
        <f aca="false">IF($A100&gt;Endyr,0,Tariff_Cap)</f>
        <v>0.5668</v>
      </c>
      <c r="F100" s="1230" t="n">
        <f aca="false">D100*E100/1000</f>
        <v>1809.616692</v>
      </c>
      <c r="G100" s="1231" t="n">
        <f aca="false">[4]MMBTU!U123</f>
        <v>2095485.40475594</v>
      </c>
      <c r="H100" s="1229" t="n">
        <f aca="false">IF($A100&gt;Endyr,0,Tariff_Var)</f>
        <v>0.0064</v>
      </c>
      <c r="I100" s="1230" t="n">
        <f aca="false">G100*H100/1000</f>
        <v>13.411106590438</v>
      </c>
      <c r="J100" s="1232" t="n">
        <f aca="false">SUM(F100,I100)</f>
        <v>1823.02779859044</v>
      </c>
      <c r="K100" s="1233" t="n">
        <f aca="false">VLOOKUP($A100,Curves_Table,Escalation!$O$291)</f>
        <v>1.33877978058913</v>
      </c>
      <c r="L100" s="1234" t="n">
        <f aca="false">J100*K100</f>
        <v>2440.63275620478</v>
      </c>
      <c r="M100" s="1235" t="str">
        <f aca="false">IF(MONTH($A100)=12,SUM(L89:L100)," ")</f>
        <v> </v>
      </c>
    </row>
    <row r="101" customFormat="false" ht="12.75" hidden="false" customHeight="false" outlineLevel="0" collapsed="false">
      <c r="A101" s="1226" t="n">
        <f aca="false">EDATE(A100,1)</f>
        <v>39661</v>
      </c>
      <c r="C101" s="1227" t="n">
        <f aca="false">A102-A101</f>
        <v>31</v>
      </c>
      <c r="D101" s="1228" t="n">
        <f aca="false">(IF($A101&gt;Endyr,0,IF($A101&lt;Assm!$F$32,G101,Capacity*C101)))*(1+RAROC!$N$12)</f>
        <v>3192690</v>
      </c>
      <c r="E101" s="1229" t="n">
        <f aca="false">IF($A101&gt;Endyr,0,Tariff_Cap)</f>
        <v>0.5668</v>
      </c>
      <c r="F101" s="1230" t="n">
        <f aca="false">D101*E101/1000</f>
        <v>1809.616692</v>
      </c>
      <c r="G101" s="1231" t="n">
        <f aca="false">[4]MMBTU!U124</f>
        <v>2095485.40475594</v>
      </c>
      <c r="H101" s="1229" t="n">
        <f aca="false">IF($A101&gt;Endyr,0,Tariff_Var)</f>
        <v>0.0064</v>
      </c>
      <c r="I101" s="1230" t="n">
        <f aca="false">G101*H101/1000</f>
        <v>13.411106590438</v>
      </c>
      <c r="J101" s="1232" t="n">
        <f aca="false">SUM(F101,I101)</f>
        <v>1823.02779859044</v>
      </c>
      <c r="K101" s="1233" t="n">
        <f aca="false">VLOOKUP($A101,Curves_Table,Escalation!$O$291)</f>
        <v>1.33877978058913</v>
      </c>
      <c r="L101" s="1234" t="n">
        <f aca="false">J101*K101</f>
        <v>2440.63275620478</v>
      </c>
      <c r="M101" s="1235" t="str">
        <f aca="false">IF(MONTH($A101)=12,SUM(L90:L101)," ")</f>
        <v> </v>
      </c>
    </row>
    <row r="102" customFormat="false" ht="12.75" hidden="false" customHeight="false" outlineLevel="0" collapsed="false">
      <c r="A102" s="1226" t="n">
        <f aca="false">EDATE(A101,1)</f>
        <v>39692</v>
      </c>
      <c r="C102" s="1227" t="n">
        <f aca="false">A103-A102</f>
        <v>30</v>
      </c>
      <c r="D102" s="1228" t="n">
        <f aca="false">(IF($A102&gt;Endyr,0,IF($A102&lt;Assm!$F$32,G102,Capacity*C102)))*(1+RAROC!$N$12)</f>
        <v>3089700</v>
      </c>
      <c r="E102" s="1229" t="n">
        <f aca="false">IF($A102&gt;Endyr,0,Tariff_Cap)</f>
        <v>0.5668</v>
      </c>
      <c r="F102" s="1230" t="n">
        <f aca="false">D102*E102/1000</f>
        <v>1751.24196</v>
      </c>
      <c r="G102" s="1231" t="n">
        <f aca="false">[4]MMBTU!U125</f>
        <v>2027889.10137672</v>
      </c>
      <c r="H102" s="1229" t="n">
        <f aca="false">IF($A102&gt;Endyr,0,Tariff_Var)</f>
        <v>0.0064</v>
      </c>
      <c r="I102" s="1230" t="n">
        <f aca="false">G102*H102/1000</f>
        <v>12.978490248811</v>
      </c>
      <c r="J102" s="1232" t="n">
        <f aca="false">SUM(F102,I102)</f>
        <v>1764.22045024881</v>
      </c>
      <c r="K102" s="1233" t="n">
        <f aca="false">VLOOKUP($A102,Curves_Table,Escalation!$O$291)</f>
        <v>1.33877978058913</v>
      </c>
      <c r="L102" s="1234" t="n">
        <f aca="false">J102*K102</f>
        <v>2361.90266729495</v>
      </c>
      <c r="M102" s="1235" t="str">
        <f aca="false">IF(MONTH($A102)=12,SUM(L91:L102)," ")</f>
        <v> </v>
      </c>
    </row>
    <row r="103" customFormat="false" ht="12.75" hidden="false" customHeight="false" outlineLevel="0" collapsed="false">
      <c r="A103" s="1226" t="n">
        <f aca="false">EDATE(A102,1)</f>
        <v>39722</v>
      </c>
      <c r="C103" s="1227" t="n">
        <f aca="false">A104-A103</f>
        <v>31</v>
      </c>
      <c r="D103" s="1228" t="n">
        <f aca="false">(IF($A103&gt;Endyr,0,IF($A103&lt;Assm!$F$32,G103,Capacity*C103)))*(1+RAROC!$N$12)</f>
        <v>3192690</v>
      </c>
      <c r="E103" s="1229" t="n">
        <f aca="false">IF($A103&gt;Endyr,0,Tariff_Cap)</f>
        <v>0.5668</v>
      </c>
      <c r="F103" s="1230" t="n">
        <f aca="false">D103*E103/1000</f>
        <v>1809.616692</v>
      </c>
      <c r="G103" s="1231" t="n">
        <f aca="false">[4]MMBTU!U126</f>
        <v>2095485.40475594</v>
      </c>
      <c r="H103" s="1229" t="n">
        <f aca="false">IF($A103&gt;Endyr,0,Tariff_Var)</f>
        <v>0.0064</v>
      </c>
      <c r="I103" s="1230" t="n">
        <f aca="false">G103*H103/1000</f>
        <v>13.411106590438</v>
      </c>
      <c r="J103" s="1232" t="n">
        <f aca="false">SUM(F103,I103)</f>
        <v>1823.02779859044</v>
      </c>
      <c r="K103" s="1233" t="n">
        <f aca="false">VLOOKUP($A103,Curves_Table,Escalation!$O$291)</f>
        <v>1.33877978058913</v>
      </c>
      <c r="L103" s="1234" t="n">
        <f aca="false">J103*K103</f>
        <v>2440.63275620478</v>
      </c>
      <c r="M103" s="1235" t="str">
        <f aca="false">IF(MONTH($A103)=12,SUM(L92:L103)," ")</f>
        <v> </v>
      </c>
    </row>
    <row r="104" customFormat="false" ht="12.75" hidden="false" customHeight="false" outlineLevel="0" collapsed="false">
      <c r="A104" s="1226" t="n">
        <f aca="false">EDATE(A103,1)</f>
        <v>39753</v>
      </c>
      <c r="C104" s="1227" t="n">
        <f aca="false">A105-A104</f>
        <v>30</v>
      </c>
      <c r="D104" s="1228" t="n">
        <f aca="false">(IF($A104&gt;Endyr,0,IF($A104&lt;Assm!$F$32,G104,Capacity*C104)))*(1+RAROC!$N$12)</f>
        <v>3089700</v>
      </c>
      <c r="E104" s="1229" t="n">
        <f aca="false">IF($A104&gt;Endyr,0,Tariff_Cap)</f>
        <v>0.5668</v>
      </c>
      <c r="F104" s="1230" t="n">
        <f aca="false">D104*E104/1000</f>
        <v>1751.24196</v>
      </c>
      <c r="G104" s="1231" t="n">
        <f aca="false">[4]MMBTU!U127</f>
        <v>2027889.10137672</v>
      </c>
      <c r="H104" s="1229" t="n">
        <f aca="false">IF($A104&gt;Endyr,0,Tariff_Var)</f>
        <v>0.0064</v>
      </c>
      <c r="I104" s="1230" t="n">
        <f aca="false">G104*H104/1000</f>
        <v>12.978490248811</v>
      </c>
      <c r="J104" s="1232" t="n">
        <f aca="false">SUM(F104,I104)</f>
        <v>1764.22045024881</v>
      </c>
      <c r="K104" s="1233" t="n">
        <f aca="false">VLOOKUP($A104,Curves_Table,Escalation!$O$291)</f>
        <v>1.33877978058913</v>
      </c>
      <c r="L104" s="1234" t="n">
        <f aca="false">J104*K104</f>
        <v>2361.90266729495</v>
      </c>
      <c r="M104" s="1235" t="str">
        <f aca="false">IF(MONTH($A104)=12,SUM(L93:L104)," ")</f>
        <v> </v>
      </c>
    </row>
    <row r="105" customFormat="false" ht="12.75" hidden="false" customHeight="false" outlineLevel="0" collapsed="false">
      <c r="A105" s="1226" t="n">
        <f aca="false">EDATE(A104,1)</f>
        <v>39783</v>
      </c>
      <c r="C105" s="1227" t="n">
        <f aca="false">A106-A105</f>
        <v>31</v>
      </c>
      <c r="D105" s="1228" t="n">
        <f aca="false">(IF($A105&gt;Endyr,0,IF($A105&lt;Assm!$F$32,G105,Capacity*C105)))*(1+RAROC!$N$12)</f>
        <v>3192690</v>
      </c>
      <c r="E105" s="1229" t="n">
        <f aca="false">IF($A105&gt;Endyr,0,Tariff_Cap)</f>
        <v>0.5668</v>
      </c>
      <c r="F105" s="1230" t="n">
        <f aca="false">D105*E105/1000</f>
        <v>1809.616692</v>
      </c>
      <c r="G105" s="1231" t="n">
        <f aca="false">[4]MMBTU!U128</f>
        <v>2095485.40475594</v>
      </c>
      <c r="H105" s="1229" t="n">
        <f aca="false">IF($A105&gt;Endyr,0,Tariff_Var)</f>
        <v>0.0064</v>
      </c>
      <c r="I105" s="1230" t="n">
        <f aca="false">G105*H105/1000</f>
        <v>13.411106590438</v>
      </c>
      <c r="J105" s="1232" t="n">
        <f aca="false">SUM(F105,I105)</f>
        <v>1823.02779859044</v>
      </c>
      <c r="K105" s="1233" t="n">
        <f aca="false">VLOOKUP($A105,Curves_Table,Escalation!$O$291)</f>
        <v>1.33877978058913</v>
      </c>
      <c r="L105" s="1234" t="n">
        <f aca="false">J105*K105</f>
        <v>2440.63275620478</v>
      </c>
      <c r="M105" s="1235" t="n">
        <f aca="false">IF(MONTH($A105)=12,SUM(L94:L105)," ")</f>
        <v>28566.9945013695</v>
      </c>
    </row>
    <row r="106" customFormat="false" ht="12.75" hidden="false" customHeight="false" outlineLevel="0" collapsed="false">
      <c r="A106" s="1226" t="n">
        <f aca="false">EDATE(A105,1)</f>
        <v>39814</v>
      </c>
      <c r="C106" s="1227" t="n">
        <f aca="false">A107-A106</f>
        <v>31</v>
      </c>
      <c r="D106" s="1228" t="n">
        <f aca="false">(IF($A106&gt;Endyr,0,IF($A106&lt;Assm!$F$32,G106,Capacity*C106)))*(1+RAROC!$N$12)</f>
        <v>3192690</v>
      </c>
      <c r="E106" s="1229" t="n">
        <f aca="false">IF($A106&gt;Endyr,0,Tariff_Cap)</f>
        <v>0.5668</v>
      </c>
      <c r="F106" s="1230" t="n">
        <f aca="false">D106*E106/1000</f>
        <v>1809.616692</v>
      </c>
      <c r="G106" s="1231" t="n">
        <f aca="false">[4]MMBTU!U129</f>
        <v>2095485.40475594</v>
      </c>
      <c r="H106" s="1229" t="n">
        <f aca="false">IF($A106&gt;Endyr,0,Tariff_Var)</f>
        <v>0.0064</v>
      </c>
      <c r="I106" s="1230" t="n">
        <f aca="false">G106*H106/1000</f>
        <v>13.411106590438</v>
      </c>
      <c r="J106" s="1232" t="n">
        <f aca="false">SUM(F106,I106)</f>
        <v>1823.02779859044</v>
      </c>
      <c r="K106" s="1233" t="n">
        <f aca="false">VLOOKUP($A106,Curves_Table,Escalation!$O$291)</f>
        <v>1.33877978058913</v>
      </c>
      <c r="L106" s="1234" t="n">
        <f aca="false">J106*K106</f>
        <v>2440.63275620478</v>
      </c>
      <c r="M106" s="1235" t="str">
        <f aca="false">IF(MONTH($A106)=12,SUM(L95:L106)," ")</f>
        <v> </v>
      </c>
    </row>
    <row r="107" customFormat="false" ht="12.75" hidden="false" customHeight="false" outlineLevel="0" collapsed="false">
      <c r="A107" s="1226" t="n">
        <f aca="false">EDATE(A106,1)</f>
        <v>39845</v>
      </c>
      <c r="C107" s="1227" t="n">
        <f aca="false">A108-A107</f>
        <v>28</v>
      </c>
      <c r="D107" s="1228" t="n">
        <f aca="false">(IF($A107&gt;Endyr,0,IF($A107&lt;Assm!$F$32,G107,Capacity*C107)))*(1+RAROC!$N$12)</f>
        <v>2883720</v>
      </c>
      <c r="E107" s="1229" t="n">
        <f aca="false">IF($A107&gt;Endyr,0,Tariff_Cap)</f>
        <v>0.5668</v>
      </c>
      <c r="F107" s="1230" t="n">
        <f aca="false">D107*E107/1000</f>
        <v>1634.492496</v>
      </c>
      <c r="G107" s="1231" t="n">
        <f aca="false">[4]MMBTU!U130</f>
        <v>1892696.49461827</v>
      </c>
      <c r="H107" s="1229" t="n">
        <f aca="false">IF($A107&gt;Endyr,0,Tariff_Var)</f>
        <v>0.0064</v>
      </c>
      <c r="I107" s="1230" t="n">
        <f aca="false">G107*H107/1000</f>
        <v>12.113257565557</v>
      </c>
      <c r="J107" s="1232" t="n">
        <f aca="false">SUM(F107,I107)</f>
        <v>1646.60575356556</v>
      </c>
      <c r="K107" s="1233" t="n">
        <f aca="false">VLOOKUP($A107,Curves_Table,Escalation!$O$291)</f>
        <v>1.33877978058913</v>
      </c>
      <c r="L107" s="1234" t="n">
        <f aca="false">J107*K107</f>
        <v>2204.44248947529</v>
      </c>
      <c r="M107" s="1235" t="str">
        <f aca="false">IF(MONTH($A107)=12,SUM(L96:L107)," ")</f>
        <v> </v>
      </c>
    </row>
    <row r="108" customFormat="false" ht="12.75" hidden="false" customHeight="false" outlineLevel="0" collapsed="false">
      <c r="A108" s="1226" t="n">
        <f aca="false">EDATE(A107,1)</f>
        <v>39873</v>
      </c>
      <c r="C108" s="1227" t="n">
        <f aca="false">A109-A108</f>
        <v>31</v>
      </c>
      <c r="D108" s="1228" t="n">
        <f aca="false">(IF($A108&gt;Endyr,0,IF($A108&lt;Assm!$F$32,G108,Capacity*C108)))*(1+RAROC!$N$12)</f>
        <v>3192690</v>
      </c>
      <c r="E108" s="1229" t="n">
        <f aca="false">IF($A108&gt;Endyr,0,Tariff_Cap)</f>
        <v>0.5668</v>
      </c>
      <c r="F108" s="1230" t="n">
        <f aca="false">D108*E108/1000</f>
        <v>1809.616692</v>
      </c>
      <c r="G108" s="1231" t="n">
        <f aca="false">[4]MMBTU!U131</f>
        <v>2095485.40475594</v>
      </c>
      <c r="H108" s="1229" t="n">
        <f aca="false">IF($A108&gt;Endyr,0,Tariff_Var)</f>
        <v>0.0064</v>
      </c>
      <c r="I108" s="1230" t="n">
        <f aca="false">G108*H108/1000</f>
        <v>13.411106590438</v>
      </c>
      <c r="J108" s="1232" t="n">
        <f aca="false">SUM(F108,I108)</f>
        <v>1823.02779859044</v>
      </c>
      <c r="K108" s="1233" t="n">
        <f aca="false">VLOOKUP($A108,Curves_Table,Escalation!$O$291)</f>
        <v>1.33877978058913</v>
      </c>
      <c r="L108" s="1234" t="n">
        <f aca="false">J108*K108</f>
        <v>2440.63275620478</v>
      </c>
      <c r="M108" s="1235" t="str">
        <f aca="false">IF(MONTH($A108)=12,SUM(L97:L108)," ")</f>
        <v> </v>
      </c>
    </row>
    <row r="109" customFormat="false" ht="12.75" hidden="false" customHeight="false" outlineLevel="0" collapsed="false">
      <c r="A109" s="1226" t="n">
        <f aca="false">EDATE(A108,1)</f>
        <v>39904</v>
      </c>
      <c r="C109" s="1227" t="n">
        <f aca="false">A110-A109</f>
        <v>30</v>
      </c>
      <c r="D109" s="1228" t="n">
        <f aca="false">(IF($A109&gt;Endyr,0,IF($A109&lt;Assm!$F$32,G109,Capacity*C109)))*(1+RAROC!$N$12)</f>
        <v>3089700</v>
      </c>
      <c r="E109" s="1229" t="n">
        <f aca="false">IF($A109&gt;Endyr,0,Tariff_Cap)</f>
        <v>0.5668</v>
      </c>
      <c r="F109" s="1230" t="n">
        <f aca="false">D109*E109/1000</f>
        <v>1751.24196</v>
      </c>
      <c r="G109" s="1231" t="n">
        <f aca="false">[4]MMBTU!U132</f>
        <v>2027889.10137672</v>
      </c>
      <c r="H109" s="1229" t="n">
        <f aca="false">IF($A109&gt;Endyr,0,Tariff_Var)</f>
        <v>0.0064</v>
      </c>
      <c r="I109" s="1230" t="n">
        <f aca="false">G109*H109/1000</f>
        <v>12.978490248811</v>
      </c>
      <c r="J109" s="1232" t="n">
        <f aca="false">SUM(F109,I109)</f>
        <v>1764.22045024881</v>
      </c>
      <c r="K109" s="1233" t="n">
        <f aca="false">VLOOKUP($A109,Curves_Table,Escalation!$O$291)</f>
        <v>1.33877978058913</v>
      </c>
      <c r="L109" s="1234" t="n">
        <f aca="false">J109*K109</f>
        <v>2361.90266729495</v>
      </c>
      <c r="M109" s="1235" t="str">
        <f aca="false">IF(MONTH($A109)=12,SUM(L98:L109)," ")</f>
        <v> </v>
      </c>
    </row>
    <row r="110" customFormat="false" ht="12.75" hidden="false" customHeight="false" outlineLevel="0" collapsed="false">
      <c r="A110" s="1226" t="n">
        <f aca="false">EDATE(A109,1)</f>
        <v>39934</v>
      </c>
      <c r="C110" s="1227" t="n">
        <f aca="false">A111-A110</f>
        <v>31</v>
      </c>
      <c r="D110" s="1228" t="n">
        <f aca="false">(IF($A110&gt;Endyr,0,IF($A110&lt;Assm!$F$32,G110,Capacity*C110)))*(1+RAROC!$N$12)</f>
        <v>3192690</v>
      </c>
      <c r="E110" s="1229" t="n">
        <f aca="false">IF($A110&gt;Endyr,0,Tariff_Cap)</f>
        <v>0.5668</v>
      </c>
      <c r="F110" s="1230" t="n">
        <f aca="false">D110*E110/1000</f>
        <v>1809.616692</v>
      </c>
      <c r="G110" s="1231" t="n">
        <f aca="false">[4]MMBTU!U133</f>
        <v>2095485.40475594</v>
      </c>
      <c r="H110" s="1229" t="n">
        <f aca="false">IF($A110&gt;Endyr,0,Tariff_Var)</f>
        <v>0.0064</v>
      </c>
      <c r="I110" s="1230" t="n">
        <f aca="false">G110*H110/1000</f>
        <v>13.411106590438</v>
      </c>
      <c r="J110" s="1232" t="n">
        <f aca="false">SUM(F110,I110)</f>
        <v>1823.02779859044</v>
      </c>
      <c r="K110" s="1233" t="n">
        <f aca="false">VLOOKUP($A110,Curves_Table,Escalation!$O$291)</f>
        <v>1.37395101449367</v>
      </c>
      <c r="L110" s="1234" t="n">
        <f aca="false">J110*K110</f>
        <v>2504.75089332349</v>
      </c>
      <c r="M110" s="1235" t="str">
        <f aca="false">IF(MONTH($A110)=12,SUM(L99:L110)," ")</f>
        <v> </v>
      </c>
    </row>
    <row r="111" customFormat="false" ht="12.75" hidden="false" customHeight="false" outlineLevel="0" collapsed="false">
      <c r="A111" s="1226" t="n">
        <f aca="false">EDATE(A110,1)</f>
        <v>39965</v>
      </c>
      <c r="C111" s="1227" t="n">
        <f aca="false">A112-A111</f>
        <v>30</v>
      </c>
      <c r="D111" s="1228" t="n">
        <f aca="false">(IF($A111&gt;Endyr,0,IF($A111&lt;Assm!$F$32,G111,Capacity*C111)))*(1+RAROC!$N$12)</f>
        <v>3089700</v>
      </c>
      <c r="E111" s="1229" t="n">
        <f aca="false">IF($A111&gt;Endyr,0,Tariff_Cap)</f>
        <v>0.5668</v>
      </c>
      <c r="F111" s="1230" t="n">
        <f aca="false">D111*E111/1000</f>
        <v>1751.24196</v>
      </c>
      <c r="G111" s="1231" t="n">
        <f aca="false">[4]MMBTU!U134</f>
        <v>2027889.10137672</v>
      </c>
      <c r="H111" s="1229" t="n">
        <f aca="false">IF($A111&gt;Endyr,0,Tariff_Var)</f>
        <v>0.0064</v>
      </c>
      <c r="I111" s="1230" t="n">
        <f aca="false">G111*H111/1000</f>
        <v>12.978490248811</v>
      </c>
      <c r="J111" s="1232" t="n">
        <f aca="false">SUM(F111,I111)</f>
        <v>1764.22045024881</v>
      </c>
      <c r="K111" s="1233" t="n">
        <f aca="false">VLOOKUP($A111,Curves_Table,Escalation!$O$291)</f>
        <v>1.37395101449367</v>
      </c>
      <c r="L111" s="1234" t="n">
        <f aca="false">J111*K111</f>
        <v>2423.95247740983</v>
      </c>
      <c r="M111" s="1235" t="str">
        <f aca="false">IF(MONTH($A111)=12,SUM(L100:L111)," ")</f>
        <v> </v>
      </c>
    </row>
    <row r="112" customFormat="false" ht="12.75" hidden="false" customHeight="false" outlineLevel="0" collapsed="false">
      <c r="A112" s="1226" t="n">
        <f aca="false">EDATE(A111,1)</f>
        <v>39995</v>
      </c>
      <c r="C112" s="1227" t="n">
        <f aca="false">A113-A112</f>
        <v>31</v>
      </c>
      <c r="D112" s="1228" t="n">
        <f aca="false">(IF($A112&gt;Endyr,0,IF($A112&lt;Assm!$F$32,G112,Capacity*C112)))*(1+RAROC!$N$12)</f>
        <v>3192690</v>
      </c>
      <c r="E112" s="1229" t="n">
        <f aca="false">IF($A112&gt;Endyr,0,Tariff_Cap)</f>
        <v>0.5668</v>
      </c>
      <c r="F112" s="1230" t="n">
        <f aca="false">D112*E112/1000</f>
        <v>1809.616692</v>
      </c>
      <c r="G112" s="1231" t="n">
        <f aca="false">[4]MMBTU!U135</f>
        <v>2095485.40475594</v>
      </c>
      <c r="H112" s="1229" t="n">
        <f aca="false">IF($A112&gt;Endyr,0,Tariff_Var)</f>
        <v>0.0064</v>
      </c>
      <c r="I112" s="1230" t="n">
        <f aca="false">G112*H112/1000</f>
        <v>13.411106590438</v>
      </c>
      <c r="J112" s="1232" t="n">
        <f aca="false">SUM(F112,I112)</f>
        <v>1823.02779859044</v>
      </c>
      <c r="K112" s="1233" t="n">
        <f aca="false">VLOOKUP($A112,Curves_Table,Escalation!$O$291)</f>
        <v>1.37395101449367</v>
      </c>
      <c r="L112" s="1234" t="n">
        <f aca="false">J112*K112</f>
        <v>2504.75089332349</v>
      </c>
      <c r="M112" s="1235" t="str">
        <f aca="false">IF(MONTH($A112)=12,SUM(L101:L112)," ")</f>
        <v> </v>
      </c>
    </row>
    <row r="113" customFormat="false" ht="12.75" hidden="false" customHeight="false" outlineLevel="0" collapsed="false">
      <c r="A113" s="1226" t="n">
        <f aca="false">EDATE(A112,1)</f>
        <v>40026</v>
      </c>
      <c r="C113" s="1227" t="n">
        <f aca="false">A114-A113</f>
        <v>31</v>
      </c>
      <c r="D113" s="1228" t="n">
        <f aca="false">(IF($A113&gt;Endyr,0,IF($A113&lt;Assm!$F$32,G113,Capacity*C113)))*(1+RAROC!$N$12)</f>
        <v>3192690</v>
      </c>
      <c r="E113" s="1229" t="n">
        <f aca="false">IF($A113&gt;Endyr,0,Tariff_Cap)</f>
        <v>0.5668</v>
      </c>
      <c r="F113" s="1230" t="n">
        <f aca="false">D113*E113/1000</f>
        <v>1809.616692</v>
      </c>
      <c r="G113" s="1231" t="n">
        <f aca="false">[4]MMBTU!U136</f>
        <v>2095485.40475594</v>
      </c>
      <c r="H113" s="1229" t="n">
        <f aca="false">IF($A113&gt;Endyr,0,Tariff_Var)</f>
        <v>0.0064</v>
      </c>
      <c r="I113" s="1230" t="n">
        <f aca="false">G113*H113/1000</f>
        <v>13.411106590438</v>
      </c>
      <c r="J113" s="1232" t="n">
        <f aca="false">SUM(F113,I113)</f>
        <v>1823.02779859044</v>
      </c>
      <c r="K113" s="1233" t="n">
        <f aca="false">VLOOKUP($A113,Curves_Table,Escalation!$O$291)</f>
        <v>1.37395101449367</v>
      </c>
      <c r="L113" s="1234" t="n">
        <f aca="false">J113*K113</f>
        <v>2504.75089332349</v>
      </c>
      <c r="M113" s="1235" t="str">
        <f aca="false">IF(MONTH($A113)=12,SUM(L102:L113)," ")</f>
        <v> </v>
      </c>
    </row>
    <row r="114" customFormat="false" ht="12.75" hidden="false" customHeight="false" outlineLevel="0" collapsed="false">
      <c r="A114" s="1226" t="n">
        <f aca="false">EDATE(A113,1)</f>
        <v>40057</v>
      </c>
      <c r="C114" s="1227" t="n">
        <f aca="false">A115-A114</f>
        <v>30</v>
      </c>
      <c r="D114" s="1228" t="n">
        <f aca="false">(IF($A114&gt;Endyr,0,IF($A114&lt;Assm!$F$32,G114,Capacity*C114)))*(1+RAROC!$N$12)</f>
        <v>3089700</v>
      </c>
      <c r="E114" s="1229" t="n">
        <f aca="false">IF($A114&gt;Endyr,0,Tariff_Cap)</f>
        <v>0.5668</v>
      </c>
      <c r="F114" s="1230" t="n">
        <f aca="false">D114*E114/1000</f>
        <v>1751.24196</v>
      </c>
      <c r="G114" s="1231" t="n">
        <f aca="false">[4]MMBTU!U137</f>
        <v>2027889.10137672</v>
      </c>
      <c r="H114" s="1229" t="n">
        <f aca="false">IF($A114&gt;Endyr,0,Tariff_Var)</f>
        <v>0.0064</v>
      </c>
      <c r="I114" s="1230" t="n">
        <f aca="false">G114*H114/1000</f>
        <v>12.978490248811</v>
      </c>
      <c r="J114" s="1232" t="n">
        <f aca="false">SUM(F114,I114)</f>
        <v>1764.22045024881</v>
      </c>
      <c r="K114" s="1233" t="n">
        <f aca="false">VLOOKUP($A114,Curves_Table,Escalation!$O$291)</f>
        <v>1.37395101449367</v>
      </c>
      <c r="L114" s="1234" t="n">
        <f aca="false">J114*K114</f>
        <v>2423.95247740983</v>
      </c>
      <c r="M114" s="1235" t="str">
        <f aca="false">IF(MONTH($A114)=12,SUM(L103:L114)," ")</f>
        <v> </v>
      </c>
    </row>
    <row r="115" customFormat="false" ht="12.75" hidden="false" customHeight="false" outlineLevel="0" collapsed="false">
      <c r="A115" s="1226" t="n">
        <f aca="false">EDATE(A114,1)</f>
        <v>40087</v>
      </c>
      <c r="C115" s="1227" t="n">
        <f aca="false">A116-A115</f>
        <v>31</v>
      </c>
      <c r="D115" s="1228" t="n">
        <f aca="false">(IF($A115&gt;Endyr,0,IF($A115&lt;Assm!$F$32,G115,Capacity*C115)))*(1+RAROC!$N$12)</f>
        <v>3192690</v>
      </c>
      <c r="E115" s="1229" t="n">
        <f aca="false">IF($A115&gt;Endyr,0,Tariff_Cap)</f>
        <v>0.5668</v>
      </c>
      <c r="F115" s="1230" t="n">
        <f aca="false">D115*E115/1000</f>
        <v>1809.616692</v>
      </c>
      <c r="G115" s="1231" t="n">
        <f aca="false">[4]MMBTU!U138</f>
        <v>2095485.40475594</v>
      </c>
      <c r="H115" s="1229" t="n">
        <f aca="false">IF($A115&gt;Endyr,0,Tariff_Var)</f>
        <v>0.0064</v>
      </c>
      <c r="I115" s="1230" t="n">
        <f aca="false">G115*H115/1000</f>
        <v>13.411106590438</v>
      </c>
      <c r="J115" s="1232" t="n">
        <f aca="false">SUM(F115,I115)</f>
        <v>1823.02779859044</v>
      </c>
      <c r="K115" s="1233" t="n">
        <f aca="false">VLOOKUP($A115,Curves_Table,Escalation!$O$291)</f>
        <v>1.37395101449367</v>
      </c>
      <c r="L115" s="1234" t="n">
        <f aca="false">J115*K115</f>
        <v>2504.75089332349</v>
      </c>
      <c r="M115" s="1235" t="str">
        <f aca="false">IF(MONTH($A115)=12,SUM(L104:L115)," ")</f>
        <v> </v>
      </c>
    </row>
    <row r="116" customFormat="false" ht="12.75" hidden="false" customHeight="false" outlineLevel="0" collapsed="false">
      <c r="A116" s="1226" t="n">
        <f aca="false">EDATE(A115,1)</f>
        <v>40118</v>
      </c>
      <c r="C116" s="1227" t="n">
        <f aca="false">A117-A116</f>
        <v>30</v>
      </c>
      <c r="D116" s="1228" t="n">
        <f aca="false">(IF($A116&gt;Endyr,0,IF($A116&lt;Assm!$F$32,G116,Capacity*C116)))*(1+RAROC!$N$12)</f>
        <v>3089700</v>
      </c>
      <c r="E116" s="1229" t="n">
        <f aca="false">IF($A116&gt;Endyr,0,Tariff_Cap)</f>
        <v>0.5668</v>
      </c>
      <c r="F116" s="1230" t="n">
        <f aca="false">D116*E116/1000</f>
        <v>1751.24196</v>
      </c>
      <c r="G116" s="1231" t="n">
        <f aca="false">[4]MMBTU!U139</f>
        <v>2027889.10137672</v>
      </c>
      <c r="H116" s="1229" t="n">
        <f aca="false">IF($A116&gt;Endyr,0,Tariff_Var)</f>
        <v>0.0064</v>
      </c>
      <c r="I116" s="1230" t="n">
        <f aca="false">G116*H116/1000</f>
        <v>12.978490248811</v>
      </c>
      <c r="J116" s="1232" t="n">
        <f aca="false">SUM(F116,I116)</f>
        <v>1764.22045024881</v>
      </c>
      <c r="K116" s="1233" t="n">
        <f aca="false">VLOOKUP($A116,Curves_Table,Escalation!$O$291)</f>
        <v>1.37395101449367</v>
      </c>
      <c r="L116" s="1234" t="n">
        <f aca="false">J116*K116</f>
        <v>2423.95247740983</v>
      </c>
      <c r="M116" s="1235" t="str">
        <f aca="false">IF(MONTH($A116)=12,SUM(L105:L116)," ")</f>
        <v> </v>
      </c>
    </row>
    <row r="117" customFormat="false" ht="12.75" hidden="false" customHeight="false" outlineLevel="0" collapsed="false">
      <c r="A117" s="1226" t="n">
        <f aca="false">EDATE(A116,1)</f>
        <v>40148</v>
      </c>
      <c r="C117" s="1227" t="n">
        <f aca="false">A118-A117</f>
        <v>31</v>
      </c>
      <c r="D117" s="1228" t="n">
        <f aca="false">(IF($A117&gt;Endyr,0,IF($A117&lt;Assm!$F$32,G117,Capacity*C117)))*(1+RAROC!$N$12)</f>
        <v>3192690</v>
      </c>
      <c r="E117" s="1229" t="n">
        <f aca="false">IF($A117&gt;Endyr,0,Tariff_Cap)</f>
        <v>0.5668</v>
      </c>
      <c r="F117" s="1230" t="n">
        <f aca="false">D117*E117/1000</f>
        <v>1809.616692</v>
      </c>
      <c r="G117" s="1231" t="n">
        <f aca="false">[4]MMBTU!U140</f>
        <v>2095485.40475594</v>
      </c>
      <c r="H117" s="1229" t="n">
        <f aca="false">IF($A117&gt;Endyr,0,Tariff_Var)</f>
        <v>0.0064</v>
      </c>
      <c r="I117" s="1230" t="n">
        <f aca="false">G117*H117/1000</f>
        <v>13.411106590438</v>
      </c>
      <c r="J117" s="1232" t="n">
        <f aca="false">SUM(F117,I117)</f>
        <v>1823.02779859044</v>
      </c>
      <c r="K117" s="1233" t="n">
        <f aca="false">VLOOKUP($A117,Curves_Table,Escalation!$O$291)</f>
        <v>1.37395101449367</v>
      </c>
      <c r="L117" s="1234" t="n">
        <f aca="false">J117*K117</f>
        <v>2504.75089332349</v>
      </c>
      <c r="M117" s="1235" t="n">
        <f aca="false">IF(MONTH($A117)=12,SUM(L106:L117)," ")</f>
        <v>29243.2225680268</v>
      </c>
    </row>
    <row r="118" customFormat="false" ht="12.75" hidden="false" customHeight="false" outlineLevel="0" collapsed="false">
      <c r="A118" s="1226" t="n">
        <f aca="false">EDATE(A117,1)</f>
        <v>40179</v>
      </c>
      <c r="C118" s="1227" t="n">
        <f aca="false">A119-A118</f>
        <v>31</v>
      </c>
      <c r="D118" s="1228" t="n">
        <f aca="false">(IF($A118&gt;Endyr,0,IF($A118&lt;Assm!$F$32,G118,Capacity*C118)))*(1+RAROC!$N$12)</f>
        <v>3192690</v>
      </c>
      <c r="E118" s="1229" t="n">
        <f aca="false">IF($A118&gt;Endyr,0,Tariff_Cap)</f>
        <v>0.5668</v>
      </c>
      <c r="F118" s="1230" t="n">
        <f aca="false">D118*E118/1000</f>
        <v>1809.616692</v>
      </c>
      <c r="G118" s="1231" t="n">
        <f aca="false">[4]MMBTU!U141</f>
        <v>2095485.40475594</v>
      </c>
      <c r="H118" s="1229" t="n">
        <f aca="false">IF($A118&gt;Endyr,0,Tariff_Var)</f>
        <v>0.0064</v>
      </c>
      <c r="I118" s="1230" t="n">
        <f aca="false">G118*H118/1000</f>
        <v>13.411106590438</v>
      </c>
      <c r="J118" s="1232" t="n">
        <f aca="false">SUM(F118,I118)</f>
        <v>1823.02779859044</v>
      </c>
      <c r="K118" s="1233" t="n">
        <f aca="false">VLOOKUP($A118,Curves_Table,Escalation!$O$291)</f>
        <v>1.37395101449367</v>
      </c>
      <c r="L118" s="1234" t="n">
        <f aca="false">J118*K118</f>
        <v>2504.75089332349</v>
      </c>
      <c r="M118" s="1235" t="str">
        <f aca="false">IF(MONTH($A118)=12,SUM(L107:L118)," ")</f>
        <v> </v>
      </c>
    </row>
    <row r="119" customFormat="false" ht="12.75" hidden="false" customHeight="false" outlineLevel="0" collapsed="false">
      <c r="A119" s="1226" t="n">
        <f aca="false">EDATE(A118,1)</f>
        <v>40210</v>
      </c>
      <c r="C119" s="1227" t="n">
        <f aca="false">A120-A119</f>
        <v>28</v>
      </c>
      <c r="D119" s="1228" t="n">
        <f aca="false">(IF($A119&gt;Endyr,0,IF($A119&lt;Assm!$F$32,G119,Capacity*C119)))*(1+RAROC!$N$12)</f>
        <v>2883720</v>
      </c>
      <c r="E119" s="1229" t="n">
        <f aca="false">IF($A119&gt;Endyr,0,Tariff_Cap)</f>
        <v>0.5668</v>
      </c>
      <c r="F119" s="1230" t="n">
        <f aca="false">D119*E119/1000</f>
        <v>1634.492496</v>
      </c>
      <c r="G119" s="1231" t="n">
        <f aca="false">[4]MMBTU!U142</f>
        <v>1892696.49461827</v>
      </c>
      <c r="H119" s="1229" t="n">
        <f aca="false">IF($A119&gt;Endyr,0,Tariff_Var)</f>
        <v>0.0064</v>
      </c>
      <c r="I119" s="1230" t="n">
        <f aca="false">G119*H119/1000</f>
        <v>12.113257565557</v>
      </c>
      <c r="J119" s="1232" t="n">
        <f aca="false">SUM(F119,I119)</f>
        <v>1646.60575356556</v>
      </c>
      <c r="K119" s="1233" t="n">
        <f aca="false">VLOOKUP($A119,Curves_Table,Escalation!$O$291)</f>
        <v>1.37395101449367</v>
      </c>
      <c r="L119" s="1234" t="n">
        <f aca="false">J119*K119</f>
        <v>2262.35564558251</v>
      </c>
      <c r="M119" s="1235" t="str">
        <f aca="false">IF(MONTH($A119)=12,SUM(L108:L119)," ")</f>
        <v> </v>
      </c>
    </row>
    <row r="120" customFormat="false" ht="12.75" hidden="false" customHeight="false" outlineLevel="0" collapsed="false">
      <c r="A120" s="1226" t="n">
        <f aca="false">EDATE(A119,1)</f>
        <v>40238</v>
      </c>
      <c r="C120" s="1227" t="n">
        <f aca="false">A121-A120</f>
        <v>31</v>
      </c>
      <c r="D120" s="1228" t="n">
        <f aca="false">(IF($A120&gt;Endyr,0,IF($A120&lt;Assm!$F$32,G120,Capacity*C120)))*(1+RAROC!$N$12)</f>
        <v>3192690</v>
      </c>
      <c r="E120" s="1229" t="n">
        <f aca="false">IF($A120&gt;Endyr,0,Tariff_Cap)</f>
        <v>0.5668</v>
      </c>
      <c r="F120" s="1230" t="n">
        <f aca="false">D120*E120/1000</f>
        <v>1809.616692</v>
      </c>
      <c r="G120" s="1231" t="n">
        <f aca="false">[4]MMBTU!U143</f>
        <v>2095485.40475594</v>
      </c>
      <c r="H120" s="1229" t="n">
        <f aca="false">IF($A120&gt;Endyr,0,Tariff_Var)</f>
        <v>0.0064</v>
      </c>
      <c r="I120" s="1230" t="n">
        <f aca="false">G120*H120/1000</f>
        <v>13.411106590438</v>
      </c>
      <c r="J120" s="1232" t="n">
        <f aca="false">SUM(F120,I120)</f>
        <v>1823.02779859044</v>
      </c>
      <c r="K120" s="1233" t="n">
        <f aca="false">VLOOKUP($A120,Curves_Table,Escalation!$O$291)</f>
        <v>1.37395101449367</v>
      </c>
      <c r="L120" s="1234" t="n">
        <f aca="false">J120*K120</f>
        <v>2504.75089332349</v>
      </c>
      <c r="M120" s="1235" t="str">
        <f aca="false">IF(MONTH($A120)=12,SUM(L109:L120)," ")</f>
        <v> </v>
      </c>
    </row>
    <row r="121" customFormat="false" ht="12.75" hidden="false" customHeight="false" outlineLevel="0" collapsed="false">
      <c r="A121" s="1226" t="n">
        <f aca="false">EDATE(A120,1)</f>
        <v>40269</v>
      </c>
      <c r="C121" s="1227" t="n">
        <f aca="false">A122-A121</f>
        <v>30</v>
      </c>
      <c r="D121" s="1228" t="n">
        <f aca="false">(IF($A121&gt;Endyr,0,IF($A121&lt;Assm!$F$32,G121,Capacity*C121)))*(1+RAROC!$N$12)</f>
        <v>3089700</v>
      </c>
      <c r="E121" s="1229" t="n">
        <f aca="false">IF($A121&gt;Endyr,0,Tariff_Cap)</f>
        <v>0.5668</v>
      </c>
      <c r="F121" s="1230" t="n">
        <f aca="false">D121*E121/1000</f>
        <v>1751.24196</v>
      </c>
      <c r="G121" s="1231" t="n">
        <f aca="false">[4]MMBTU!U144</f>
        <v>2027889.10137672</v>
      </c>
      <c r="H121" s="1229" t="n">
        <f aca="false">IF($A121&gt;Endyr,0,Tariff_Var)</f>
        <v>0.0064</v>
      </c>
      <c r="I121" s="1230" t="n">
        <f aca="false">G121*H121/1000</f>
        <v>12.978490248811</v>
      </c>
      <c r="J121" s="1232" t="n">
        <f aca="false">SUM(F121,I121)</f>
        <v>1764.22045024881</v>
      </c>
      <c r="K121" s="1233" t="n">
        <f aca="false">VLOOKUP($A121,Curves_Table,Escalation!$O$291)</f>
        <v>1.37395101449367</v>
      </c>
      <c r="L121" s="1234" t="n">
        <f aca="false">J121*K121</f>
        <v>2423.95247740983</v>
      </c>
      <c r="M121" s="1235" t="str">
        <f aca="false">IF(MONTH($A121)=12,SUM(L110:L121)," ")</f>
        <v> </v>
      </c>
    </row>
    <row r="122" customFormat="false" ht="12.75" hidden="false" customHeight="false" outlineLevel="0" collapsed="false">
      <c r="A122" s="1226" t="n">
        <f aca="false">EDATE(A121,1)</f>
        <v>40299</v>
      </c>
      <c r="C122" s="1227" t="n">
        <f aca="false">A123-A122</f>
        <v>31</v>
      </c>
      <c r="D122" s="1228" t="n">
        <f aca="false">(IF($A122&gt;Endyr,0,IF($A122&lt;Assm!$F$32,G122,Capacity*C122)))*(1+RAROC!$N$12)</f>
        <v>3192690</v>
      </c>
      <c r="E122" s="1229" t="n">
        <f aca="false">IF($A122&gt;Endyr,0,Tariff_Cap)</f>
        <v>0.5668</v>
      </c>
      <c r="F122" s="1230" t="n">
        <f aca="false">D122*E122/1000</f>
        <v>1809.616692</v>
      </c>
      <c r="G122" s="1231" t="n">
        <f aca="false">[4]MMBTU!U145</f>
        <v>2095485.40475594</v>
      </c>
      <c r="H122" s="1229" t="n">
        <f aca="false">IF($A122&gt;Endyr,0,Tariff_Var)</f>
        <v>0.0064</v>
      </c>
      <c r="I122" s="1230" t="n">
        <f aca="false">G122*H122/1000</f>
        <v>13.411106590438</v>
      </c>
      <c r="J122" s="1232" t="n">
        <f aca="false">SUM(F122,I122)</f>
        <v>1823.02779859044</v>
      </c>
      <c r="K122" s="1233" t="n">
        <f aca="false">VLOOKUP($A122,Curves_Table,Escalation!$O$291)</f>
        <v>1.40945468809218</v>
      </c>
      <c r="L122" s="1234" t="n">
        <f aca="false">J122*K122</f>
        <v>2569.47507724566</v>
      </c>
      <c r="M122" s="1235" t="str">
        <f aca="false">IF(MONTH($A122)=12,SUM(L111:L122)," ")</f>
        <v> </v>
      </c>
    </row>
    <row r="123" customFormat="false" ht="12.75" hidden="false" customHeight="false" outlineLevel="0" collapsed="false">
      <c r="A123" s="1226" t="n">
        <f aca="false">EDATE(A122,1)</f>
        <v>40330</v>
      </c>
      <c r="C123" s="1227" t="n">
        <f aca="false">A124-A123</f>
        <v>30</v>
      </c>
      <c r="D123" s="1228" t="n">
        <f aca="false">(IF($A123&gt;Endyr,0,IF($A123&lt;Assm!$F$32,G123,Capacity*C123)))*(1+RAROC!$N$12)</f>
        <v>3089700</v>
      </c>
      <c r="E123" s="1229" t="n">
        <f aca="false">IF($A123&gt;Endyr,0,Tariff_Cap)</f>
        <v>0.5668</v>
      </c>
      <c r="F123" s="1230" t="n">
        <f aca="false">D123*E123/1000</f>
        <v>1751.24196</v>
      </c>
      <c r="G123" s="1231" t="n">
        <f aca="false">[4]MMBTU!U146</f>
        <v>2027889.10137672</v>
      </c>
      <c r="H123" s="1229" t="n">
        <f aca="false">IF($A123&gt;Endyr,0,Tariff_Var)</f>
        <v>0.0064</v>
      </c>
      <c r="I123" s="1230" t="n">
        <f aca="false">G123*H123/1000</f>
        <v>12.978490248811</v>
      </c>
      <c r="J123" s="1232" t="n">
        <f aca="false">SUM(F123,I123)</f>
        <v>1764.22045024881</v>
      </c>
      <c r="K123" s="1233" t="n">
        <f aca="false">VLOOKUP($A123,Curves_Table,Escalation!$O$291)</f>
        <v>1.40945468809218</v>
      </c>
      <c r="L123" s="1234" t="n">
        <f aca="false">J123*K123</f>
        <v>2486.58878443128</v>
      </c>
      <c r="M123" s="1235" t="str">
        <f aca="false">IF(MONTH($A123)=12,SUM(L112:L123)," ")</f>
        <v> </v>
      </c>
    </row>
    <row r="124" customFormat="false" ht="12.75" hidden="false" customHeight="false" outlineLevel="0" collapsed="false">
      <c r="A124" s="1226" t="n">
        <f aca="false">EDATE(A123,1)</f>
        <v>40360</v>
      </c>
      <c r="C124" s="1227" t="n">
        <f aca="false">A125-A124</f>
        <v>31</v>
      </c>
      <c r="D124" s="1228" t="n">
        <f aca="false">(IF($A124&gt;Endyr,0,IF($A124&lt;Assm!$F$32,G124,Capacity*C124)))*(1+RAROC!$N$12)</f>
        <v>3192690</v>
      </c>
      <c r="E124" s="1229" t="n">
        <f aca="false">IF($A124&gt;Endyr,0,Tariff_Cap)</f>
        <v>0.5668</v>
      </c>
      <c r="F124" s="1230" t="n">
        <f aca="false">D124*E124/1000</f>
        <v>1809.616692</v>
      </c>
      <c r="G124" s="1231" t="n">
        <f aca="false">[4]MMBTU!U147</f>
        <v>2095485.40475594</v>
      </c>
      <c r="H124" s="1229" t="n">
        <f aca="false">IF($A124&gt;Endyr,0,Tariff_Var)</f>
        <v>0.0064</v>
      </c>
      <c r="I124" s="1230" t="n">
        <f aca="false">G124*H124/1000</f>
        <v>13.411106590438</v>
      </c>
      <c r="J124" s="1232" t="n">
        <f aca="false">SUM(F124,I124)</f>
        <v>1823.02779859044</v>
      </c>
      <c r="K124" s="1233" t="n">
        <f aca="false">VLOOKUP($A124,Curves_Table,Escalation!$O$291)</f>
        <v>1.40945468809218</v>
      </c>
      <c r="L124" s="1234" t="n">
        <f aca="false">J124*K124</f>
        <v>2569.47507724566</v>
      </c>
      <c r="M124" s="1235" t="str">
        <f aca="false">IF(MONTH($A124)=12,SUM(L113:L124)," ")</f>
        <v> </v>
      </c>
    </row>
    <row r="125" customFormat="false" ht="12.75" hidden="false" customHeight="false" outlineLevel="0" collapsed="false">
      <c r="A125" s="1226" t="n">
        <f aca="false">EDATE(A124,1)</f>
        <v>40391</v>
      </c>
      <c r="C125" s="1227" t="n">
        <f aca="false">A126-A125</f>
        <v>31</v>
      </c>
      <c r="D125" s="1228" t="n">
        <f aca="false">(IF($A125&gt;Endyr,0,IF($A125&lt;Assm!$F$32,G125,Capacity*C125)))*(1+RAROC!$N$12)</f>
        <v>3192690</v>
      </c>
      <c r="E125" s="1229" t="n">
        <f aca="false">IF($A125&gt;Endyr,0,Tariff_Cap)</f>
        <v>0.5668</v>
      </c>
      <c r="F125" s="1230" t="n">
        <f aca="false">D125*E125/1000</f>
        <v>1809.616692</v>
      </c>
      <c r="G125" s="1231" t="n">
        <f aca="false">[4]MMBTU!U148</f>
        <v>2095485.40475594</v>
      </c>
      <c r="H125" s="1229" t="n">
        <f aca="false">IF($A125&gt;Endyr,0,Tariff_Var)</f>
        <v>0.0064</v>
      </c>
      <c r="I125" s="1230" t="n">
        <f aca="false">G125*H125/1000</f>
        <v>13.411106590438</v>
      </c>
      <c r="J125" s="1232" t="n">
        <f aca="false">SUM(F125,I125)</f>
        <v>1823.02779859044</v>
      </c>
      <c r="K125" s="1233" t="n">
        <f aca="false">VLOOKUP($A125,Curves_Table,Escalation!$O$291)</f>
        <v>1.40945468809218</v>
      </c>
      <c r="L125" s="1234" t="n">
        <f aca="false">J125*K125</f>
        <v>2569.47507724566</v>
      </c>
      <c r="M125" s="1235" t="str">
        <f aca="false">IF(MONTH($A125)=12,SUM(L114:L125)," ")</f>
        <v> </v>
      </c>
    </row>
    <row r="126" customFormat="false" ht="12.75" hidden="false" customHeight="false" outlineLevel="0" collapsed="false">
      <c r="A126" s="1226" t="n">
        <f aca="false">EDATE(A125,1)</f>
        <v>40422</v>
      </c>
      <c r="C126" s="1227" t="n">
        <f aca="false">A127-A126</f>
        <v>30</v>
      </c>
      <c r="D126" s="1228" t="n">
        <f aca="false">(IF($A126&gt;Endyr,0,IF($A126&lt;Assm!$F$32,G126,Capacity*C126)))*(1+RAROC!$N$12)</f>
        <v>3089700</v>
      </c>
      <c r="E126" s="1229" t="n">
        <f aca="false">IF($A126&gt;Endyr,0,Tariff_Cap)</f>
        <v>0.5668</v>
      </c>
      <c r="F126" s="1230" t="n">
        <f aca="false">D126*E126/1000</f>
        <v>1751.24196</v>
      </c>
      <c r="G126" s="1231" t="n">
        <f aca="false">[4]MMBTU!U149</f>
        <v>2027889.10137672</v>
      </c>
      <c r="H126" s="1229" t="n">
        <f aca="false">IF($A126&gt;Endyr,0,Tariff_Var)</f>
        <v>0.0064</v>
      </c>
      <c r="I126" s="1230" t="n">
        <f aca="false">G126*H126/1000</f>
        <v>12.978490248811</v>
      </c>
      <c r="J126" s="1232" t="n">
        <f aca="false">SUM(F126,I126)</f>
        <v>1764.22045024881</v>
      </c>
      <c r="K126" s="1233" t="n">
        <f aca="false">VLOOKUP($A126,Curves_Table,Escalation!$O$291)</f>
        <v>1.40945468809218</v>
      </c>
      <c r="L126" s="1234" t="n">
        <f aca="false">J126*K126</f>
        <v>2486.58878443128</v>
      </c>
      <c r="M126" s="1235" t="str">
        <f aca="false">IF(MONTH($A126)=12,SUM(L115:L126)," ")</f>
        <v> </v>
      </c>
    </row>
    <row r="127" customFormat="false" ht="12.75" hidden="false" customHeight="false" outlineLevel="0" collapsed="false">
      <c r="A127" s="1226" t="n">
        <f aca="false">EDATE(A126,1)</f>
        <v>40452</v>
      </c>
      <c r="C127" s="1227" t="n">
        <f aca="false">A128-A127</f>
        <v>31</v>
      </c>
      <c r="D127" s="1228" t="n">
        <f aca="false">(IF($A127&gt;Endyr,0,IF($A127&lt;Assm!$F$32,G127,Capacity*C127)))*(1+RAROC!$N$12)</f>
        <v>3192690</v>
      </c>
      <c r="E127" s="1229" t="n">
        <f aca="false">IF($A127&gt;Endyr,0,Tariff_Cap)</f>
        <v>0.5668</v>
      </c>
      <c r="F127" s="1230" t="n">
        <f aca="false">D127*E127/1000</f>
        <v>1809.616692</v>
      </c>
      <c r="G127" s="1231" t="n">
        <f aca="false">[4]MMBTU!U150</f>
        <v>2095485.40475594</v>
      </c>
      <c r="H127" s="1229" t="n">
        <f aca="false">IF($A127&gt;Endyr,0,Tariff_Var)</f>
        <v>0.0064</v>
      </c>
      <c r="I127" s="1230" t="n">
        <f aca="false">G127*H127/1000</f>
        <v>13.411106590438</v>
      </c>
      <c r="J127" s="1232" t="n">
        <f aca="false">SUM(F127,I127)</f>
        <v>1823.02779859044</v>
      </c>
      <c r="K127" s="1233" t="n">
        <f aca="false">VLOOKUP($A127,Curves_Table,Escalation!$O$291)</f>
        <v>1.40945468809218</v>
      </c>
      <c r="L127" s="1234" t="n">
        <f aca="false">J127*K127</f>
        <v>2569.47507724566</v>
      </c>
      <c r="M127" s="1235" t="str">
        <f aca="false">IF(MONTH($A127)=12,SUM(L116:L127)," ")</f>
        <v> </v>
      </c>
    </row>
    <row r="128" customFormat="false" ht="12.75" hidden="false" customHeight="false" outlineLevel="0" collapsed="false">
      <c r="A128" s="1226" t="n">
        <f aca="false">EDATE(A127,1)</f>
        <v>40483</v>
      </c>
      <c r="C128" s="1227" t="n">
        <f aca="false">A129-A128</f>
        <v>30</v>
      </c>
      <c r="D128" s="1228" t="n">
        <f aca="false">(IF($A128&gt;Endyr,0,IF($A128&lt;Assm!$F$32,G128,Capacity*C128)))*(1+RAROC!$N$12)</f>
        <v>3089700</v>
      </c>
      <c r="E128" s="1229" t="n">
        <f aca="false">IF($A128&gt;Endyr,0,Tariff_Cap)</f>
        <v>0.5668</v>
      </c>
      <c r="F128" s="1230" t="n">
        <f aca="false">D128*E128/1000</f>
        <v>1751.24196</v>
      </c>
      <c r="G128" s="1231" t="n">
        <f aca="false">[4]MMBTU!U151</f>
        <v>2027889.10137672</v>
      </c>
      <c r="H128" s="1229" t="n">
        <f aca="false">IF($A128&gt;Endyr,0,Tariff_Var)</f>
        <v>0.0064</v>
      </c>
      <c r="I128" s="1230" t="n">
        <f aca="false">G128*H128/1000</f>
        <v>12.978490248811</v>
      </c>
      <c r="J128" s="1232" t="n">
        <f aca="false">SUM(F128,I128)</f>
        <v>1764.22045024881</v>
      </c>
      <c r="K128" s="1233" t="n">
        <f aca="false">VLOOKUP($A128,Curves_Table,Escalation!$O$291)</f>
        <v>1.40945468809218</v>
      </c>
      <c r="L128" s="1234" t="n">
        <f aca="false">J128*K128</f>
        <v>2486.58878443128</v>
      </c>
      <c r="M128" s="1235" t="str">
        <f aca="false">IF(MONTH($A128)=12,SUM(L117:L128)," ")</f>
        <v> </v>
      </c>
    </row>
    <row r="129" customFormat="false" ht="12.75" hidden="false" customHeight="false" outlineLevel="0" collapsed="false">
      <c r="A129" s="1226" t="n">
        <f aca="false">EDATE(A128,1)</f>
        <v>40513</v>
      </c>
      <c r="C129" s="1227" t="n">
        <f aca="false">A130-A129</f>
        <v>31</v>
      </c>
      <c r="D129" s="1228" t="n">
        <f aca="false">(IF($A129&gt;Endyr,0,IF($A129&lt;Assm!$F$32,G129,Capacity*C129)))*(1+RAROC!$N$12)</f>
        <v>3192690</v>
      </c>
      <c r="E129" s="1229" t="n">
        <f aca="false">IF($A129&gt;Endyr,0,Tariff_Cap)</f>
        <v>0.5668</v>
      </c>
      <c r="F129" s="1230" t="n">
        <f aca="false">D129*E129/1000</f>
        <v>1809.616692</v>
      </c>
      <c r="G129" s="1231" t="n">
        <f aca="false">[4]MMBTU!U152</f>
        <v>2095485.40475594</v>
      </c>
      <c r="H129" s="1229" t="n">
        <f aca="false">IF($A129&gt;Endyr,0,Tariff_Var)</f>
        <v>0.0064</v>
      </c>
      <c r="I129" s="1230" t="n">
        <f aca="false">G129*H129/1000</f>
        <v>13.411106590438</v>
      </c>
      <c r="J129" s="1232" t="n">
        <f aca="false">SUM(F129,I129)</f>
        <v>1823.02779859044</v>
      </c>
      <c r="K129" s="1233" t="n">
        <f aca="false">VLOOKUP($A129,Curves_Table,Escalation!$O$291)</f>
        <v>1.40945468809218</v>
      </c>
      <c r="L129" s="1234" t="n">
        <f aca="false">J129*K129</f>
        <v>2569.47507724566</v>
      </c>
      <c r="M129" s="1235" t="n">
        <f aca="false">IF(MONTH($A129)=12,SUM(L118:L129)," ")</f>
        <v>30002.9516491615</v>
      </c>
    </row>
    <row r="130" customFormat="false" ht="12.75" hidden="false" customHeight="false" outlineLevel="0" collapsed="false">
      <c r="A130" s="1226" t="n">
        <f aca="false">EDATE(A129,1)</f>
        <v>40544</v>
      </c>
      <c r="C130" s="1227" t="n">
        <f aca="false">A131-A130</f>
        <v>31</v>
      </c>
      <c r="D130" s="1228" t="n">
        <f aca="false">(IF($A130&gt;Endyr,0,IF($A130&lt;Assm!$F$32,G130,Capacity*C130)))*(1+RAROC!$N$12)</f>
        <v>3192690</v>
      </c>
      <c r="E130" s="1229" t="n">
        <f aca="false">IF($A130&gt;Endyr,0,Tariff_Cap)</f>
        <v>0.5668</v>
      </c>
      <c r="F130" s="1230" t="n">
        <f aca="false">D130*E130/1000</f>
        <v>1809.616692</v>
      </c>
      <c r="G130" s="1231" t="n">
        <f aca="false">[4]MMBTU!U153</f>
        <v>2095485.40475594</v>
      </c>
      <c r="H130" s="1229" t="n">
        <f aca="false">IF($A130&gt;Endyr,0,Tariff_Var)</f>
        <v>0.0064</v>
      </c>
      <c r="I130" s="1230" t="n">
        <f aca="false">G130*H130/1000</f>
        <v>13.411106590438</v>
      </c>
      <c r="J130" s="1232" t="n">
        <f aca="false">SUM(F130,I130)</f>
        <v>1823.02779859044</v>
      </c>
      <c r="K130" s="1233" t="n">
        <f aca="false">VLOOKUP($A130,Curves_Table,Escalation!$O$291)</f>
        <v>1.40945468809218</v>
      </c>
      <c r="L130" s="1234" t="n">
        <f aca="false">J130*K130</f>
        <v>2569.47507724566</v>
      </c>
      <c r="M130" s="1235" t="str">
        <f aca="false">IF(MONTH($A130)=12,SUM(L119:L130)," ")</f>
        <v> </v>
      </c>
    </row>
    <row r="131" customFormat="false" ht="12.75" hidden="false" customHeight="false" outlineLevel="0" collapsed="false">
      <c r="A131" s="1226" t="n">
        <f aca="false">EDATE(A130,1)</f>
        <v>40575</v>
      </c>
      <c r="C131" s="1227" t="n">
        <f aca="false">A132-A131</f>
        <v>28</v>
      </c>
      <c r="D131" s="1228" t="n">
        <f aca="false">(IF($A131&gt;Endyr,0,IF($A131&lt;Assm!$F$32,G131,Capacity*C131)))*(1+RAROC!$N$12)</f>
        <v>2883720</v>
      </c>
      <c r="E131" s="1229" t="n">
        <f aca="false">IF($A131&gt;Endyr,0,Tariff_Cap)</f>
        <v>0.5668</v>
      </c>
      <c r="F131" s="1230" t="n">
        <f aca="false">D131*E131/1000</f>
        <v>1634.492496</v>
      </c>
      <c r="G131" s="1231" t="n">
        <f aca="false">[4]MMBTU!U154</f>
        <v>1892696.49461827</v>
      </c>
      <c r="H131" s="1229" t="n">
        <f aca="false">IF($A131&gt;Endyr,0,Tariff_Var)</f>
        <v>0.0064</v>
      </c>
      <c r="I131" s="1230" t="n">
        <f aca="false">G131*H131/1000</f>
        <v>12.113257565557</v>
      </c>
      <c r="J131" s="1232" t="n">
        <f aca="false">SUM(F131,I131)</f>
        <v>1646.60575356556</v>
      </c>
      <c r="K131" s="1233" t="n">
        <f aca="false">VLOOKUP($A131,Curves_Table,Escalation!$O$291)</f>
        <v>1.40945468809218</v>
      </c>
      <c r="L131" s="1234" t="n">
        <f aca="false">J131*K131</f>
        <v>2320.81619880253</v>
      </c>
      <c r="M131" s="1235" t="str">
        <f aca="false">IF(MONTH($A131)=12,SUM(L120:L131)," ")</f>
        <v> </v>
      </c>
    </row>
    <row r="132" customFormat="false" ht="12.75" hidden="false" customHeight="false" outlineLevel="0" collapsed="false">
      <c r="A132" s="1226" t="n">
        <f aca="false">EDATE(A131,1)</f>
        <v>40603</v>
      </c>
      <c r="C132" s="1227" t="n">
        <f aca="false">A133-A132</f>
        <v>31</v>
      </c>
      <c r="D132" s="1228" t="n">
        <f aca="false">(IF($A132&gt;Endyr,0,IF($A132&lt;Assm!$F$32,G132,Capacity*C132)))*(1+RAROC!$N$12)</f>
        <v>3192690</v>
      </c>
      <c r="E132" s="1229" t="n">
        <f aca="false">IF($A132&gt;Endyr,0,Tariff_Cap)</f>
        <v>0.5668</v>
      </c>
      <c r="F132" s="1230" t="n">
        <f aca="false">D132*E132/1000</f>
        <v>1809.616692</v>
      </c>
      <c r="G132" s="1231" t="n">
        <f aca="false">[4]MMBTU!U155</f>
        <v>2095485.40475594</v>
      </c>
      <c r="H132" s="1229" t="n">
        <f aca="false">IF($A132&gt;Endyr,0,Tariff_Var)</f>
        <v>0.0064</v>
      </c>
      <c r="I132" s="1230" t="n">
        <f aca="false">G132*H132/1000</f>
        <v>13.411106590438</v>
      </c>
      <c r="J132" s="1232" t="n">
        <f aca="false">SUM(F132,I132)</f>
        <v>1823.02779859044</v>
      </c>
      <c r="K132" s="1233" t="n">
        <f aca="false">VLOOKUP($A132,Curves_Table,Escalation!$O$291)</f>
        <v>1.40945468809218</v>
      </c>
      <c r="L132" s="1234" t="n">
        <f aca="false">J132*K132</f>
        <v>2569.47507724566</v>
      </c>
      <c r="M132" s="1235" t="str">
        <f aca="false">IF(MONTH($A132)=12,SUM(L121:L132)," ")</f>
        <v> </v>
      </c>
    </row>
    <row r="133" customFormat="false" ht="12.75" hidden="false" customHeight="false" outlineLevel="0" collapsed="false">
      <c r="A133" s="1226" t="n">
        <f aca="false">EDATE(A132,1)</f>
        <v>40634</v>
      </c>
      <c r="C133" s="1227" t="n">
        <f aca="false">A134-A133</f>
        <v>30</v>
      </c>
      <c r="D133" s="1228" t="n">
        <f aca="false">(IF($A133&gt;Endyr,0,IF($A133&lt;Assm!$F$32,G133,Capacity*C133)))*(1+RAROC!$N$12)</f>
        <v>3089700</v>
      </c>
      <c r="E133" s="1229" t="n">
        <f aca="false">IF($A133&gt;Endyr,0,Tariff_Cap)</f>
        <v>0.5668</v>
      </c>
      <c r="F133" s="1230" t="n">
        <f aca="false">D133*E133/1000</f>
        <v>1751.24196</v>
      </c>
      <c r="G133" s="1231" t="n">
        <f aca="false">[4]MMBTU!U156</f>
        <v>2027889.10137672</v>
      </c>
      <c r="H133" s="1229" t="n">
        <f aca="false">IF($A133&gt;Endyr,0,Tariff_Var)</f>
        <v>0.0064</v>
      </c>
      <c r="I133" s="1230" t="n">
        <f aca="false">G133*H133/1000</f>
        <v>12.978490248811</v>
      </c>
      <c r="J133" s="1232" t="n">
        <f aca="false">SUM(F133,I133)</f>
        <v>1764.22045024881</v>
      </c>
      <c r="K133" s="1233" t="n">
        <f aca="false">VLOOKUP($A133,Curves_Table,Escalation!$O$291)</f>
        <v>1.40945468809218</v>
      </c>
      <c r="L133" s="1234" t="n">
        <f aca="false">J133*K133</f>
        <v>2486.58878443128</v>
      </c>
      <c r="M133" s="1235" t="str">
        <f aca="false">IF(MONTH($A133)=12,SUM(L122:L133)," ")</f>
        <v> </v>
      </c>
    </row>
    <row r="134" customFormat="false" ht="12.75" hidden="false" customHeight="false" outlineLevel="0" collapsed="false">
      <c r="A134" s="1226" t="n">
        <f aca="false">EDATE(A133,1)</f>
        <v>40664</v>
      </c>
      <c r="C134" s="1227" t="n">
        <f aca="false">A135-A134</f>
        <v>31</v>
      </c>
      <c r="D134" s="1228" t="n">
        <f aca="false">(IF($A134&gt;Endyr,0,IF($A134&lt;Assm!$F$32,G134,Capacity*C134)))*(1+RAROC!$N$12)</f>
        <v>3192690</v>
      </c>
      <c r="E134" s="1229" t="n">
        <f aca="false">IF($A134&gt;Endyr,0,Tariff_Cap)</f>
        <v>0.5668</v>
      </c>
      <c r="F134" s="1230" t="n">
        <f aca="false">D134*E134/1000</f>
        <v>1809.616692</v>
      </c>
      <c r="G134" s="1231" t="n">
        <f aca="false">[4]MMBTU!U157</f>
        <v>2095485.40475594</v>
      </c>
      <c r="H134" s="1229" t="n">
        <f aca="false">IF($A134&gt;Endyr,0,Tariff_Var)</f>
        <v>0.0064</v>
      </c>
      <c r="I134" s="1230" t="n">
        <f aca="false">G134*H134/1000</f>
        <v>13.411106590438</v>
      </c>
      <c r="J134" s="1232" t="n">
        <f aca="false">SUM(F134,I134)</f>
        <v>1823.02779859044</v>
      </c>
      <c r="K134" s="1233" t="n">
        <f aca="false">VLOOKUP($A134,Curves_Table,Escalation!$O$291)</f>
        <v>1.44536293026781</v>
      </c>
      <c r="L134" s="1234" t="n">
        <f aca="false">J134*K134</f>
        <v>2634.93680093035</v>
      </c>
      <c r="M134" s="1235" t="str">
        <f aca="false">IF(MONTH($A134)=12,SUM(L123:L134)," ")</f>
        <v> </v>
      </c>
    </row>
    <row r="135" customFormat="false" ht="12.75" hidden="false" customHeight="false" outlineLevel="0" collapsed="false">
      <c r="A135" s="1226" t="n">
        <f aca="false">EDATE(A134,1)</f>
        <v>40695</v>
      </c>
      <c r="C135" s="1227" t="n">
        <f aca="false">A136-A135</f>
        <v>30</v>
      </c>
      <c r="D135" s="1228" t="n">
        <f aca="false">(IF($A135&gt;Endyr,0,IF($A135&lt;Assm!$F$32,G135,Capacity*C135)))*(1+RAROC!$N$12)</f>
        <v>3089700</v>
      </c>
      <c r="E135" s="1229" t="n">
        <f aca="false">IF($A135&gt;Endyr,0,Tariff_Cap)</f>
        <v>0.5668</v>
      </c>
      <c r="F135" s="1230" t="n">
        <f aca="false">D135*E135/1000</f>
        <v>1751.24196</v>
      </c>
      <c r="G135" s="1231" t="n">
        <f aca="false">[4]MMBTU!U158</f>
        <v>2027889.10137672</v>
      </c>
      <c r="H135" s="1229" t="n">
        <f aca="false">IF($A135&gt;Endyr,0,Tariff_Var)</f>
        <v>0.0064</v>
      </c>
      <c r="I135" s="1230" t="n">
        <f aca="false">G135*H135/1000</f>
        <v>12.978490248811</v>
      </c>
      <c r="J135" s="1232" t="n">
        <f aca="false">SUM(F135,I135)</f>
        <v>1764.22045024881</v>
      </c>
      <c r="K135" s="1233" t="n">
        <f aca="false">VLOOKUP($A135,Curves_Table,Escalation!$O$291)</f>
        <v>1.44536293026781</v>
      </c>
      <c r="L135" s="1234" t="n">
        <f aca="false">J135*K135</f>
        <v>2549.93883961001</v>
      </c>
      <c r="M135" s="1235" t="str">
        <f aca="false">IF(MONTH($A135)=12,SUM(L124:L135)," ")</f>
        <v> </v>
      </c>
    </row>
    <row r="136" customFormat="false" ht="12.75" hidden="false" customHeight="false" outlineLevel="0" collapsed="false">
      <c r="A136" s="1226" t="n">
        <f aca="false">EDATE(A135,1)</f>
        <v>40725</v>
      </c>
      <c r="C136" s="1227" t="n">
        <f aca="false">A137-A136</f>
        <v>31</v>
      </c>
      <c r="D136" s="1228" t="n">
        <f aca="false">(IF($A136&gt;Endyr,0,IF($A136&lt;Assm!$F$32,G136,Capacity*C136)))*(1+RAROC!$N$12)</f>
        <v>3192690</v>
      </c>
      <c r="E136" s="1229" t="n">
        <f aca="false">IF($A136&gt;Endyr,0,Tariff_Cap)</f>
        <v>0.5668</v>
      </c>
      <c r="F136" s="1230" t="n">
        <f aca="false">D136*E136/1000</f>
        <v>1809.616692</v>
      </c>
      <c r="G136" s="1231" t="n">
        <f aca="false">[4]MMBTU!U159</f>
        <v>2095485.40475594</v>
      </c>
      <c r="H136" s="1229" t="n">
        <f aca="false">IF($A136&gt;Endyr,0,Tariff_Var)</f>
        <v>0.0064</v>
      </c>
      <c r="I136" s="1230" t="n">
        <f aca="false">G136*H136/1000</f>
        <v>13.411106590438</v>
      </c>
      <c r="J136" s="1232" t="n">
        <f aca="false">SUM(F136,I136)</f>
        <v>1823.02779859044</v>
      </c>
      <c r="K136" s="1233" t="n">
        <f aca="false">VLOOKUP($A136,Curves_Table,Escalation!$O$291)</f>
        <v>1.44536293026781</v>
      </c>
      <c r="L136" s="1234" t="n">
        <f aca="false">J136*K136</f>
        <v>2634.93680093035</v>
      </c>
      <c r="M136" s="1235" t="str">
        <f aca="false">IF(MONTH($A136)=12,SUM(L125:L136)," ")</f>
        <v> </v>
      </c>
    </row>
    <row r="137" customFormat="false" ht="12.75" hidden="false" customHeight="false" outlineLevel="0" collapsed="false">
      <c r="A137" s="1226" t="n">
        <f aca="false">EDATE(A136,1)</f>
        <v>40756</v>
      </c>
      <c r="C137" s="1227" t="n">
        <f aca="false">A138-A137</f>
        <v>31</v>
      </c>
      <c r="D137" s="1228" t="n">
        <f aca="false">(IF($A137&gt;Endyr,0,IF($A137&lt;Assm!$F$32,G137,Capacity*C137)))*(1+RAROC!$N$12)</f>
        <v>3192690</v>
      </c>
      <c r="E137" s="1229" t="n">
        <f aca="false">IF($A137&gt;Endyr,0,Tariff_Cap)</f>
        <v>0.5668</v>
      </c>
      <c r="F137" s="1230" t="n">
        <f aca="false">D137*E137/1000</f>
        <v>1809.616692</v>
      </c>
      <c r="G137" s="1231" t="n">
        <f aca="false">[4]MMBTU!U160</f>
        <v>2095485.40475594</v>
      </c>
      <c r="H137" s="1229" t="n">
        <f aca="false">IF($A137&gt;Endyr,0,Tariff_Var)</f>
        <v>0.0064</v>
      </c>
      <c r="I137" s="1230" t="n">
        <f aca="false">G137*H137/1000</f>
        <v>13.411106590438</v>
      </c>
      <c r="J137" s="1232" t="n">
        <f aca="false">SUM(F137,I137)</f>
        <v>1823.02779859044</v>
      </c>
      <c r="K137" s="1233" t="n">
        <f aca="false">VLOOKUP($A137,Curves_Table,Escalation!$O$291)</f>
        <v>1.44536293026781</v>
      </c>
      <c r="L137" s="1234" t="n">
        <f aca="false">J137*K137</f>
        <v>2634.93680093035</v>
      </c>
      <c r="M137" s="1235" t="str">
        <f aca="false">IF(MONTH($A137)=12,SUM(L126:L137)," ")</f>
        <v> </v>
      </c>
    </row>
    <row r="138" customFormat="false" ht="12.75" hidden="false" customHeight="false" outlineLevel="0" collapsed="false">
      <c r="A138" s="1226" t="n">
        <f aca="false">EDATE(A137,1)</f>
        <v>40787</v>
      </c>
      <c r="C138" s="1227" t="n">
        <f aca="false">A139-A138</f>
        <v>30</v>
      </c>
      <c r="D138" s="1228" t="n">
        <f aca="false">(IF($A138&gt;Endyr,0,IF($A138&lt;Assm!$F$32,G138,Capacity*C138)))*(1+RAROC!$N$12)</f>
        <v>3089700</v>
      </c>
      <c r="E138" s="1229" t="n">
        <f aca="false">IF($A138&gt;Endyr,0,Tariff_Cap)</f>
        <v>0.5668</v>
      </c>
      <c r="F138" s="1230" t="n">
        <f aca="false">D138*E138/1000</f>
        <v>1751.24196</v>
      </c>
      <c r="G138" s="1231" t="n">
        <f aca="false">[4]MMBTU!U161</f>
        <v>2027889.10137672</v>
      </c>
      <c r="H138" s="1229" t="n">
        <f aca="false">IF($A138&gt;Endyr,0,Tariff_Var)</f>
        <v>0.0064</v>
      </c>
      <c r="I138" s="1230" t="n">
        <f aca="false">G138*H138/1000</f>
        <v>12.978490248811</v>
      </c>
      <c r="J138" s="1232" t="n">
        <f aca="false">SUM(F138,I138)</f>
        <v>1764.22045024881</v>
      </c>
      <c r="K138" s="1233" t="n">
        <f aca="false">VLOOKUP($A138,Curves_Table,Escalation!$O$291)</f>
        <v>1.44536293026781</v>
      </c>
      <c r="L138" s="1234" t="n">
        <f aca="false">J138*K138</f>
        <v>2549.93883961001</v>
      </c>
      <c r="M138" s="1235" t="str">
        <f aca="false">IF(MONTH($A138)=12,SUM(L127:L138)," ")</f>
        <v> </v>
      </c>
    </row>
    <row r="139" customFormat="false" ht="12.75" hidden="false" customHeight="false" outlineLevel="0" collapsed="false">
      <c r="A139" s="1226" t="n">
        <f aca="false">EDATE(A138,1)</f>
        <v>40817</v>
      </c>
      <c r="C139" s="1227" t="n">
        <f aca="false">A140-A139</f>
        <v>31</v>
      </c>
      <c r="D139" s="1228" t="n">
        <f aca="false">(IF($A139&gt;Endyr,0,IF($A139&lt;Assm!$F$32,G139,Capacity*C139)))*(1+RAROC!$N$12)</f>
        <v>3192690</v>
      </c>
      <c r="E139" s="1229" t="n">
        <f aca="false">IF($A139&gt;Endyr,0,Tariff_Cap)</f>
        <v>0.5668</v>
      </c>
      <c r="F139" s="1230" t="n">
        <f aca="false">D139*E139/1000</f>
        <v>1809.616692</v>
      </c>
      <c r="G139" s="1231" t="n">
        <f aca="false">[4]MMBTU!U162</f>
        <v>2095485.40475594</v>
      </c>
      <c r="H139" s="1229" t="n">
        <f aca="false">IF($A139&gt;Endyr,0,Tariff_Var)</f>
        <v>0.0064</v>
      </c>
      <c r="I139" s="1230" t="n">
        <f aca="false">G139*H139/1000</f>
        <v>13.411106590438</v>
      </c>
      <c r="J139" s="1232" t="n">
        <f aca="false">SUM(F139,I139)</f>
        <v>1823.02779859044</v>
      </c>
      <c r="K139" s="1233" t="n">
        <f aca="false">VLOOKUP($A139,Curves_Table,Escalation!$O$291)</f>
        <v>1.44536293026781</v>
      </c>
      <c r="L139" s="1234" t="n">
        <f aca="false">J139*K139</f>
        <v>2634.93680093035</v>
      </c>
      <c r="M139" s="1235" t="str">
        <f aca="false">IF(MONTH($A139)=12,SUM(L128:L139)," ")</f>
        <v> </v>
      </c>
    </row>
    <row r="140" customFormat="false" ht="12.75" hidden="false" customHeight="false" outlineLevel="0" collapsed="false">
      <c r="A140" s="1226" t="n">
        <f aca="false">EDATE(A139,1)</f>
        <v>40848</v>
      </c>
      <c r="C140" s="1227" t="n">
        <f aca="false">A141-A140</f>
        <v>30</v>
      </c>
      <c r="D140" s="1228" t="n">
        <f aca="false">(IF($A140&gt;Endyr,0,IF($A140&lt;Assm!$F$32,G140,Capacity*C140)))*(1+RAROC!$N$12)</f>
        <v>3089700</v>
      </c>
      <c r="E140" s="1229" t="n">
        <f aca="false">IF($A140&gt;Endyr,0,Tariff_Cap)</f>
        <v>0.5668</v>
      </c>
      <c r="F140" s="1230" t="n">
        <f aca="false">D140*E140/1000</f>
        <v>1751.24196</v>
      </c>
      <c r="G140" s="1231" t="n">
        <f aca="false">[4]MMBTU!U163</f>
        <v>2027889.10137672</v>
      </c>
      <c r="H140" s="1229" t="n">
        <f aca="false">IF($A140&gt;Endyr,0,Tariff_Var)</f>
        <v>0.0064</v>
      </c>
      <c r="I140" s="1230" t="n">
        <f aca="false">G140*H140/1000</f>
        <v>12.978490248811</v>
      </c>
      <c r="J140" s="1232" t="n">
        <f aca="false">SUM(F140,I140)</f>
        <v>1764.22045024881</v>
      </c>
      <c r="K140" s="1233" t="n">
        <f aca="false">VLOOKUP($A140,Curves_Table,Escalation!$O$291)</f>
        <v>1.44536293026781</v>
      </c>
      <c r="L140" s="1234" t="n">
        <f aca="false">J140*K140</f>
        <v>2549.93883961001</v>
      </c>
      <c r="M140" s="1235" t="str">
        <f aca="false">IF(MONTH($A140)=12,SUM(L129:L140)," ")</f>
        <v> </v>
      </c>
    </row>
    <row r="141" customFormat="false" ht="12.75" hidden="false" customHeight="false" outlineLevel="0" collapsed="false">
      <c r="A141" s="1226" t="n">
        <f aca="false">EDATE(A140,1)</f>
        <v>40878</v>
      </c>
      <c r="C141" s="1227" t="n">
        <f aca="false">A142-A141</f>
        <v>31</v>
      </c>
      <c r="D141" s="1228" t="n">
        <f aca="false">(IF($A141&gt;Endyr,0,IF($A141&lt;Assm!$F$32,G141,Capacity*C141)))*(1+RAROC!$N$12)</f>
        <v>3192690</v>
      </c>
      <c r="E141" s="1229" t="n">
        <f aca="false">IF($A141&gt;Endyr,0,Tariff_Cap)</f>
        <v>0.5668</v>
      </c>
      <c r="F141" s="1230" t="n">
        <f aca="false">D141*E141/1000</f>
        <v>1809.616692</v>
      </c>
      <c r="G141" s="1231" t="n">
        <f aca="false">[4]MMBTU!U164</f>
        <v>2095485.40475594</v>
      </c>
      <c r="H141" s="1229" t="n">
        <f aca="false">IF($A141&gt;Endyr,0,Tariff_Var)</f>
        <v>0.0064</v>
      </c>
      <c r="I141" s="1230" t="n">
        <f aca="false">G141*H141/1000</f>
        <v>13.411106590438</v>
      </c>
      <c r="J141" s="1232" t="n">
        <f aca="false">SUM(F141,I141)</f>
        <v>1823.02779859044</v>
      </c>
      <c r="K141" s="1233" t="n">
        <f aca="false">VLOOKUP($A141,Curves_Table,Escalation!$O$291)</f>
        <v>1.44536293026781</v>
      </c>
      <c r="L141" s="1234" t="n">
        <f aca="false">J141*K141</f>
        <v>2634.93680093035</v>
      </c>
      <c r="M141" s="1235" t="n">
        <f aca="false">IF(MONTH($A141)=12,SUM(L130:L141)," ")</f>
        <v>30770.8556612069</v>
      </c>
    </row>
    <row r="142" customFormat="false" ht="12.75" hidden="false" customHeight="false" outlineLevel="0" collapsed="false">
      <c r="A142" s="1226" t="n">
        <f aca="false">EDATE(A141,1)</f>
        <v>40909</v>
      </c>
      <c r="C142" s="1227" t="n">
        <f aca="false">A143-A142</f>
        <v>31</v>
      </c>
      <c r="D142" s="1228" t="n">
        <f aca="false">(IF($A142&gt;Endyr,0,IF($A142&lt;Assm!$F$32,G142,Capacity*C142)))*(1+RAROC!$N$12)</f>
        <v>3192690</v>
      </c>
      <c r="E142" s="1229" t="n">
        <f aca="false">IF($A142&gt;Endyr,0,Tariff_Cap)</f>
        <v>0.5668</v>
      </c>
      <c r="F142" s="1230" t="n">
        <f aca="false">D142*E142/1000</f>
        <v>1809.616692</v>
      </c>
      <c r="G142" s="1231" t="n">
        <f aca="false">[4]MMBTU!U165</f>
        <v>2095485.40475594</v>
      </c>
      <c r="H142" s="1229" t="n">
        <f aca="false">IF($A142&gt;Endyr,0,Tariff_Var)</f>
        <v>0.0064</v>
      </c>
      <c r="I142" s="1230" t="n">
        <f aca="false">G142*H142/1000</f>
        <v>13.411106590438</v>
      </c>
      <c r="J142" s="1232" t="n">
        <f aca="false">SUM(F142,I142)</f>
        <v>1823.02779859044</v>
      </c>
      <c r="K142" s="1233" t="n">
        <f aca="false">VLOOKUP($A142,Curves_Table,Escalation!$O$291)</f>
        <v>1.44536293026781</v>
      </c>
      <c r="L142" s="1234" t="n">
        <f aca="false">J142*K142</f>
        <v>2634.93680093035</v>
      </c>
      <c r="M142" s="1235" t="str">
        <f aca="false">IF(MONTH($A142)=12,SUM(L131:L142)," ")</f>
        <v> </v>
      </c>
    </row>
    <row r="143" customFormat="false" ht="12.75" hidden="false" customHeight="false" outlineLevel="0" collapsed="false">
      <c r="A143" s="1226" t="n">
        <f aca="false">EDATE(A142,1)</f>
        <v>40940</v>
      </c>
      <c r="C143" s="1227" t="n">
        <f aca="false">A144-A143</f>
        <v>29</v>
      </c>
      <c r="D143" s="1228" t="n">
        <f aca="false">(IF($A143&gt;Endyr,0,IF($A143&lt;Assm!$F$32,G143,Capacity*C143)))*(1+RAROC!$N$12)</f>
        <v>2986710</v>
      </c>
      <c r="E143" s="1229" t="n">
        <f aca="false">IF($A143&gt;Endyr,0,Tariff_Cap)</f>
        <v>0.5668</v>
      </c>
      <c r="F143" s="1230" t="n">
        <f aca="false">D143*E143/1000</f>
        <v>1692.867228</v>
      </c>
      <c r="G143" s="1231" t="n">
        <f aca="false">[4]MMBTU!U166</f>
        <v>1960292.7979975</v>
      </c>
      <c r="H143" s="1229" t="n">
        <f aca="false">IF($A143&gt;Endyr,0,Tariff_Var)</f>
        <v>0.0064</v>
      </c>
      <c r="I143" s="1230" t="n">
        <f aca="false">G143*H143/1000</f>
        <v>12.545873907184</v>
      </c>
      <c r="J143" s="1232" t="n">
        <f aca="false">SUM(F143,I143)</f>
        <v>1705.41310190718</v>
      </c>
      <c r="K143" s="1233" t="n">
        <f aca="false">VLOOKUP($A143,Curves_Table,Escalation!$O$291)</f>
        <v>1.44536293026781</v>
      </c>
      <c r="L143" s="1234" t="n">
        <f aca="false">J143*K143</f>
        <v>2464.94087828968</v>
      </c>
      <c r="M143" s="1235" t="str">
        <f aca="false">IF(MONTH($A143)=12,SUM(L132:L143)," ")</f>
        <v> </v>
      </c>
    </row>
    <row r="144" customFormat="false" ht="12.75" hidden="false" customHeight="false" outlineLevel="0" collapsed="false">
      <c r="A144" s="1226" t="n">
        <f aca="false">EDATE(A143,1)</f>
        <v>40969</v>
      </c>
      <c r="C144" s="1227" t="n">
        <f aca="false">A145-A144</f>
        <v>31</v>
      </c>
      <c r="D144" s="1228" t="n">
        <f aca="false">(IF($A144&gt;Endyr,0,IF($A144&lt;Assm!$F$32,G144,Capacity*C144)))*(1+RAROC!$N$12)</f>
        <v>3192690</v>
      </c>
      <c r="E144" s="1229" t="n">
        <f aca="false">IF($A144&gt;Endyr,0,Tariff_Cap)</f>
        <v>0.5668</v>
      </c>
      <c r="F144" s="1230" t="n">
        <f aca="false">D144*E144/1000</f>
        <v>1809.616692</v>
      </c>
      <c r="G144" s="1231" t="n">
        <f aca="false">[4]MMBTU!U167</f>
        <v>2095485.40475594</v>
      </c>
      <c r="H144" s="1229" t="n">
        <f aca="false">IF($A144&gt;Endyr,0,Tariff_Var)</f>
        <v>0.0064</v>
      </c>
      <c r="I144" s="1230" t="n">
        <f aca="false">G144*H144/1000</f>
        <v>13.411106590438</v>
      </c>
      <c r="J144" s="1232" t="n">
        <f aca="false">SUM(F144,I144)</f>
        <v>1823.02779859044</v>
      </c>
      <c r="K144" s="1233" t="n">
        <f aca="false">VLOOKUP($A144,Curves_Table,Escalation!$O$291)</f>
        <v>1.44536293026781</v>
      </c>
      <c r="L144" s="1234" t="n">
        <f aca="false">J144*K144</f>
        <v>2634.93680093035</v>
      </c>
      <c r="M144" s="1235" t="str">
        <f aca="false">IF(MONTH($A144)=12,SUM(L133:L144)," ")</f>
        <v> </v>
      </c>
    </row>
    <row r="145" customFormat="false" ht="12.75" hidden="false" customHeight="false" outlineLevel="0" collapsed="false">
      <c r="A145" s="1226" t="n">
        <f aca="false">EDATE(A144,1)</f>
        <v>41000</v>
      </c>
      <c r="C145" s="1227" t="n">
        <f aca="false">A146-A145</f>
        <v>30</v>
      </c>
      <c r="D145" s="1228" t="n">
        <f aca="false">(IF($A145&gt;Endyr,0,IF($A145&lt;Assm!$F$32,G145,Capacity*C145)))*(1+RAROC!$N$12)</f>
        <v>3089700</v>
      </c>
      <c r="E145" s="1229" t="n">
        <f aca="false">IF($A145&gt;Endyr,0,Tariff_Cap)</f>
        <v>0.5668</v>
      </c>
      <c r="F145" s="1230" t="n">
        <f aca="false">D145*E145/1000</f>
        <v>1751.24196</v>
      </c>
      <c r="G145" s="1231" t="n">
        <f aca="false">[4]MMBTU!U168</f>
        <v>2027889.10137672</v>
      </c>
      <c r="H145" s="1229" t="n">
        <f aca="false">IF($A145&gt;Endyr,0,Tariff_Var)</f>
        <v>0.0064</v>
      </c>
      <c r="I145" s="1230" t="n">
        <f aca="false">G145*H145/1000</f>
        <v>12.978490248811</v>
      </c>
      <c r="J145" s="1232" t="n">
        <f aca="false">SUM(F145,I145)</f>
        <v>1764.22045024881</v>
      </c>
      <c r="K145" s="1233" t="n">
        <f aca="false">VLOOKUP($A145,Curves_Table,Escalation!$O$291)</f>
        <v>1.44536293026781</v>
      </c>
      <c r="L145" s="1234" t="n">
        <f aca="false">J145*K145</f>
        <v>2549.93883961001</v>
      </c>
      <c r="M145" s="1235" t="str">
        <f aca="false">IF(MONTH($A145)=12,SUM(L134:L145)," ")</f>
        <v> </v>
      </c>
    </row>
    <row r="146" customFormat="false" ht="12.75" hidden="false" customHeight="false" outlineLevel="0" collapsed="false">
      <c r="A146" s="1226" t="n">
        <f aca="false">EDATE(A145,1)</f>
        <v>41030</v>
      </c>
      <c r="C146" s="1227" t="n">
        <f aca="false">A147-A146</f>
        <v>31</v>
      </c>
      <c r="D146" s="1228" t="n">
        <f aca="false">(IF($A146&gt;Endyr,0,IF($A146&lt;Assm!$F$32,G146,Capacity*C146)))*(1+RAROC!$N$12)</f>
        <v>3192690</v>
      </c>
      <c r="E146" s="1229" t="n">
        <f aca="false">IF($A146&gt;Endyr,0,Tariff_Cap)</f>
        <v>0.5668</v>
      </c>
      <c r="F146" s="1230" t="n">
        <f aca="false">D146*E146/1000</f>
        <v>1809.616692</v>
      </c>
      <c r="G146" s="1231" t="n">
        <f aca="false">[4]MMBTU!U169</f>
        <v>2095485.40475594</v>
      </c>
      <c r="H146" s="1229" t="n">
        <f aca="false">IF($A146&gt;Endyr,0,Tariff_Var)</f>
        <v>0.0064</v>
      </c>
      <c r="I146" s="1230" t="n">
        <f aca="false">G146*H146/1000</f>
        <v>13.411106590438</v>
      </c>
      <c r="J146" s="1232" t="n">
        <f aca="false">SUM(F146,I146)</f>
        <v>1823.02779859044</v>
      </c>
      <c r="K146" s="1233" t="n">
        <f aca="false">VLOOKUP($A146,Curves_Table,Escalation!$O$291)</f>
        <v>1.48180861051097</v>
      </c>
      <c r="L146" s="1234" t="n">
        <f aca="false">J146*K146</f>
        <v>2701.37828915217</v>
      </c>
      <c r="M146" s="1235" t="str">
        <f aca="false">IF(MONTH($A146)=12,SUM(L135:L146)," ")</f>
        <v> </v>
      </c>
    </row>
    <row r="147" customFormat="false" ht="12.75" hidden="false" customHeight="false" outlineLevel="0" collapsed="false">
      <c r="A147" s="1226" t="n">
        <f aca="false">EDATE(A146,1)</f>
        <v>41061</v>
      </c>
      <c r="C147" s="1227" t="n">
        <f aca="false">A148-A147</f>
        <v>30</v>
      </c>
      <c r="D147" s="1228" t="n">
        <f aca="false">(IF($A147&gt;Endyr,0,IF($A147&lt;Assm!$F$32,G147,Capacity*C147)))*(1+RAROC!$N$12)</f>
        <v>3089700</v>
      </c>
      <c r="E147" s="1229" t="n">
        <f aca="false">IF($A147&gt;Endyr,0,Tariff_Cap)</f>
        <v>0.5668</v>
      </c>
      <c r="F147" s="1230" t="n">
        <f aca="false">D147*E147/1000</f>
        <v>1751.24196</v>
      </c>
      <c r="G147" s="1231" t="n">
        <f aca="false">[4]MMBTU!U170</f>
        <v>2027889.10137672</v>
      </c>
      <c r="H147" s="1229" t="n">
        <f aca="false">IF($A147&gt;Endyr,0,Tariff_Var)</f>
        <v>0.0064</v>
      </c>
      <c r="I147" s="1230" t="n">
        <f aca="false">G147*H147/1000</f>
        <v>12.978490248811</v>
      </c>
      <c r="J147" s="1232" t="n">
        <f aca="false">SUM(F147,I147)</f>
        <v>1764.22045024881</v>
      </c>
      <c r="K147" s="1233" t="n">
        <f aca="false">VLOOKUP($A147,Curves_Table,Escalation!$O$291)</f>
        <v>1.48180861051097</v>
      </c>
      <c r="L147" s="1234" t="n">
        <f aca="false">J147*K147</f>
        <v>2614.23705401823</v>
      </c>
      <c r="M147" s="1235" t="str">
        <f aca="false">IF(MONTH($A147)=12,SUM(L136:L147)," ")</f>
        <v> </v>
      </c>
    </row>
    <row r="148" customFormat="false" ht="12.75" hidden="false" customHeight="false" outlineLevel="0" collapsed="false">
      <c r="A148" s="1226" t="n">
        <f aca="false">EDATE(A147,1)</f>
        <v>41091</v>
      </c>
      <c r="C148" s="1227" t="n">
        <f aca="false">A149-A148</f>
        <v>31</v>
      </c>
      <c r="D148" s="1228" t="n">
        <f aca="false">(IF($A148&gt;Endyr,0,IF($A148&lt;Assm!$F$32,G148,Capacity*C148)))*(1+RAROC!$N$12)</f>
        <v>3192690</v>
      </c>
      <c r="E148" s="1229" t="n">
        <f aca="false">IF($A148&gt;Endyr,0,Tariff_Cap)</f>
        <v>0.5668</v>
      </c>
      <c r="F148" s="1230" t="n">
        <f aca="false">D148*E148/1000</f>
        <v>1809.616692</v>
      </c>
      <c r="G148" s="1231" t="n">
        <f aca="false">[4]MMBTU!U171</f>
        <v>2095485.40475594</v>
      </c>
      <c r="H148" s="1229" t="n">
        <f aca="false">IF($A148&gt;Endyr,0,Tariff_Var)</f>
        <v>0.0064</v>
      </c>
      <c r="I148" s="1230" t="n">
        <f aca="false">G148*H148/1000</f>
        <v>13.411106590438</v>
      </c>
      <c r="J148" s="1232" t="n">
        <f aca="false">SUM(F148,I148)</f>
        <v>1823.02779859044</v>
      </c>
      <c r="K148" s="1233" t="n">
        <f aca="false">VLOOKUP($A148,Curves_Table,Escalation!$O$291)</f>
        <v>1.48180861051097</v>
      </c>
      <c r="L148" s="1234" t="n">
        <f aca="false">J148*K148</f>
        <v>2701.37828915217</v>
      </c>
      <c r="M148" s="1235" t="str">
        <f aca="false">IF(MONTH($A148)=12,SUM(L137:L148)," ")</f>
        <v> </v>
      </c>
    </row>
    <row r="149" customFormat="false" ht="12.75" hidden="false" customHeight="false" outlineLevel="0" collapsed="false">
      <c r="A149" s="1226" t="n">
        <f aca="false">EDATE(A148,1)</f>
        <v>41122</v>
      </c>
      <c r="C149" s="1227" t="n">
        <f aca="false">A150-A149</f>
        <v>31</v>
      </c>
      <c r="D149" s="1228" t="n">
        <f aca="false">(IF($A149&gt;Endyr,0,IF($A149&lt;Assm!$F$32,G149,Capacity*C149)))*(1+RAROC!$N$12)</f>
        <v>3192690</v>
      </c>
      <c r="E149" s="1229" t="n">
        <f aca="false">IF($A149&gt;Endyr,0,Tariff_Cap)</f>
        <v>0.5668</v>
      </c>
      <c r="F149" s="1230" t="n">
        <f aca="false">D149*E149/1000</f>
        <v>1809.616692</v>
      </c>
      <c r="G149" s="1231" t="n">
        <f aca="false">[4]MMBTU!U172</f>
        <v>2095485.40475594</v>
      </c>
      <c r="H149" s="1229" t="n">
        <f aca="false">IF($A149&gt;Endyr,0,Tariff_Var)</f>
        <v>0.0064</v>
      </c>
      <c r="I149" s="1230" t="n">
        <f aca="false">G149*H149/1000</f>
        <v>13.411106590438</v>
      </c>
      <c r="J149" s="1232" t="n">
        <f aca="false">SUM(F149,I149)</f>
        <v>1823.02779859044</v>
      </c>
      <c r="K149" s="1233" t="n">
        <f aca="false">VLOOKUP($A149,Curves_Table,Escalation!$O$291)</f>
        <v>1.48180861051097</v>
      </c>
      <c r="L149" s="1234" t="n">
        <f aca="false">J149*K149</f>
        <v>2701.37828915217</v>
      </c>
      <c r="M149" s="1235" t="str">
        <f aca="false">IF(MONTH($A149)=12,SUM(L138:L149)," ")</f>
        <v> </v>
      </c>
    </row>
    <row r="150" customFormat="false" ht="12.75" hidden="false" customHeight="false" outlineLevel="0" collapsed="false">
      <c r="A150" s="1226" t="n">
        <f aca="false">EDATE(A149,1)</f>
        <v>41153</v>
      </c>
      <c r="C150" s="1227" t="n">
        <f aca="false">A151-A150</f>
        <v>30</v>
      </c>
      <c r="D150" s="1228" t="n">
        <f aca="false">(IF($A150&gt;Endyr,0,IF($A150&lt;Assm!$F$32,G150,Capacity*C150)))*(1+RAROC!$N$12)</f>
        <v>3089700</v>
      </c>
      <c r="E150" s="1229" t="n">
        <f aca="false">IF($A150&gt;Endyr,0,Tariff_Cap)</f>
        <v>0.5668</v>
      </c>
      <c r="F150" s="1230" t="n">
        <f aca="false">D150*E150/1000</f>
        <v>1751.24196</v>
      </c>
      <c r="G150" s="1231" t="n">
        <f aca="false">[4]MMBTU!U173</f>
        <v>2027889.10137672</v>
      </c>
      <c r="H150" s="1229" t="n">
        <f aca="false">IF($A150&gt;Endyr,0,Tariff_Var)</f>
        <v>0.0064</v>
      </c>
      <c r="I150" s="1230" t="n">
        <f aca="false">G150*H150/1000</f>
        <v>12.978490248811</v>
      </c>
      <c r="J150" s="1232" t="n">
        <f aca="false">SUM(F150,I150)</f>
        <v>1764.22045024881</v>
      </c>
      <c r="K150" s="1233" t="n">
        <f aca="false">VLOOKUP($A150,Curves_Table,Escalation!$O$291)</f>
        <v>1.48180861051097</v>
      </c>
      <c r="L150" s="1234" t="n">
        <f aca="false">J150*K150</f>
        <v>2614.23705401823</v>
      </c>
      <c r="M150" s="1235" t="str">
        <f aca="false">IF(MONTH($A150)=12,SUM(L139:L150)," ")</f>
        <v> </v>
      </c>
    </row>
    <row r="151" customFormat="false" ht="12.75" hidden="false" customHeight="false" outlineLevel="0" collapsed="false">
      <c r="A151" s="1226" t="n">
        <f aca="false">EDATE(A150,1)</f>
        <v>41183</v>
      </c>
      <c r="C151" s="1227" t="n">
        <f aca="false">A152-A151</f>
        <v>31</v>
      </c>
      <c r="D151" s="1228" t="n">
        <f aca="false">(IF($A151&gt;Endyr,0,IF($A151&lt;Assm!$F$32,G151,Capacity*C151)))*(1+RAROC!$N$12)</f>
        <v>3192690</v>
      </c>
      <c r="E151" s="1229" t="n">
        <f aca="false">IF($A151&gt;Endyr,0,Tariff_Cap)</f>
        <v>0.5668</v>
      </c>
      <c r="F151" s="1230" t="n">
        <f aca="false">D151*E151/1000</f>
        <v>1809.616692</v>
      </c>
      <c r="G151" s="1231" t="n">
        <f aca="false">[4]MMBTU!U174</f>
        <v>2095485.40475594</v>
      </c>
      <c r="H151" s="1229" t="n">
        <f aca="false">IF($A151&gt;Endyr,0,Tariff_Var)</f>
        <v>0.0064</v>
      </c>
      <c r="I151" s="1230" t="n">
        <f aca="false">G151*H151/1000</f>
        <v>13.411106590438</v>
      </c>
      <c r="J151" s="1232" t="n">
        <f aca="false">SUM(F151,I151)</f>
        <v>1823.02779859044</v>
      </c>
      <c r="K151" s="1233" t="n">
        <f aca="false">VLOOKUP($A151,Curves_Table,Escalation!$O$291)</f>
        <v>1.48180861051097</v>
      </c>
      <c r="L151" s="1234" t="n">
        <f aca="false">J151*K151</f>
        <v>2701.37828915217</v>
      </c>
      <c r="M151" s="1235" t="str">
        <f aca="false">IF(MONTH($A151)=12,SUM(L140:L151)," ")</f>
        <v> </v>
      </c>
    </row>
    <row r="152" customFormat="false" ht="12.75" hidden="false" customHeight="false" outlineLevel="0" collapsed="false">
      <c r="A152" s="1226" t="n">
        <f aca="false">EDATE(A151,1)</f>
        <v>41214</v>
      </c>
      <c r="C152" s="1227" t="n">
        <f aca="false">A153-A152</f>
        <v>30</v>
      </c>
      <c r="D152" s="1228" t="n">
        <f aca="false">(IF($A152&gt;Endyr,0,IF($A152&lt;Assm!$F$32,G152,Capacity*C152)))*(1+RAROC!$N$12)</f>
        <v>3089700</v>
      </c>
      <c r="E152" s="1229" t="n">
        <f aca="false">IF($A152&gt;Endyr,0,Tariff_Cap)</f>
        <v>0.5668</v>
      </c>
      <c r="F152" s="1230" t="n">
        <f aca="false">D152*E152/1000</f>
        <v>1751.24196</v>
      </c>
      <c r="G152" s="1231" t="n">
        <f aca="false">[4]MMBTU!U175</f>
        <v>2027889.10137672</v>
      </c>
      <c r="H152" s="1229" t="n">
        <f aca="false">IF($A152&gt;Endyr,0,Tariff_Var)</f>
        <v>0.0064</v>
      </c>
      <c r="I152" s="1230" t="n">
        <f aca="false">G152*H152/1000</f>
        <v>12.978490248811</v>
      </c>
      <c r="J152" s="1232" t="n">
        <f aca="false">SUM(F152,I152)</f>
        <v>1764.22045024881</v>
      </c>
      <c r="K152" s="1233" t="n">
        <f aca="false">VLOOKUP($A152,Curves_Table,Escalation!$O$291)</f>
        <v>1.48180861051097</v>
      </c>
      <c r="L152" s="1234" t="n">
        <f aca="false">J152*K152</f>
        <v>2614.23705401823</v>
      </c>
      <c r="M152" s="1235" t="str">
        <f aca="false">IF(MONTH($A152)=12,SUM(L141:L152)," ")</f>
        <v> </v>
      </c>
    </row>
    <row r="153" customFormat="false" ht="12.75" hidden="false" customHeight="false" outlineLevel="0" collapsed="false">
      <c r="A153" s="1226" t="n">
        <f aca="false">EDATE(A152,1)</f>
        <v>41244</v>
      </c>
      <c r="C153" s="1227" t="n">
        <f aca="false">A154-A153</f>
        <v>31</v>
      </c>
      <c r="D153" s="1228" t="n">
        <f aca="false">(IF($A153&gt;Endyr,0,IF($A153&lt;Assm!$F$32,G153,Capacity*C153)))*(1+RAROC!$N$12)</f>
        <v>3192690</v>
      </c>
      <c r="E153" s="1229" t="n">
        <f aca="false">IF($A153&gt;Endyr,0,Tariff_Cap)</f>
        <v>0.5668</v>
      </c>
      <c r="F153" s="1230" t="n">
        <f aca="false">D153*E153/1000</f>
        <v>1809.616692</v>
      </c>
      <c r="G153" s="1231" t="n">
        <f aca="false">[4]MMBTU!U176</f>
        <v>2095485.40475594</v>
      </c>
      <c r="H153" s="1229" t="n">
        <f aca="false">IF($A153&gt;Endyr,0,Tariff_Var)</f>
        <v>0.0064</v>
      </c>
      <c r="I153" s="1230" t="n">
        <f aca="false">G153*H153/1000</f>
        <v>13.411106590438</v>
      </c>
      <c r="J153" s="1232" t="n">
        <f aca="false">SUM(F153,I153)</f>
        <v>1823.02779859044</v>
      </c>
      <c r="K153" s="1233" t="n">
        <f aca="false">VLOOKUP($A153,Curves_Table,Escalation!$O$291)</f>
        <v>1.48180861051097</v>
      </c>
      <c r="L153" s="1234" t="n">
        <f aca="false">J153*K153</f>
        <v>2701.37828915217</v>
      </c>
      <c r="M153" s="1235" t="n">
        <f aca="false">IF(MONTH($A153)=12,SUM(L142:L153)," ")</f>
        <v>31634.3559275759</v>
      </c>
    </row>
    <row r="154" customFormat="false" ht="12.75" hidden="false" customHeight="false" outlineLevel="0" collapsed="false">
      <c r="A154" s="1226" t="n">
        <f aca="false">EDATE(A153,1)</f>
        <v>41275</v>
      </c>
      <c r="C154" s="1227" t="n">
        <f aca="false">A155-A154</f>
        <v>31</v>
      </c>
      <c r="D154" s="1228" t="n">
        <f aca="false">(IF($A154&gt;Endyr,0,IF($A154&lt;Assm!$F$32,G154,Capacity*C154)))*(1+RAROC!$N$12)</f>
        <v>3192690</v>
      </c>
      <c r="E154" s="1229" t="n">
        <f aca="false">IF($A154&gt;Endyr,0,Tariff_Cap)</f>
        <v>0.5668</v>
      </c>
      <c r="F154" s="1230" t="n">
        <f aca="false">D154*E154/1000</f>
        <v>1809.616692</v>
      </c>
      <c r="G154" s="1231" t="n">
        <f aca="false">[4]MMBTU!U177</f>
        <v>2095485.40475594</v>
      </c>
      <c r="H154" s="1229" t="n">
        <f aca="false">IF($A154&gt;Endyr,0,Tariff_Var)</f>
        <v>0.0064</v>
      </c>
      <c r="I154" s="1230" t="n">
        <f aca="false">G154*H154/1000</f>
        <v>13.411106590438</v>
      </c>
      <c r="J154" s="1232" t="n">
        <f aca="false">SUM(F154,I154)</f>
        <v>1823.02779859044</v>
      </c>
      <c r="K154" s="1233" t="n">
        <f aca="false">VLOOKUP($A154,Curves_Table,Escalation!$O$291)</f>
        <v>1.48180861051097</v>
      </c>
      <c r="L154" s="1234" t="n">
        <f aca="false">J154*K154</f>
        <v>2701.37828915217</v>
      </c>
      <c r="M154" s="1235" t="str">
        <f aca="false">IF(MONTH($A154)=12,SUM(L143:L154)," ")</f>
        <v> </v>
      </c>
    </row>
    <row r="155" customFormat="false" ht="12.75" hidden="false" customHeight="false" outlineLevel="0" collapsed="false">
      <c r="A155" s="1226" t="n">
        <f aca="false">EDATE(A154,1)</f>
        <v>41306</v>
      </c>
      <c r="C155" s="1227" t="n">
        <f aca="false">A156-A155</f>
        <v>28</v>
      </c>
      <c r="D155" s="1228" t="n">
        <f aca="false">(IF($A155&gt;Endyr,0,IF($A155&lt;Assm!$F$32,G155,Capacity*C155)))*(1+RAROC!$N$12)</f>
        <v>2883720</v>
      </c>
      <c r="E155" s="1229" t="n">
        <f aca="false">IF($A155&gt;Endyr,0,Tariff_Cap)</f>
        <v>0.5668</v>
      </c>
      <c r="F155" s="1230" t="n">
        <f aca="false">D155*E155/1000</f>
        <v>1634.492496</v>
      </c>
      <c r="G155" s="1231" t="n">
        <f aca="false">[4]MMBTU!U178</f>
        <v>1892696.49461827</v>
      </c>
      <c r="H155" s="1229" t="n">
        <f aca="false">IF($A155&gt;Endyr,0,Tariff_Var)</f>
        <v>0.0064</v>
      </c>
      <c r="I155" s="1230" t="n">
        <f aca="false">G155*H155/1000</f>
        <v>12.113257565557</v>
      </c>
      <c r="J155" s="1232" t="n">
        <f aca="false">SUM(F155,I155)</f>
        <v>1646.60575356556</v>
      </c>
      <c r="K155" s="1233" t="n">
        <f aca="false">VLOOKUP($A155,Curves_Table,Escalation!$O$291)</f>
        <v>1.48180861051097</v>
      </c>
      <c r="L155" s="1234" t="n">
        <f aca="false">J155*K155</f>
        <v>2439.95458375035</v>
      </c>
      <c r="M155" s="1235" t="str">
        <f aca="false">IF(MONTH($A155)=12,SUM(L144:L155)," ")</f>
        <v> </v>
      </c>
    </row>
    <row r="156" customFormat="false" ht="12.75" hidden="false" customHeight="false" outlineLevel="0" collapsed="false">
      <c r="A156" s="1226" t="n">
        <f aca="false">EDATE(A155,1)</f>
        <v>41334</v>
      </c>
      <c r="C156" s="1227" t="n">
        <f aca="false">A157-A156</f>
        <v>31</v>
      </c>
      <c r="D156" s="1228" t="n">
        <f aca="false">(IF($A156&gt;Endyr,0,IF($A156&lt;Assm!$F$32,G156,Capacity*C156)))*(1+RAROC!$N$12)</f>
        <v>3192690</v>
      </c>
      <c r="E156" s="1229" t="n">
        <f aca="false">IF($A156&gt;Endyr,0,Tariff_Cap)</f>
        <v>0.5668</v>
      </c>
      <c r="F156" s="1230" t="n">
        <f aca="false">D156*E156/1000</f>
        <v>1809.616692</v>
      </c>
      <c r="G156" s="1231" t="n">
        <f aca="false">[4]MMBTU!U179</f>
        <v>2095485.40475594</v>
      </c>
      <c r="H156" s="1229" t="n">
        <f aca="false">IF($A156&gt;Endyr,0,Tariff_Var)</f>
        <v>0.0064</v>
      </c>
      <c r="I156" s="1230" t="n">
        <f aca="false">G156*H156/1000</f>
        <v>13.411106590438</v>
      </c>
      <c r="J156" s="1232" t="n">
        <f aca="false">SUM(F156,I156)</f>
        <v>1823.02779859044</v>
      </c>
      <c r="K156" s="1233" t="n">
        <f aca="false">VLOOKUP($A156,Curves_Table,Escalation!$O$291)</f>
        <v>1.48180861051097</v>
      </c>
      <c r="L156" s="1234" t="n">
        <f aca="false">J156*K156</f>
        <v>2701.37828915217</v>
      </c>
      <c r="M156" s="1235" t="str">
        <f aca="false">IF(MONTH($A156)=12,SUM(L145:L156)," ")</f>
        <v> </v>
      </c>
    </row>
    <row r="157" customFormat="false" ht="12.75" hidden="false" customHeight="false" outlineLevel="0" collapsed="false">
      <c r="A157" s="1226" t="n">
        <f aca="false">EDATE(A156,1)</f>
        <v>41365</v>
      </c>
      <c r="C157" s="1227" t="n">
        <f aca="false">A158-A157</f>
        <v>30</v>
      </c>
      <c r="D157" s="1228" t="n">
        <f aca="false">(IF($A157&gt;Endyr,0,IF($A157&lt;Assm!$F$32,G157,Capacity*C157)))*(1+RAROC!$N$12)</f>
        <v>3089700</v>
      </c>
      <c r="E157" s="1229" t="n">
        <f aca="false">IF($A157&gt;Endyr,0,Tariff_Cap)</f>
        <v>0.5668</v>
      </c>
      <c r="F157" s="1230" t="n">
        <f aca="false">D157*E157/1000</f>
        <v>1751.24196</v>
      </c>
      <c r="G157" s="1231" t="n">
        <f aca="false">[4]MMBTU!U180</f>
        <v>2027889.10137672</v>
      </c>
      <c r="H157" s="1229" t="n">
        <f aca="false">IF($A157&gt;Endyr,0,Tariff_Var)</f>
        <v>0.0064</v>
      </c>
      <c r="I157" s="1230" t="n">
        <f aca="false">G157*H157/1000</f>
        <v>12.978490248811</v>
      </c>
      <c r="J157" s="1232" t="n">
        <f aca="false">SUM(F157,I157)</f>
        <v>1764.22045024881</v>
      </c>
      <c r="K157" s="1233" t="n">
        <f aca="false">VLOOKUP($A157,Curves_Table,Escalation!$O$291)</f>
        <v>1.48180861051097</v>
      </c>
      <c r="L157" s="1234" t="n">
        <f aca="false">J157*K157</f>
        <v>2614.23705401823</v>
      </c>
      <c r="M157" s="1235" t="str">
        <f aca="false">IF(MONTH($A157)=12,SUM(L146:L157)," ")</f>
        <v> </v>
      </c>
    </row>
    <row r="158" customFormat="false" ht="12.75" hidden="false" customHeight="false" outlineLevel="0" collapsed="false">
      <c r="A158" s="1226" t="n">
        <f aca="false">EDATE(A157,1)</f>
        <v>41395</v>
      </c>
      <c r="C158" s="1227" t="n">
        <f aca="false">A159-A158</f>
        <v>31</v>
      </c>
      <c r="D158" s="1228" t="n">
        <f aca="false">(IF($A158&gt;Endyr,0,IF($A158&lt;Assm!$F$32,G158,Capacity*C158)))*(1+RAROC!$N$12)</f>
        <v>3192690</v>
      </c>
      <c r="E158" s="1229" t="n">
        <f aca="false">IF($A158&gt;Endyr,0,Tariff_Cap)</f>
        <v>0.5668</v>
      </c>
      <c r="F158" s="1230" t="n">
        <f aca="false">D158*E158/1000</f>
        <v>1809.616692</v>
      </c>
      <c r="G158" s="1231" t="n">
        <f aca="false">[4]MMBTU!U181</f>
        <v>2095485.40475594</v>
      </c>
      <c r="H158" s="1229" t="n">
        <f aca="false">IF($A158&gt;Endyr,0,Tariff_Var)</f>
        <v>0.0064</v>
      </c>
      <c r="I158" s="1230" t="n">
        <f aca="false">G158*H158/1000</f>
        <v>13.411106590438</v>
      </c>
      <c r="J158" s="1232" t="n">
        <f aca="false">SUM(F158,I158)</f>
        <v>1823.02779859044</v>
      </c>
      <c r="K158" s="1233" t="n">
        <f aca="false">VLOOKUP($A158,Curves_Table,Escalation!$O$291)</f>
        <v>1.51901070889322</v>
      </c>
      <c r="L158" s="1234" t="n">
        <f aca="false">J158*K158</f>
        <v>2769.19874866891</v>
      </c>
      <c r="M158" s="1235" t="str">
        <f aca="false">IF(MONTH($A158)=12,SUM(L147:L158)," ")</f>
        <v> </v>
      </c>
    </row>
    <row r="159" customFormat="false" ht="12.75" hidden="false" customHeight="false" outlineLevel="0" collapsed="false">
      <c r="A159" s="1226" t="n">
        <f aca="false">EDATE(A158,1)</f>
        <v>41426</v>
      </c>
      <c r="C159" s="1227" t="n">
        <f aca="false">A160-A159</f>
        <v>30</v>
      </c>
      <c r="D159" s="1228" t="n">
        <f aca="false">(IF($A159&gt;Endyr,0,IF($A159&lt;Assm!$F$32,G159,Capacity*C159)))*(1+RAROC!$N$12)</f>
        <v>3089700</v>
      </c>
      <c r="E159" s="1229" t="n">
        <f aca="false">IF($A159&gt;Endyr,0,Tariff_Cap)</f>
        <v>0.5668</v>
      </c>
      <c r="F159" s="1230" t="n">
        <f aca="false">D159*E159/1000</f>
        <v>1751.24196</v>
      </c>
      <c r="G159" s="1231" t="n">
        <f aca="false">[4]MMBTU!U182</f>
        <v>2027889.10137672</v>
      </c>
      <c r="H159" s="1229" t="n">
        <f aca="false">IF($A159&gt;Endyr,0,Tariff_Var)</f>
        <v>0.0064</v>
      </c>
      <c r="I159" s="1230" t="n">
        <f aca="false">G159*H159/1000</f>
        <v>12.978490248811</v>
      </c>
      <c r="J159" s="1232" t="n">
        <f aca="false">SUM(F159,I159)</f>
        <v>1764.22045024881</v>
      </c>
      <c r="K159" s="1233" t="n">
        <f aca="false">VLOOKUP($A159,Curves_Table,Escalation!$O$291)</f>
        <v>1.51901070889322</v>
      </c>
      <c r="L159" s="1234" t="n">
        <f aca="false">J159*K159</f>
        <v>2679.86975677637</v>
      </c>
      <c r="M159" s="1235" t="str">
        <f aca="false">IF(MONTH($A159)=12,SUM(L148:L159)," ")</f>
        <v> </v>
      </c>
    </row>
    <row r="160" customFormat="false" ht="12.75" hidden="false" customHeight="false" outlineLevel="0" collapsed="false">
      <c r="A160" s="1226" t="n">
        <f aca="false">EDATE(A159,1)</f>
        <v>41456</v>
      </c>
      <c r="C160" s="1227" t="n">
        <f aca="false">A161-A160</f>
        <v>31</v>
      </c>
      <c r="D160" s="1228" t="n">
        <f aca="false">(IF($A160&gt;Endyr,0,IF($A160&lt;Assm!$F$32,G160,Capacity*C160)))*(1+RAROC!$N$12)</f>
        <v>3192690</v>
      </c>
      <c r="E160" s="1229" t="n">
        <f aca="false">IF($A160&gt;Endyr,0,Tariff_Cap)</f>
        <v>0.5668</v>
      </c>
      <c r="F160" s="1230" t="n">
        <f aca="false">D160*E160/1000</f>
        <v>1809.616692</v>
      </c>
      <c r="G160" s="1231" t="n">
        <f aca="false">[4]MMBTU!U183</f>
        <v>2095485.40475594</v>
      </c>
      <c r="H160" s="1229" t="n">
        <f aca="false">IF($A160&gt;Endyr,0,Tariff_Var)</f>
        <v>0.0064</v>
      </c>
      <c r="I160" s="1230" t="n">
        <f aca="false">G160*H160/1000</f>
        <v>13.411106590438</v>
      </c>
      <c r="J160" s="1232" t="n">
        <f aca="false">SUM(F160,I160)</f>
        <v>1823.02779859044</v>
      </c>
      <c r="K160" s="1233" t="n">
        <f aca="false">VLOOKUP($A160,Curves_Table,Escalation!$O$291)</f>
        <v>1.51901070889322</v>
      </c>
      <c r="L160" s="1234" t="n">
        <f aca="false">J160*K160</f>
        <v>2769.19874866891</v>
      </c>
      <c r="M160" s="1235" t="str">
        <f aca="false">IF(MONTH($A160)=12,SUM(L149:L160)," ")</f>
        <v> </v>
      </c>
    </row>
    <row r="161" customFormat="false" ht="12.75" hidden="false" customHeight="false" outlineLevel="0" collapsed="false">
      <c r="A161" s="1226" t="n">
        <f aca="false">EDATE(A160,1)</f>
        <v>41487</v>
      </c>
      <c r="C161" s="1227" t="n">
        <f aca="false">A162-A161</f>
        <v>31</v>
      </c>
      <c r="D161" s="1228" t="n">
        <f aca="false">(IF($A161&gt;Endyr,0,IF($A161&lt;Assm!$F$32,G161,Capacity*C161)))*(1+RAROC!$N$12)</f>
        <v>3192690</v>
      </c>
      <c r="E161" s="1229" t="n">
        <f aca="false">IF($A161&gt;Endyr,0,Tariff_Cap)</f>
        <v>0.5668</v>
      </c>
      <c r="F161" s="1230" t="n">
        <f aca="false">D161*E161/1000</f>
        <v>1809.616692</v>
      </c>
      <c r="G161" s="1231" t="n">
        <f aca="false">[4]MMBTU!U184</f>
        <v>2095485.40475594</v>
      </c>
      <c r="H161" s="1229" t="n">
        <f aca="false">IF($A161&gt;Endyr,0,Tariff_Var)</f>
        <v>0.0064</v>
      </c>
      <c r="I161" s="1230" t="n">
        <f aca="false">G161*H161/1000</f>
        <v>13.411106590438</v>
      </c>
      <c r="J161" s="1232" t="n">
        <f aca="false">SUM(F161,I161)</f>
        <v>1823.02779859044</v>
      </c>
      <c r="K161" s="1233" t="n">
        <f aca="false">VLOOKUP($A161,Curves_Table,Escalation!$O$291)</f>
        <v>1.51901070889322</v>
      </c>
      <c r="L161" s="1234" t="n">
        <f aca="false">J161*K161</f>
        <v>2769.19874866891</v>
      </c>
      <c r="M161" s="1235" t="str">
        <f aca="false">IF(MONTH($A161)=12,SUM(L150:L161)," ")</f>
        <v> </v>
      </c>
    </row>
    <row r="162" customFormat="false" ht="12.75" hidden="false" customHeight="false" outlineLevel="0" collapsed="false">
      <c r="A162" s="1226" t="n">
        <f aca="false">EDATE(A161,1)</f>
        <v>41518</v>
      </c>
      <c r="C162" s="1227" t="n">
        <f aca="false">A163-A162</f>
        <v>30</v>
      </c>
      <c r="D162" s="1228" t="n">
        <f aca="false">(IF($A162&gt;Endyr,0,IF($A162&lt;Assm!$F$32,G162,Capacity*C162)))*(1+RAROC!$N$12)</f>
        <v>3089700</v>
      </c>
      <c r="E162" s="1229" t="n">
        <f aca="false">IF($A162&gt;Endyr,0,Tariff_Cap)</f>
        <v>0.5668</v>
      </c>
      <c r="F162" s="1230" t="n">
        <f aca="false">D162*E162/1000</f>
        <v>1751.24196</v>
      </c>
      <c r="G162" s="1231" t="n">
        <f aca="false">[4]MMBTU!U185</f>
        <v>2027889.10137672</v>
      </c>
      <c r="H162" s="1229" t="n">
        <f aca="false">IF($A162&gt;Endyr,0,Tariff_Var)</f>
        <v>0.0064</v>
      </c>
      <c r="I162" s="1230" t="n">
        <f aca="false">G162*H162/1000</f>
        <v>12.978490248811</v>
      </c>
      <c r="J162" s="1232" t="n">
        <f aca="false">SUM(F162,I162)</f>
        <v>1764.22045024881</v>
      </c>
      <c r="K162" s="1233" t="n">
        <f aca="false">VLOOKUP($A162,Curves_Table,Escalation!$O$291)</f>
        <v>1.51901070889322</v>
      </c>
      <c r="L162" s="1234" t="n">
        <f aca="false">J162*K162</f>
        <v>2679.86975677637</v>
      </c>
      <c r="M162" s="1235" t="str">
        <f aca="false">IF(MONTH($A162)=12,SUM(L151:L162)," ")</f>
        <v> </v>
      </c>
    </row>
    <row r="163" customFormat="false" ht="12.75" hidden="false" customHeight="false" outlineLevel="0" collapsed="false">
      <c r="A163" s="1226" t="n">
        <f aca="false">EDATE(A162,1)</f>
        <v>41548</v>
      </c>
      <c r="C163" s="1227" t="n">
        <f aca="false">A164-A163</f>
        <v>31</v>
      </c>
      <c r="D163" s="1228" t="n">
        <f aca="false">(IF($A163&gt;Endyr,0,IF($A163&lt;Assm!$F$32,G163,Capacity*C163)))*(1+RAROC!$N$12)</f>
        <v>3192690</v>
      </c>
      <c r="E163" s="1229" t="n">
        <f aca="false">IF($A163&gt;Endyr,0,Tariff_Cap)</f>
        <v>0.5668</v>
      </c>
      <c r="F163" s="1230" t="n">
        <f aca="false">D163*E163/1000</f>
        <v>1809.616692</v>
      </c>
      <c r="G163" s="1231" t="n">
        <f aca="false">[4]MMBTU!U186</f>
        <v>2095485.40475594</v>
      </c>
      <c r="H163" s="1229" t="n">
        <f aca="false">IF($A163&gt;Endyr,0,Tariff_Var)</f>
        <v>0.0064</v>
      </c>
      <c r="I163" s="1230" t="n">
        <f aca="false">G163*H163/1000</f>
        <v>13.411106590438</v>
      </c>
      <c r="J163" s="1232" t="n">
        <f aca="false">SUM(F163,I163)</f>
        <v>1823.02779859044</v>
      </c>
      <c r="K163" s="1233" t="n">
        <f aca="false">VLOOKUP($A163,Curves_Table,Escalation!$O$291)</f>
        <v>1.51901070889322</v>
      </c>
      <c r="L163" s="1234" t="n">
        <f aca="false">J163*K163</f>
        <v>2769.19874866891</v>
      </c>
      <c r="M163" s="1235" t="str">
        <f aca="false">IF(MONTH($A163)=12,SUM(L152:L163)," ")</f>
        <v> </v>
      </c>
    </row>
    <row r="164" customFormat="false" ht="12.75" hidden="false" customHeight="false" outlineLevel="0" collapsed="false">
      <c r="A164" s="1226" t="n">
        <f aca="false">EDATE(A163,1)</f>
        <v>41579</v>
      </c>
      <c r="C164" s="1227" t="n">
        <f aca="false">A165-A164</f>
        <v>30</v>
      </c>
      <c r="D164" s="1228" t="n">
        <f aca="false">(IF($A164&gt;Endyr,0,IF($A164&lt;Assm!$F$32,G164,Capacity*C164)))*(1+RAROC!$N$12)</f>
        <v>3089700</v>
      </c>
      <c r="E164" s="1229" t="n">
        <f aca="false">IF($A164&gt;Endyr,0,Tariff_Cap)</f>
        <v>0.5668</v>
      </c>
      <c r="F164" s="1230" t="n">
        <f aca="false">D164*E164/1000</f>
        <v>1751.24196</v>
      </c>
      <c r="G164" s="1231" t="n">
        <f aca="false">[4]MMBTU!U187</f>
        <v>2027889.10137672</v>
      </c>
      <c r="H164" s="1229" t="n">
        <f aca="false">IF($A164&gt;Endyr,0,Tariff_Var)</f>
        <v>0.0064</v>
      </c>
      <c r="I164" s="1230" t="n">
        <f aca="false">G164*H164/1000</f>
        <v>12.978490248811</v>
      </c>
      <c r="J164" s="1232" t="n">
        <f aca="false">SUM(F164,I164)</f>
        <v>1764.22045024881</v>
      </c>
      <c r="K164" s="1233" t="n">
        <f aca="false">VLOOKUP($A164,Curves_Table,Escalation!$O$291)</f>
        <v>1.51901070889322</v>
      </c>
      <c r="L164" s="1234" t="n">
        <f aca="false">J164*K164</f>
        <v>2679.86975677637</v>
      </c>
      <c r="M164" s="1235" t="str">
        <f aca="false">IF(MONTH($A164)=12,SUM(L153:L164)," ")</f>
        <v> </v>
      </c>
    </row>
    <row r="165" customFormat="false" ht="12.75" hidden="false" customHeight="false" outlineLevel="0" collapsed="false">
      <c r="A165" s="1226" t="n">
        <f aca="false">EDATE(A164,1)</f>
        <v>41609</v>
      </c>
      <c r="C165" s="1227" t="n">
        <f aca="false">A166-A165</f>
        <v>31</v>
      </c>
      <c r="D165" s="1228" t="n">
        <f aca="false">(IF($A165&gt;Endyr,0,IF($A165&lt;Assm!$F$32,G165,Capacity*C165)))*(1+RAROC!$N$12)</f>
        <v>3192690</v>
      </c>
      <c r="E165" s="1229" t="n">
        <f aca="false">IF($A165&gt;Endyr,0,Tariff_Cap)</f>
        <v>0.5668</v>
      </c>
      <c r="F165" s="1230" t="n">
        <f aca="false">D165*E165/1000</f>
        <v>1809.616692</v>
      </c>
      <c r="G165" s="1231" t="n">
        <f aca="false">[4]MMBTU!U188</f>
        <v>2095485.40475594</v>
      </c>
      <c r="H165" s="1229" t="n">
        <f aca="false">IF($A165&gt;Endyr,0,Tariff_Var)</f>
        <v>0.0064</v>
      </c>
      <c r="I165" s="1230" t="n">
        <f aca="false">G165*H165/1000</f>
        <v>13.411106590438</v>
      </c>
      <c r="J165" s="1232" t="n">
        <f aca="false">SUM(F165,I165)</f>
        <v>1823.02779859044</v>
      </c>
      <c r="K165" s="1233" t="n">
        <f aca="false">VLOOKUP($A165,Curves_Table,Escalation!$O$291)</f>
        <v>1.51901070889322</v>
      </c>
      <c r="L165" s="1234" t="n">
        <f aca="false">J165*K165</f>
        <v>2769.19874866891</v>
      </c>
      <c r="M165" s="1235" t="n">
        <f aca="false">IF(MONTH($A165)=12,SUM(L154:L165)," ")</f>
        <v>32342.5512297466</v>
      </c>
    </row>
    <row r="166" customFormat="false" ht="12.75" hidden="false" customHeight="false" outlineLevel="0" collapsed="false">
      <c r="A166" s="1226" t="n">
        <f aca="false">EDATE(A165,1)</f>
        <v>41640</v>
      </c>
      <c r="C166" s="1227" t="n">
        <f aca="false">A167-A166</f>
        <v>31</v>
      </c>
      <c r="D166" s="1228" t="n">
        <f aca="false">(IF($A166&gt;Endyr,0,IF($A166&lt;Assm!$F$32,G166,Capacity*C166)))*(1+RAROC!$N$12)</f>
        <v>3192690</v>
      </c>
      <c r="E166" s="1229" t="n">
        <f aca="false">IF($A166&gt;Endyr,0,Tariff_Cap)</f>
        <v>0.5668</v>
      </c>
      <c r="F166" s="1230" t="n">
        <f aca="false">D166*E166/1000</f>
        <v>1809.616692</v>
      </c>
      <c r="G166" s="1231" t="n">
        <f aca="false">[4]MMBTU!U189</f>
        <v>2095485.40475594</v>
      </c>
      <c r="H166" s="1229" t="n">
        <f aca="false">IF($A166&gt;Endyr,0,Tariff_Var)</f>
        <v>0.0064</v>
      </c>
      <c r="I166" s="1230" t="n">
        <f aca="false">G166*H166/1000</f>
        <v>13.411106590438</v>
      </c>
      <c r="J166" s="1232" t="n">
        <f aca="false">SUM(F166,I166)</f>
        <v>1823.02779859044</v>
      </c>
      <c r="K166" s="1233" t="n">
        <f aca="false">VLOOKUP($A166,Curves_Table,Escalation!$O$291)</f>
        <v>1.51901070889322</v>
      </c>
      <c r="L166" s="1234" t="n">
        <f aca="false">J166*K166</f>
        <v>2769.19874866891</v>
      </c>
      <c r="M166" s="1235" t="str">
        <f aca="false">IF(MONTH($A166)=12,SUM(L155:L166)," ")</f>
        <v> </v>
      </c>
    </row>
    <row r="167" customFormat="false" ht="12.75" hidden="false" customHeight="false" outlineLevel="0" collapsed="false">
      <c r="A167" s="1226" t="n">
        <f aca="false">EDATE(A166,1)</f>
        <v>41671</v>
      </c>
      <c r="C167" s="1227" t="n">
        <f aca="false">A168-A167</f>
        <v>28</v>
      </c>
      <c r="D167" s="1228" t="n">
        <f aca="false">(IF($A167&gt;Endyr,0,IF($A167&lt;Assm!$F$32,G167,Capacity*C167)))*(1+RAROC!$N$12)</f>
        <v>2883720</v>
      </c>
      <c r="E167" s="1229" t="n">
        <f aca="false">IF($A167&gt;Endyr,0,Tariff_Cap)</f>
        <v>0.5668</v>
      </c>
      <c r="F167" s="1230" t="n">
        <f aca="false">D167*E167/1000</f>
        <v>1634.492496</v>
      </c>
      <c r="G167" s="1231" t="n">
        <f aca="false">[4]MMBTU!U190</f>
        <v>1892696.49461827</v>
      </c>
      <c r="H167" s="1229" t="n">
        <f aca="false">IF($A167&gt;Endyr,0,Tariff_Var)</f>
        <v>0.0064</v>
      </c>
      <c r="I167" s="1230" t="n">
        <f aca="false">G167*H167/1000</f>
        <v>12.113257565557</v>
      </c>
      <c r="J167" s="1232" t="n">
        <f aca="false">SUM(F167,I167)</f>
        <v>1646.60575356556</v>
      </c>
      <c r="K167" s="1233" t="n">
        <f aca="false">VLOOKUP($A167,Curves_Table,Escalation!$O$291)</f>
        <v>1.51901070889322</v>
      </c>
      <c r="L167" s="1234" t="n">
        <f aca="false">J167*K167</f>
        <v>2501.21177299128</v>
      </c>
      <c r="M167" s="1235" t="str">
        <f aca="false">IF(MONTH($A167)=12,SUM(L156:L167)," ")</f>
        <v> </v>
      </c>
    </row>
    <row r="168" customFormat="false" ht="12.75" hidden="false" customHeight="false" outlineLevel="0" collapsed="false">
      <c r="A168" s="1226" t="n">
        <f aca="false">EDATE(A167,1)</f>
        <v>41699</v>
      </c>
      <c r="C168" s="1227" t="n">
        <f aca="false">A169-A168</f>
        <v>31</v>
      </c>
      <c r="D168" s="1228" t="n">
        <f aca="false">(IF($A168&gt;Endyr,0,IF($A168&lt;Assm!$F$32,G168,Capacity*C168)))*(1+RAROC!$N$12)</f>
        <v>3192690</v>
      </c>
      <c r="E168" s="1229" t="n">
        <f aca="false">IF($A168&gt;Endyr,0,Tariff_Cap)</f>
        <v>0.5668</v>
      </c>
      <c r="F168" s="1230" t="n">
        <f aca="false">D168*E168/1000</f>
        <v>1809.616692</v>
      </c>
      <c r="G168" s="1231" t="n">
        <f aca="false">[4]MMBTU!U191</f>
        <v>2095485.40475594</v>
      </c>
      <c r="H168" s="1229" t="n">
        <f aca="false">IF($A168&gt;Endyr,0,Tariff_Var)</f>
        <v>0.0064</v>
      </c>
      <c r="I168" s="1230" t="n">
        <f aca="false">G168*H168/1000</f>
        <v>13.411106590438</v>
      </c>
      <c r="J168" s="1232" t="n">
        <f aca="false">SUM(F168,I168)</f>
        <v>1823.02779859044</v>
      </c>
      <c r="K168" s="1233" t="n">
        <f aca="false">VLOOKUP($A168,Curves_Table,Escalation!$O$291)</f>
        <v>1.51901070889322</v>
      </c>
      <c r="L168" s="1234" t="n">
        <f aca="false">J168*K168</f>
        <v>2769.19874866891</v>
      </c>
      <c r="M168" s="1235" t="str">
        <f aca="false">IF(MONTH($A168)=12,SUM(L157:L168)," ")</f>
        <v> </v>
      </c>
    </row>
    <row r="169" customFormat="false" ht="12.75" hidden="false" customHeight="false" outlineLevel="0" collapsed="false">
      <c r="A169" s="1226" t="n">
        <f aca="false">EDATE(A168,1)</f>
        <v>41730</v>
      </c>
      <c r="C169" s="1227" t="n">
        <f aca="false">A170-A169</f>
        <v>30</v>
      </c>
      <c r="D169" s="1228" t="n">
        <f aca="false">(IF($A169&gt;Endyr,0,IF($A169&lt;Assm!$F$32,G169,Capacity*C169)))*(1+RAROC!$N$12)</f>
        <v>3089700</v>
      </c>
      <c r="E169" s="1229" t="n">
        <f aca="false">IF($A169&gt;Endyr,0,Tariff_Cap)</f>
        <v>0.5668</v>
      </c>
      <c r="F169" s="1230" t="n">
        <f aca="false">D169*E169/1000</f>
        <v>1751.24196</v>
      </c>
      <c r="G169" s="1231" t="n">
        <f aca="false">[4]MMBTU!U192</f>
        <v>2027889.10137672</v>
      </c>
      <c r="H169" s="1229" t="n">
        <f aca="false">IF($A169&gt;Endyr,0,Tariff_Var)</f>
        <v>0.0064</v>
      </c>
      <c r="I169" s="1230" t="n">
        <f aca="false">G169*H169/1000</f>
        <v>12.978490248811</v>
      </c>
      <c r="J169" s="1232" t="n">
        <f aca="false">SUM(F169,I169)</f>
        <v>1764.22045024881</v>
      </c>
      <c r="K169" s="1233" t="n">
        <f aca="false">VLOOKUP($A169,Curves_Table,Escalation!$O$291)</f>
        <v>1.51901070889322</v>
      </c>
      <c r="L169" s="1234" t="n">
        <f aca="false">J169*K169</f>
        <v>2679.86975677637</v>
      </c>
      <c r="M169" s="1235" t="str">
        <f aca="false">IF(MONTH($A169)=12,SUM(L158:L169)," ")</f>
        <v> </v>
      </c>
    </row>
    <row r="170" customFormat="false" ht="12.75" hidden="false" customHeight="false" outlineLevel="0" collapsed="false">
      <c r="A170" s="1226" t="n">
        <f aca="false">EDATE(A169,1)</f>
        <v>41760</v>
      </c>
      <c r="C170" s="1227" t="n">
        <f aca="false">A171-A170</f>
        <v>31</v>
      </c>
      <c r="D170" s="1228" t="n">
        <f aca="false">(IF($A170&gt;Endyr,0,IF($A170&lt;Assm!$F$32,G170,Capacity*C170)))*(1+RAROC!$N$12)</f>
        <v>3192690</v>
      </c>
      <c r="E170" s="1229" t="n">
        <f aca="false">IF($A170&gt;Endyr,0,Tariff_Cap)</f>
        <v>0.5668</v>
      </c>
      <c r="F170" s="1230" t="n">
        <f aca="false">D170*E170/1000</f>
        <v>1809.616692</v>
      </c>
      <c r="G170" s="1231" t="n">
        <f aca="false">[4]MMBTU!U193</f>
        <v>2095485.40475594</v>
      </c>
      <c r="H170" s="1229" t="n">
        <f aca="false">IF($A170&gt;Endyr,0,Tariff_Var)</f>
        <v>0.0064</v>
      </c>
      <c r="I170" s="1230" t="n">
        <f aca="false">G170*H170/1000</f>
        <v>13.411106590438</v>
      </c>
      <c r="J170" s="1232" t="n">
        <f aca="false">SUM(F170,I170)</f>
        <v>1823.02779859044</v>
      </c>
      <c r="K170" s="1233" t="n">
        <f aca="false">VLOOKUP($A170,Curves_Table,Escalation!$O$291)</f>
        <v>1.55739783154092</v>
      </c>
      <c r="L170" s="1234" t="n">
        <f aca="false">J170*K170</f>
        <v>2839.17954036356</v>
      </c>
      <c r="M170" s="1235" t="str">
        <f aca="false">IF(MONTH($A170)=12,SUM(L159:L170)," ")</f>
        <v> </v>
      </c>
    </row>
    <row r="171" customFormat="false" ht="12.75" hidden="false" customHeight="false" outlineLevel="0" collapsed="false">
      <c r="A171" s="1226" t="n">
        <f aca="false">EDATE(A170,1)</f>
        <v>41791</v>
      </c>
      <c r="C171" s="1227" t="n">
        <f aca="false">A172-A171</f>
        <v>30</v>
      </c>
      <c r="D171" s="1228" t="n">
        <f aca="false">(IF($A171&gt;Endyr,0,IF($A171&lt;Assm!$F$32,G171,Capacity*C171)))*(1+RAROC!$N$12)</f>
        <v>3089700</v>
      </c>
      <c r="E171" s="1229" t="n">
        <f aca="false">IF($A171&gt;Endyr,0,Tariff_Cap)</f>
        <v>0.5668</v>
      </c>
      <c r="F171" s="1230" t="n">
        <f aca="false">D171*E171/1000</f>
        <v>1751.24196</v>
      </c>
      <c r="G171" s="1231" t="n">
        <f aca="false">[4]MMBTU!U194</f>
        <v>2027889.10137672</v>
      </c>
      <c r="H171" s="1229" t="n">
        <f aca="false">IF($A171&gt;Endyr,0,Tariff_Var)</f>
        <v>0.0064</v>
      </c>
      <c r="I171" s="1230" t="n">
        <f aca="false">G171*H171/1000</f>
        <v>12.978490248811</v>
      </c>
      <c r="J171" s="1232" t="n">
        <f aca="false">SUM(F171,I171)</f>
        <v>1764.22045024881</v>
      </c>
      <c r="K171" s="1233" t="n">
        <f aca="false">VLOOKUP($A171,Curves_Table,Escalation!$O$291)</f>
        <v>1.55739783154092</v>
      </c>
      <c r="L171" s="1234" t="n">
        <f aca="false">J171*K171</f>
        <v>2747.59310357764</v>
      </c>
      <c r="M171" s="1235" t="str">
        <f aca="false">IF(MONTH($A171)=12,SUM(L160:L171)," ")</f>
        <v> </v>
      </c>
    </row>
    <row r="172" customFormat="false" ht="12.75" hidden="false" customHeight="false" outlineLevel="0" collapsed="false">
      <c r="A172" s="1226" t="n">
        <f aca="false">EDATE(A171,1)</f>
        <v>41821</v>
      </c>
      <c r="C172" s="1227" t="n">
        <f aca="false">A173-A172</f>
        <v>31</v>
      </c>
      <c r="D172" s="1228" t="n">
        <f aca="false">(IF($A172&gt;Endyr,0,IF($A172&lt;Assm!$F$32,G172,Capacity*C172)))*(1+RAROC!$N$12)</f>
        <v>3192690</v>
      </c>
      <c r="E172" s="1229" t="n">
        <f aca="false">IF($A172&gt;Endyr,0,Tariff_Cap)</f>
        <v>0.5668</v>
      </c>
      <c r="F172" s="1230" t="n">
        <f aca="false">D172*E172/1000</f>
        <v>1809.616692</v>
      </c>
      <c r="G172" s="1231" t="n">
        <f aca="false">[4]MMBTU!U195</f>
        <v>2095485.40475594</v>
      </c>
      <c r="H172" s="1229" t="n">
        <f aca="false">IF($A172&gt;Endyr,0,Tariff_Var)</f>
        <v>0.0064</v>
      </c>
      <c r="I172" s="1230" t="n">
        <f aca="false">G172*H172/1000</f>
        <v>13.411106590438</v>
      </c>
      <c r="J172" s="1232" t="n">
        <f aca="false">SUM(F172,I172)</f>
        <v>1823.02779859044</v>
      </c>
      <c r="K172" s="1233" t="n">
        <f aca="false">VLOOKUP($A172,Curves_Table,Escalation!$O$291)</f>
        <v>1.55739783154092</v>
      </c>
      <c r="L172" s="1234" t="n">
        <f aca="false">J172*K172</f>
        <v>2839.17954036356</v>
      </c>
      <c r="M172" s="1235" t="str">
        <f aca="false">IF(MONTH($A172)=12,SUM(L161:L172)," ")</f>
        <v> </v>
      </c>
    </row>
    <row r="173" customFormat="false" ht="12.75" hidden="false" customHeight="false" outlineLevel="0" collapsed="false">
      <c r="A173" s="1226" t="n">
        <f aca="false">EDATE(A172,1)</f>
        <v>41852</v>
      </c>
      <c r="C173" s="1227" t="n">
        <f aca="false">A174-A173</f>
        <v>31</v>
      </c>
      <c r="D173" s="1228" t="n">
        <f aca="false">(IF($A173&gt;Endyr,0,IF($A173&lt;Assm!$F$32,G173,Capacity*C173)))*(1+RAROC!$N$12)</f>
        <v>3192690</v>
      </c>
      <c r="E173" s="1229" t="n">
        <f aca="false">IF($A173&gt;Endyr,0,Tariff_Cap)</f>
        <v>0.5668</v>
      </c>
      <c r="F173" s="1230" t="n">
        <f aca="false">D173*E173/1000</f>
        <v>1809.616692</v>
      </c>
      <c r="G173" s="1231" t="n">
        <f aca="false">[4]MMBTU!U196</f>
        <v>2095485.40475594</v>
      </c>
      <c r="H173" s="1229" t="n">
        <f aca="false">IF($A173&gt;Endyr,0,Tariff_Var)</f>
        <v>0.0064</v>
      </c>
      <c r="I173" s="1230" t="n">
        <f aca="false">G173*H173/1000</f>
        <v>13.411106590438</v>
      </c>
      <c r="J173" s="1232" t="n">
        <f aca="false">SUM(F173,I173)</f>
        <v>1823.02779859044</v>
      </c>
      <c r="K173" s="1233" t="n">
        <f aca="false">VLOOKUP($A173,Curves_Table,Escalation!$O$291)</f>
        <v>1.55739783154092</v>
      </c>
      <c r="L173" s="1234" t="n">
        <f aca="false">J173*K173</f>
        <v>2839.17954036356</v>
      </c>
      <c r="M173" s="1235" t="str">
        <f aca="false">IF(MONTH($A173)=12,SUM(L162:L173)," ")</f>
        <v> </v>
      </c>
    </row>
    <row r="174" customFormat="false" ht="12.75" hidden="false" customHeight="false" outlineLevel="0" collapsed="false">
      <c r="A174" s="1226" t="n">
        <f aca="false">EDATE(A173,1)</f>
        <v>41883</v>
      </c>
      <c r="C174" s="1227" t="n">
        <f aca="false">A175-A174</f>
        <v>30</v>
      </c>
      <c r="D174" s="1228" t="n">
        <f aca="false">(IF($A174&gt;Endyr,0,IF($A174&lt;Assm!$F$32,G174,Capacity*C174)))*(1+RAROC!$N$12)</f>
        <v>3089700</v>
      </c>
      <c r="E174" s="1229" t="n">
        <f aca="false">IF($A174&gt;Endyr,0,Tariff_Cap)</f>
        <v>0.5668</v>
      </c>
      <c r="F174" s="1230" t="n">
        <f aca="false">D174*E174/1000</f>
        <v>1751.24196</v>
      </c>
      <c r="G174" s="1231" t="n">
        <f aca="false">[4]MMBTU!U197</f>
        <v>2027889.10137672</v>
      </c>
      <c r="H174" s="1229" t="n">
        <f aca="false">IF($A174&gt;Endyr,0,Tariff_Var)</f>
        <v>0.0064</v>
      </c>
      <c r="I174" s="1230" t="n">
        <f aca="false">G174*H174/1000</f>
        <v>12.978490248811</v>
      </c>
      <c r="J174" s="1232" t="n">
        <f aca="false">SUM(F174,I174)</f>
        <v>1764.22045024881</v>
      </c>
      <c r="K174" s="1233" t="n">
        <f aca="false">VLOOKUP($A174,Curves_Table,Escalation!$O$291)</f>
        <v>1.55739783154092</v>
      </c>
      <c r="L174" s="1234" t="n">
        <f aca="false">J174*K174</f>
        <v>2747.59310357764</v>
      </c>
      <c r="M174" s="1235" t="str">
        <f aca="false">IF(MONTH($A174)=12,SUM(L163:L174)," ")</f>
        <v> </v>
      </c>
    </row>
    <row r="175" customFormat="false" ht="12.75" hidden="false" customHeight="false" outlineLevel="0" collapsed="false">
      <c r="A175" s="1226" t="n">
        <f aca="false">EDATE(A174,1)</f>
        <v>41913</v>
      </c>
      <c r="C175" s="1227" t="n">
        <f aca="false">A176-A175</f>
        <v>31</v>
      </c>
      <c r="D175" s="1228" t="n">
        <f aca="false">(IF($A175&gt;Endyr,0,IF($A175&lt;Assm!$F$32,G175,Capacity*C175)))*(1+RAROC!$N$12)</f>
        <v>3192690</v>
      </c>
      <c r="E175" s="1229" t="n">
        <f aca="false">IF($A175&gt;Endyr,0,Tariff_Cap)</f>
        <v>0.5668</v>
      </c>
      <c r="F175" s="1230" t="n">
        <f aca="false">D175*E175/1000</f>
        <v>1809.616692</v>
      </c>
      <c r="G175" s="1231" t="n">
        <f aca="false">[4]MMBTU!U198</f>
        <v>2095485.40475594</v>
      </c>
      <c r="H175" s="1229" t="n">
        <f aca="false">IF($A175&gt;Endyr,0,Tariff_Var)</f>
        <v>0.0064</v>
      </c>
      <c r="I175" s="1230" t="n">
        <f aca="false">G175*H175/1000</f>
        <v>13.411106590438</v>
      </c>
      <c r="J175" s="1232" t="n">
        <f aca="false">SUM(F175,I175)</f>
        <v>1823.02779859044</v>
      </c>
      <c r="K175" s="1233" t="n">
        <f aca="false">VLOOKUP($A175,Curves_Table,Escalation!$O$291)</f>
        <v>1.55739783154092</v>
      </c>
      <c r="L175" s="1234" t="n">
        <f aca="false">J175*K175</f>
        <v>2839.17954036356</v>
      </c>
      <c r="M175" s="1235" t="str">
        <f aca="false">IF(MONTH($A175)=12,SUM(L164:L175)," ")</f>
        <v> </v>
      </c>
    </row>
    <row r="176" customFormat="false" ht="12.75" hidden="false" customHeight="false" outlineLevel="0" collapsed="false">
      <c r="A176" s="1226" t="n">
        <f aca="false">EDATE(A175,1)</f>
        <v>41944</v>
      </c>
      <c r="C176" s="1227" t="n">
        <f aca="false">A177-A176</f>
        <v>30</v>
      </c>
      <c r="D176" s="1228" t="n">
        <f aca="false">(IF($A176&gt;Endyr,0,IF($A176&lt;Assm!$F$32,G176,Capacity*C176)))*(1+RAROC!$N$12)</f>
        <v>3089700</v>
      </c>
      <c r="E176" s="1229" t="n">
        <f aca="false">IF($A176&gt;Endyr,0,Tariff_Cap)</f>
        <v>0.5668</v>
      </c>
      <c r="F176" s="1230" t="n">
        <f aca="false">D176*E176/1000</f>
        <v>1751.24196</v>
      </c>
      <c r="G176" s="1231" t="n">
        <f aca="false">[4]MMBTU!U199</f>
        <v>2027889.10137672</v>
      </c>
      <c r="H176" s="1229" t="n">
        <f aca="false">IF($A176&gt;Endyr,0,Tariff_Var)</f>
        <v>0.0064</v>
      </c>
      <c r="I176" s="1230" t="n">
        <f aca="false">G176*H176/1000</f>
        <v>12.978490248811</v>
      </c>
      <c r="J176" s="1232" t="n">
        <f aca="false">SUM(F176,I176)</f>
        <v>1764.22045024881</v>
      </c>
      <c r="K176" s="1233" t="n">
        <f aca="false">VLOOKUP($A176,Curves_Table,Escalation!$O$291)</f>
        <v>1.55739783154092</v>
      </c>
      <c r="L176" s="1234" t="n">
        <f aca="false">J176*K176</f>
        <v>2747.59310357764</v>
      </c>
      <c r="M176" s="1235" t="str">
        <f aca="false">IF(MONTH($A176)=12,SUM(L165:L176)," ")</f>
        <v> </v>
      </c>
    </row>
    <row r="177" customFormat="false" ht="12.75" hidden="false" customHeight="false" outlineLevel="0" collapsed="false">
      <c r="A177" s="1226" t="n">
        <f aca="false">EDATE(A176,1)</f>
        <v>41974</v>
      </c>
      <c r="C177" s="1227" t="n">
        <f aca="false">A178-A177</f>
        <v>31</v>
      </c>
      <c r="D177" s="1228" t="n">
        <f aca="false">(IF($A177&gt;Endyr,0,IF($A177&lt;Assm!$F$32,G177,Capacity*C177)))*(1+RAROC!$N$12)</f>
        <v>3192690</v>
      </c>
      <c r="E177" s="1229" t="n">
        <f aca="false">IF($A177&gt;Endyr,0,Tariff_Cap)</f>
        <v>0.5668</v>
      </c>
      <c r="F177" s="1230" t="n">
        <f aca="false">D177*E177/1000</f>
        <v>1809.616692</v>
      </c>
      <c r="G177" s="1231" t="n">
        <f aca="false">[4]MMBTU!U200</f>
        <v>2095485.40475594</v>
      </c>
      <c r="H177" s="1229" t="n">
        <f aca="false">IF($A177&gt;Endyr,0,Tariff_Var)</f>
        <v>0.0064</v>
      </c>
      <c r="I177" s="1230" t="n">
        <f aca="false">G177*H177/1000</f>
        <v>13.411106590438</v>
      </c>
      <c r="J177" s="1232" t="n">
        <f aca="false">SUM(F177,I177)</f>
        <v>1823.02779859044</v>
      </c>
      <c r="K177" s="1233" t="n">
        <f aca="false">VLOOKUP($A177,Curves_Table,Escalation!$O$291)</f>
        <v>1.55739783154092</v>
      </c>
      <c r="L177" s="1234" t="n">
        <f aca="false">J177*K177</f>
        <v>2839.17954036356</v>
      </c>
      <c r="M177" s="1235" t="n">
        <f aca="false">IF(MONTH($A177)=12,SUM(L166:L177)," ")</f>
        <v>33158.1560396562</v>
      </c>
    </row>
    <row r="178" customFormat="false" ht="12.75" hidden="false" customHeight="false" outlineLevel="0" collapsed="false">
      <c r="A178" s="1226" t="n">
        <f aca="false">EDATE(A177,1)</f>
        <v>42005</v>
      </c>
      <c r="C178" s="1227" t="n">
        <f aca="false">A179-A178</f>
        <v>31</v>
      </c>
      <c r="D178" s="1228" t="n">
        <f aca="false">(IF($A178&gt;Endyr,0,IF($A178&lt;Assm!$F$32,G178,Capacity*C178)))*(1+RAROC!$N$12)</f>
        <v>3192690</v>
      </c>
      <c r="E178" s="1229" t="n">
        <f aca="false">IF($A178&gt;Endyr,0,Tariff_Cap)</f>
        <v>0.5668</v>
      </c>
      <c r="F178" s="1230" t="n">
        <f aca="false">D178*E178/1000</f>
        <v>1809.616692</v>
      </c>
      <c r="G178" s="1231" t="n">
        <f aca="false">[4]MMBTU!U201</f>
        <v>2095485.40475594</v>
      </c>
      <c r="H178" s="1229" t="n">
        <f aca="false">IF($A178&gt;Endyr,0,Tariff_Var)</f>
        <v>0.0064</v>
      </c>
      <c r="I178" s="1230" t="n">
        <f aca="false">G178*H178/1000</f>
        <v>13.411106590438</v>
      </c>
      <c r="J178" s="1232" t="n">
        <f aca="false">SUM(F178,I178)</f>
        <v>1823.02779859044</v>
      </c>
      <c r="K178" s="1233" t="n">
        <f aca="false">VLOOKUP($A178,Curves_Table,Escalation!$O$291)</f>
        <v>1.55739783154092</v>
      </c>
      <c r="L178" s="1234" t="n">
        <f aca="false">J178*K178</f>
        <v>2839.17954036356</v>
      </c>
      <c r="M178" s="1235" t="str">
        <f aca="false">IF(MONTH($A178)=12,SUM(L167:L178)," ")</f>
        <v> </v>
      </c>
    </row>
    <row r="179" customFormat="false" ht="12.75" hidden="false" customHeight="false" outlineLevel="0" collapsed="false">
      <c r="A179" s="1226" t="n">
        <f aca="false">EDATE(A178,1)</f>
        <v>42036</v>
      </c>
      <c r="C179" s="1227" t="n">
        <f aca="false">A180-A179</f>
        <v>28</v>
      </c>
      <c r="D179" s="1228" t="n">
        <f aca="false">(IF($A179&gt;Endyr,0,IF($A179&lt;Assm!$F$32,G179,Capacity*C179)))*(1+RAROC!$N$12)</f>
        <v>2883720</v>
      </c>
      <c r="E179" s="1229" t="n">
        <f aca="false">IF($A179&gt;Endyr,0,Tariff_Cap)</f>
        <v>0.5668</v>
      </c>
      <c r="F179" s="1230" t="n">
        <f aca="false">D179*E179/1000</f>
        <v>1634.492496</v>
      </c>
      <c r="G179" s="1231" t="n">
        <f aca="false">[4]MMBTU!U202</f>
        <v>1892696.49461827</v>
      </c>
      <c r="H179" s="1229" t="n">
        <f aca="false">IF($A179&gt;Endyr,0,Tariff_Var)</f>
        <v>0.0064</v>
      </c>
      <c r="I179" s="1230" t="n">
        <f aca="false">G179*H179/1000</f>
        <v>12.113257565557</v>
      </c>
      <c r="J179" s="1232" t="n">
        <f aca="false">SUM(F179,I179)</f>
        <v>1646.60575356556</v>
      </c>
      <c r="K179" s="1233" t="n">
        <f aca="false">VLOOKUP($A179,Curves_Table,Escalation!$O$291)</f>
        <v>1.55739783154092</v>
      </c>
      <c r="L179" s="1234" t="n">
        <f aca="false">J179*K179</f>
        <v>2564.4202300058</v>
      </c>
      <c r="M179" s="1235" t="str">
        <f aca="false">IF(MONTH($A179)=12,SUM(L168:L179)," ")</f>
        <v> </v>
      </c>
    </row>
    <row r="180" customFormat="false" ht="12.75" hidden="false" customHeight="false" outlineLevel="0" collapsed="false">
      <c r="A180" s="1226" t="n">
        <f aca="false">EDATE(A179,1)</f>
        <v>42064</v>
      </c>
      <c r="C180" s="1227" t="n">
        <f aca="false">A181-A180</f>
        <v>31</v>
      </c>
      <c r="D180" s="1228" t="n">
        <f aca="false">(IF($A180&gt;Endyr,0,IF($A180&lt;Assm!$F$32,G180,Capacity*C180)))*(1+RAROC!$N$12)</f>
        <v>3192690</v>
      </c>
      <c r="E180" s="1229" t="n">
        <f aca="false">IF($A180&gt;Endyr,0,Tariff_Cap)</f>
        <v>0.5668</v>
      </c>
      <c r="F180" s="1230" t="n">
        <f aca="false">D180*E180/1000</f>
        <v>1809.616692</v>
      </c>
      <c r="G180" s="1231" t="n">
        <f aca="false">[4]MMBTU!U203</f>
        <v>2095485.40475594</v>
      </c>
      <c r="H180" s="1229" t="n">
        <f aca="false">IF($A180&gt;Endyr,0,Tariff_Var)</f>
        <v>0.0064</v>
      </c>
      <c r="I180" s="1230" t="n">
        <f aca="false">G180*H180/1000</f>
        <v>13.411106590438</v>
      </c>
      <c r="J180" s="1232" t="n">
        <f aca="false">SUM(F180,I180)</f>
        <v>1823.02779859044</v>
      </c>
      <c r="K180" s="1233" t="n">
        <f aca="false">VLOOKUP($A180,Curves_Table,Escalation!$O$291)</f>
        <v>1.55739783154092</v>
      </c>
      <c r="L180" s="1234" t="n">
        <f aca="false">J180*K180</f>
        <v>2839.17954036356</v>
      </c>
      <c r="M180" s="1235" t="str">
        <f aca="false">IF(MONTH($A180)=12,SUM(L169:L180)," ")</f>
        <v> </v>
      </c>
    </row>
    <row r="181" customFormat="false" ht="12.75" hidden="false" customHeight="false" outlineLevel="0" collapsed="false">
      <c r="A181" s="1226" t="n">
        <f aca="false">EDATE(A180,1)</f>
        <v>42095</v>
      </c>
      <c r="C181" s="1227" t="n">
        <f aca="false">A182-A181</f>
        <v>30</v>
      </c>
      <c r="D181" s="1228" t="n">
        <f aca="false">(IF($A181&gt;Endyr,0,IF($A181&lt;Assm!$F$32,G181,Capacity*C181)))*(1+RAROC!$N$12)</f>
        <v>3089700</v>
      </c>
      <c r="E181" s="1229" t="n">
        <f aca="false">IF($A181&gt;Endyr,0,Tariff_Cap)</f>
        <v>0.5668</v>
      </c>
      <c r="F181" s="1230" t="n">
        <f aca="false">D181*E181/1000</f>
        <v>1751.24196</v>
      </c>
      <c r="G181" s="1231" t="n">
        <f aca="false">[4]MMBTU!U204</f>
        <v>2027889.10137672</v>
      </c>
      <c r="H181" s="1229" t="n">
        <f aca="false">IF($A181&gt;Endyr,0,Tariff_Var)</f>
        <v>0.0064</v>
      </c>
      <c r="I181" s="1230" t="n">
        <f aca="false">G181*H181/1000</f>
        <v>12.978490248811</v>
      </c>
      <c r="J181" s="1232" t="n">
        <f aca="false">SUM(F181,I181)</f>
        <v>1764.22045024881</v>
      </c>
      <c r="K181" s="1233" t="n">
        <f aca="false">VLOOKUP($A181,Curves_Table,Escalation!$O$291)</f>
        <v>1.55739783154092</v>
      </c>
      <c r="L181" s="1234" t="n">
        <f aca="false">J181*K181</f>
        <v>2747.59310357764</v>
      </c>
      <c r="M181" s="1235" t="str">
        <f aca="false">IF(MONTH($A181)=12,SUM(L170:L181)," ")</f>
        <v> </v>
      </c>
    </row>
    <row r="182" customFormat="false" ht="12.75" hidden="false" customHeight="false" outlineLevel="0" collapsed="false">
      <c r="A182" s="1226" t="n">
        <f aca="false">EDATE(A181,1)</f>
        <v>42125</v>
      </c>
      <c r="C182" s="1227" t="n">
        <f aca="false">A183-A182</f>
        <v>31</v>
      </c>
      <c r="D182" s="1228" t="n">
        <f aca="false">(IF($A182&gt;Endyr,0,IF($A182&lt;Assm!$F$32,G182,Capacity*C182)))*(1+RAROC!$N$12)</f>
        <v>3192690</v>
      </c>
      <c r="E182" s="1229" t="n">
        <f aca="false">IF($A182&gt;Endyr,0,Tariff_Cap)</f>
        <v>0.5668</v>
      </c>
      <c r="F182" s="1230" t="n">
        <f aca="false">D182*E182/1000</f>
        <v>1809.616692</v>
      </c>
      <c r="G182" s="1231" t="n">
        <f aca="false">[4]MMBTU!U205</f>
        <v>2095485.40475594</v>
      </c>
      <c r="H182" s="1229" t="n">
        <f aca="false">IF($A182&gt;Endyr,0,Tariff_Var)</f>
        <v>0.0064</v>
      </c>
      <c r="I182" s="1230" t="n">
        <f aca="false">G182*H182/1000</f>
        <v>13.411106590438</v>
      </c>
      <c r="J182" s="1232" t="n">
        <f aca="false">SUM(F182,I182)</f>
        <v>1823.02779859044</v>
      </c>
      <c r="K182" s="1233" t="n">
        <f aca="false">VLOOKUP($A182,Curves_Table,Escalation!$O$291)</f>
        <v>1.59733039824151</v>
      </c>
      <c r="L182" s="1234" t="n">
        <f aca="false">J182*K182</f>
        <v>2911.9777195278</v>
      </c>
      <c r="M182" s="1235" t="str">
        <f aca="false">IF(MONTH($A182)=12,SUM(L171:L182)," ")</f>
        <v> </v>
      </c>
    </row>
    <row r="183" customFormat="false" ht="12.75" hidden="false" customHeight="false" outlineLevel="0" collapsed="false">
      <c r="A183" s="1226" t="n">
        <f aca="false">EDATE(A182,1)</f>
        <v>42156</v>
      </c>
      <c r="C183" s="1227" t="n">
        <f aca="false">A184-A183</f>
        <v>30</v>
      </c>
      <c r="D183" s="1228" t="n">
        <f aca="false">(IF($A183&gt;Endyr,0,IF($A183&lt;Assm!$F$32,G183,Capacity*C183)))*(1+RAROC!$N$12)</f>
        <v>3089700</v>
      </c>
      <c r="E183" s="1229" t="n">
        <f aca="false">IF($A183&gt;Endyr,0,Tariff_Cap)</f>
        <v>0.5668</v>
      </c>
      <c r="F183" s="1230" t="n">
        <f aca="false">D183*E183/1000</f>
        <v>1751.24196</v>
      </c>
      <c r="G183" s="1231" t="n">
        <f aca="false">[4]MMBTU!U206</f>
        <v>2027889.10137672</v>
      </c>
      <c r="H183" s="1229" t="n">
        <f aca="false">IF($A183&gt;Endyr,0,Tariff_Var)</f>
        <v>0.0064</v>
      </c>
      <c r="I183" s="1230" t="n">
        <f aca="false">G183*H183/1000</f>
        <v>12.978490248811</v>
      </c>
      <c r="J183" s="1232" t="n">
        <f aca="false">SUM(F183,I183)</f>
        <v>1764.22045024881</v>
      </c>
      <c r="K183" s="1233" t="n">
        <f aca="false">VLOOKUP($A183,Curves_Table,Escalation!$O$291)</f>
        <v>1.59733039824151</v>
      </c>
      <c r="L183" s="1234" t="n">
        <f aca="false">J183*K183</f>
        <v>2818.04295438175</v>
      </c>
      <c r="M183" s="1235" t="str">
        <f aca="false">IF(MONTH($A183)=12,SUM(L172:L183)," ")</f>
        <v> </v>
      </c>
    </row>
    <row r="184" customFormat="false" ht="12.75" hidden="false" customHeight="false" outlineLevel="0" collapsed="false">
      <c r="A184" s="1226" t="n">
        <f aca="false">EDATE(A183,1)</f>
        <v>42186</v>
      </c>
      <c r="C184" s="1227" t="n">
        <f aca="false">A185-A184</f>
        <v>31</v>
      </c>
      <c r="D184" s="1228" t="n">
        <f aca="false">(IF($A184&gt;Endyr,0,IF($A184&lt;Assm!$F$32,G184,Capacity*C184)))*(1+RAROC!$N$12)</f>
        <v>3192690</v>
      </c>
      <c r="E184" s="1229" t="n">
        <f aca="false">IF($A184&gt;Endyr,0,Tariff_Cap)</f>
        <v>0.5668</v>
      </c>
      <c r="F184" s="1230" t="n">
        <f aca="false">D184*E184/1000</f>
        <v>1809.616692</v>
      </c>
      <c r="G184" s="1231" t="n">
        <f aca="false">[4]MMBTU!U207</f>
        <v>2095485.40475594</v>
      </c>
      <c r="H184" s="1229" t="n">
        <f aca="false">IF($A184&gt;Endyr,0,Tariff_Var)</f>
        <v>0.0064</v>
      </c>
      <c r="I184" s="1230" t="n">
        <f aca="false">G184*H184/1000</f>
        <v>13.411106590438</v>
      </c>
      <c r="J184" s="1232" t="n">
        <f aca="false">SUM(F184,I184)</f>
        <v>1823.02779859044</v>
      </c>
      <c r="K184" s="1233" t="n">
        <f aca="false">VLOOKUP($A184,Curves_Table,Escalation!$O$291)</f>
        <v>1.59733039824151</v>
      </c>
      <c r="L184" s="1234" t="n">
        <f aca="false">J184*K184</f>
        <v>2911.9777195278</v>
      </c>
      <c r="M184" s="1235" t="str">
        <f aca="false">IF(MONTH($A184)=12,SUM(L173:L184)," ")</f>
        <v> </v>
      </c>
    </row>
    <row r="185" customFormat="false" ht="12.75" hidden="false" customHeight="false" outlineLevel="0" collapsed="false">
      <c r="A185" s="1226" t="n">
        <f aca="false">EDATE(A184,1)</f>
        <v>42217</v>
      </c>
      <c r="C185" s="1227" t="n">
        <f aca="false">A186-A185</f>
        <v>31</v>
      </c>
      <c r="D185" s="1228" t="n">
        <f aca="false">(IF($A185&gt;Endyr,0,IF($A185&lt;Assm!$F$32,G185,Capacity*C185)))*(1+RAROC!$N$12)</f>
        <v>3192690</v>
      </c>
      <c r="E185" s="1229" t="n">
        <f aca="false">IF($A185&gt;Endyr,0,Tariff_Cap)</f>
        <v>0.5668</v>
      </c>
      <c r="F185" s="1230" t="n">
        <f aca="false">D185*E185/1000</f>
        <v>1809.616692</v>
      </c>
      <c r="G185" s="1231" t="n">
        <f aca="false">[4]MMBTU!U208</f>
        <v>2095485.40475594</v>
      </c>
      <c r="H185" s="1229" t="n">
        <f aca="false">IF($A185&gt;Endyr,0,Tariff_Var)</f>
        <v>0.0064</v>
      </c>
      <c r="I185" s="1230" t="n">
        <f aca="false">G185*H185/1000</f>
        <v>13.411106590438</v>
      </c>
      <c r="J185" s="1232" t="n">
        <f aca="false">SUM(F185,I185)</f>
        <v>1823.02779859044</v>
      </c>
      <c r="K185" s="1233" t="n">
        <f aca="false">VLOOKUP($A185,Curves_Table,Escalation!$O$291)</f>
        <v>1.59733039824151</v>
      </c>
      <c r="L185" s="1234" t="n">
        <f aca="false">J185*K185</f>
        <v>2911.9777195278</v>
      </c>
      <c r="M185" s="1235" t="str">
        <f aca="false">IF(MONTH($A185)=12,SUM(L174:L185)," ")</f>
        <v> </v>
      </c>
    </row>
    <row r="186" customFormat="false" ht="12.75" hidden="false" customHeight="false" outlineLevel="0" collapsed="false">
      <c r="A186" s="1226" t="n">
        <f aca="false">EDATE(A185,1)</f>
        <v>42248</v>
      </c>
      <c r="C186" s="1227" t="n">
        <f aca="false">A187-A186</f>
        <v>30</v>
      </c>
      <c r="D186" s="1228" t="n">
        <f aca="false">(IF($A186&gt;Endyr,0,IF($A186&lt;Assm!$F$32,G186,Capacity*C186)))*(1+RAROC!$N$12)</f>
        <v>3089700</v>
      </c>
      <c r="E186" s="1229" t="n">
        <f aca="false">IF($A186&gt;Endyr,0,Tariff_Cap)</f>
        <v>0.5668</v>
      </c>
      <c r="F186" s="1230" t="n">
        <f aca="false">D186*E186/1000</f>
        <v>1751.24196</v>
      </c>
      <c r="G186" s="1231" t="n">
        <f aca="false">[4]MMBTU!U209</f>
        <v>2027889.10137672</v>
      </c>
      <c r="H186" s="1229" t="n">
        <f aca="false">IF($A186&gt;Endyr,0,Tariff_Var)</f>
        <v>0.0064</v>
      </c>
      <c r="I186" s="1230" t="n">
        <f aca="false">G186*H186/1000</f>
        <v>12.978490248811</v>
      </c>
      <c r="J186" s="1232" t="n">
        <f aca="false">SUM(F186,I186)</f>
        <v>1764.22045024881</v>
      </c>
      <c r="K186" s="1233" t="n">
        <f aca="false">VLOOKUP($A186,Curves_Table,Escalation!$O$291)</f>
        <v>1.59733039824151</v>
      </c>
      <c r="L186" s="1234" t="n">
        <f aca="false">J186*K186</f>
        <v>2818.04295438175</v>
      </c>
      <c r="M186" s="1235" t="str">
        <f aca="false">IF(MONTH($A186)=12,SUM(L175:L186)," ")</f>
        <v> </v>
      </c>
    </row>
    <row r="187" customFormat="false" ht="12.75" hidden="false" customHeight="false" outlineLevel="0" collapsed="false">
      <c r="A187" s="1226" t="n">
        <f aca="false">EDATE(A186,1)</f>
        <v>42278</v>
      </c>
      <c r="C187" s="1227" t="n">
        <f aca="false">A188-A187</f>
        <v>31</v>
      </c>
      <c r="D187" s="1228" t="n">
        <f aca="false">(IF($A187&gt;Endyr,0,IF($A187&lt;Assm!$F$32,G187,Capacity*C187)))*(1+RAROC!$N$12)</f>
        <v>3192690</v>
      </c>
      <c r="E187" s="1229" t="n">
        <f aca="false">IF($A187&gt;Endyr,0,Tariff_Cap)</f>
        <v>0.5668</v>
      </c>
      <c r="F187" s="1230" t="n">
        <f aca="false">D187*E187/1000</f>
        <v>1809.616692</v>
      </c>
      <c r="G187" s="1231" t="n">
        <f aca="false">[4]MMBTU!U210</f>
        <v>2095485.40475594</v>
      </c>
      <c r="H187" s="1229" t="n">
        <f aca="false">IF($A187&gt;Endyr,0,Tariff_Var)</f>
        <v>0.0064</v>
      </c>
      <c r="I187" s="1230" t="n">
        <f aca="false">G187*H187/1000</f>
        <v>13.411106590438</v>
      </c>
      <c r="J187" s="1232" t="n">
        <f aca="false">SUM(F187,I187)</f>
        <v>1823.02779859044</v>
      </c>
      <c r="K187" s="1233" t="n">
        <f aca="false">VLOOKUP($A187,Curves_Table,Escalation!$O$291)</f>
        <v>1.59733039824151</v>
      </c>
      <c r="L187" s="1234" t="n">
        <f aca="false">J187*K187</f>
        <v>2911.9777195278</v>
      </c>
      <c r="M187" s="1235" t="str">
        <f aca="false">IF(MONTH($A187)=12,SUM(L176:L187)," ")</f>
        <v> </v>
      </c>
    </row>
    <row r="188" customFormat="false" ht="12.75" hidden="false" customHeight="false" outlineLevel="0" collapsed="false">
      <c r="A188" s="1226" t="n">
        <f aca="false">EDATE(A187,1)</f>
        <v>42309</v>
      </c>
      <c r="C188" s="1227" t="n">
        <f aca="false">A189-A188</f>
        <v>30</v>
      </c>
      <c r="D188" s="1228" t="n">
        <f aca="false">(IF($A188&gt;Endyr,0,IF($A188&lt;Assm!$F$32,G188,Capacity*C188)))*(1+RAROC!$N$12)</f>
        <v>3089700</v>
      </c>
      <c r="E188" s="1229" t="n">
        <f aca="false">IF($A188&gt;Endyr,0,Tariff_Cap)</f>
        <v>0.5668</v>
      </c>
      <c r="F188" s="1230" t="n">
        <f aca="false">D188*E188/1000</f>
        <v>1751.24196</v>
      </c>
      <c r="G188" s="1231" t="n">
        <f aca="false">[4]MMBTU!U211</f>
        <v>2027889.10137672</v>
      </c>
      <c r="H188" s="1229" t="n">
        <f aca="false">IF($A188&gt;Endyr,0,Tariff_Var)</f>
        <v>0.0064</v>
      </c>
      <c r="I188" s="1230" t="n">
        <f aca="false">G188*H188/1000</f>
        <v>12.978490248811</v>
      </c>
      <c r="J188" s="1232" t="n">
        <f aca="false">SUM(F188,I188)</f>
        <v>1764.22045024881</v>
      </c>
      <c r="K188" s="1233" t="n">
        <f aca="false">VLOOKUP($A188,Curves_Table,Escalation!$O$291)</f>
        <v>1.59733039824151</v>
      </c>
      <c r="L188" s="1234" t="n">
        <f aca="false">J188*K188</f>
        <v>2818.04295438175</v>
      </c>
      <c r="M188" s="1235" t="str">
        <f aca="false">IF(MONTH($A188)=12,SUM(L177:L188)," ")</f>
        <v> </v>
      </c>
    </row>
    <row r="189" customFormat="false" ht="12.75" hidden="false" customHeight="false" outlineLevel="0" collapsed="false">
      <c r="A189" s="1226" t="n">
        <f aca="false">EDATE(A188,1)</f>
        <v>42339</v>
      </c>
      <c r="C189" s="1227" t="n">
        <f aca="false">A190-A189</f>
        <v>31</v>
      </c>
      <c r="D189" s="1228" t="n">
        <f aca="false">(IF($A189&gt;Endyr,0,IF($A189&lt;Assm!$F$32,G189,Capacity*C189)))*(1+RAROC!$N$12)</f>
        <v>3192690</v>
      </c>
      <c r="E189" s="1229" t="n">
        <f aca="false">IF($A189&gt;Endyr,0,Tariff_Cap)</f>
        <v>0.5668</v>
      </c>
      <c r="F189" s="1230" t="n">
        <f aca="false">D189*E189/1000</f>
        <v>1809.616692</v>
      </c>
      <c r="G189" s="1231" t="n">
        <f aca="false">[4]MMBTU!U212</f>
        <v>2095485.40475594</v>
      </c>
      <c r="H189" s="1229" t="n">
        <f aca="false">IF($A189&gt;Endyr,0,Tariff_Var)</f>
        <v>0.0064</v>
      </c>
      <c r="I189" s="1230" t="n">
        <f aca="false">G189*H189/1000</f>
        <v>13.411106590438</v>
      </c>
      <c r="J189" s="1232" t="n">
        <f aca="false">SUM(F189,I189)</f>
        <v>1823.02779859044</v>
      </c>
      <c r="K189" s="1233" t="n">
        <f aca="false">VLOOKUP($A189,Curves_Table,Escalation!$O$291)</f>
        <v>1.59733039824151</v>
      </c>
      <c r="L189" s="1234" t="n">
        <f aca="false">J189*K189</f>
        <v>2911.9777195278</v>
      </c>
      <c r="M189" s="1235" t="n">
        <f aca="false">IF(MONTH($A189)=12,SUM(L178:L189)," ")</f>
        <v>34004.3898750948</v>
      </c>
    </row>
    <row r="190" customFormat="false" ht="12.75" hidden="false" customHeight="false" outlineLevel="0" collapsed="false">
      <c r="A190" s="1226" t="n">
        <f aca="false">EDATE(A189,1)</f>
        <v>42370</v>
      </c>
      <c r="C190" s="1227" t="n">
        <f aca="false">A191-A190</f>
        <v>31</v>
      </c>
      <c r="D190" s="1228" t="n">
        <f aca="false">(IF($A190&gt;Endyr,0,IF($A190&lt;Assm!$F$32,G190,Capacity*C190)))*(1+RAROC!$N$12)</f>
        <v>3192690</v>
      </c>
      <c r="E190" s="1229" t="n">
        <f aca="false">IF($A190&gt;Endyr,0,Tariff_Cap)</f>
        <v>0.5668</v>
      </c>
      <c r="F190" s="1230" t="n">
        <f aca="false">D190*E190/1000</f>
        <v>1809.616692</v>
      </c>
      <c r="G190" s="1231" t="n">
        <f aca="false">[4]MMBTU!U213</f>
        <v>2095485.40475594</v>
      </c>
      <c r="H190" s="1229" t="n">
        <f aca="false">IF($A190&gt;Endyr,0,Tariff_Var)</f>
        <v>0.0064</v>
      </c>
      <c r="I190" s="1230" t="n">
        <f aca="false">G190*H190/1000</f>
        <v>13.411106590438</v>
      </c>
      <c r="J190" s="1232" t="n">
        <f aca="false">SUM(F190,I190)</f>
        <v>1823.02779859044</v>
      </c>
      <c r="K190" s="1233" t="n">
        <f aca="false">VLOOKUP($A190,Curves_Table,Escalation!$O$291)</f>
        <v>1.59733039824151</v>
      </c>
      <c r="L190" s="1234" t="n">
        <f aca="false">J190*K190</f>
        <v>2911.9777195278</v>
      </c>
      <c r="M190" s="1235" t="str">
        <f aca="false">IF(MONTH($A190)=12,SUM(L179:L190)," ")</f>
        <v> </v>
      </c>
    </row>
    <row r="191" customFormat="false" ht="12.75" hidden="false" customHeight="false" outlineLevel="0" collapsed="false">
      <c r="A191" s="1226" t="n">
        <f aca="false">EDATE(A190,1)</f>
        <v>42401</v>
      </c>
      <c r="C191" s="1227" t="n">
        <f aca="false">A192-A191</f>
        <v>29</v>
      </c>
      <c r="D191" s="1228" t="n">
        <f aca="false">(IF($A191&gt;Endyr,0,IF($A191&lt;Assm!$F$32,G191,Capacity*C191)))*(1+RAROC!$N$12)</f>
        <v>2986710</v>
      </c>
      <c r="E191" s="1229" t="n">
        <f aca="false">IF($A191&gt;Endyr,0,Tariff_Cap)</f>
        <v>0.5668</v>
      </c>
      <c r="F191" s="1230" t="n">
        <f aca="false">D191*E191/1000</f>
        <v>1692.867228</v>
      </c>
      <c r="G191" s="1231" t="n">
        <f aca="false">[4]MMBTU!U214</f>
        <v>1960292.7979975</v>
      </c>
      <c r="H191" s="1229" t="n">
        <f aca="false">IF($A191&gt;Endyr,0,Tariff_Var)</f>
        <v>0.0064</v>
      </c>
      <c r="I191" s="1230" t="n">
        <f aca="false">G191*H191/1000</f>
        <v>12.545873907184</v>
      </c>
      <c r="J191" s="1232" t="n">
        <f aca="false">SUM(F191,I191)</f>
        <v>1705.41310190718</v>
      </c>
      <c r="K191" s="1233" t="n">
        <f aca="false">VLOOKUP($A191,Curves_Table,Escalation!$O$291)</f>
        <v>1.59733039824151</v>
      </c>
      <c r="L191" s="1234" t="n">
        <f aca="false">J191*K191</f>
        <v>2724.10818923569</v>
      </c>
      <c r="M191" s="1235" t="str">
        <f aca="false">IF(MONTH($A191)=12,SUM(L180:L191)," ")</f>
        <v> </v>
      </c>
    </row>
    <row r="192" customFormat="false" ht="12.75" hidden="false" customHeight="false" outlineLevel="0" collapsed="false">
      <c r="A192" s="1226" t="n">
        <f aca="false">EDATE(A191,1)</f>
        <v>42430</v>
      </c>
      <c r="C192" s="1227" t="n">
        <f aca="false">A193-A192</f>
        <v>31</v>
      </c>
      <c r="D192" s="1228" t="n">
        <f aca="false">(IF($A192&gt;Endyr,0,IF($A192&lt;Assm!$F$32,G192,Capacity*C192)))*(1+RAROC!$N$12)</f>
        <v>3192690</v>
      </c>
      <c r="E192" s="1229" t="n">
        <f aca="false">IF($A192&gt;Endyr,0,Tariff_Cap)</f>
        <v>0.5668</v>
      </c>
      <c r="F192" s="1230" t="n">
        <f aca="false">D192*E192/1000</f>
        <v>1809.616692</v>
      </c>
      <c r="G192" s="1231" t="n">
        <f aca="false">[4]MMBTU!U215</f>
        <v>2095485.40475594</v>
      </c>
      <c r="H192" s="1229" t="n">
        <f aca="false">IF($A192&gt;Endyr,0,Tariff_Var)</f>
        <v>0.0064</v>
      </c>
      <c r="I192" s="1230" t="n">
        <f aca="false">G192*H192/1000</f>
        <v>13.411106590438</v>
      </c>
      <c r="J192" s="1232" t="n">
        <f aca="false">SUM(F192,I192)</f>
        <v>1823.02779859044</v>
      </c>
      <c r="K192" s="1233" t="n">
        <f aca="false">VLOOKUP($A192,Curves_Table,Escalation!$O$291)</f>
        <v>1.59733039824151</v>
      </c>
      <c r="L192" s="1234" t="n">
        <f aca="false">J192*K192</f>
        <v>2911.9777195278</v>
      </c>
      <c r="M192" s="1235" t="str">
        <f aca="false">IF(MONTH($A192)=12,SUM(L181:L192)," ")</f>
        <v> </v>
      </c>
    </row>
    <row r="193" customFormat="false" ht="12.75" hidden="false" customHeight="false" outlineLevel="0" collapsed="false">
      <c r="A193" s="1226" t="n">
        <f aca="false">EDATE(A192,1)</f>
        <v>42461</v>
      </c>
      <c r="C193" s="1227" t="n">
        <f aca="false">A194-A193</f>
        <v>30</v>
      </c>
      <c r="D193" s="1228" t="n">
        <f aca="false">(IF($A193&gt;Endyr,0,IF($A193&lt;Assm!$F$32,G193,Capacity*C193)))*(1+RAROC!$N$12)</f>
        <v>3089700</v>
      </c>
      <c r="E193" s="1229" t="n">
        <f aca="false">IF($A193&gt;Endyr,0,Tariff_Cap)</f>
        <v>0.5668</v>
      </c>
      <c r="F193" s="1230" t="n">
        <f aca="false">D193*E193/1000</f>
        <v>1751.24196</v>
      </c>
      <c r="G193" s="1231" t="n">
        <f aca="false">[4]MMBTU!U216</f>
        <v>2027889.10137672</v>
      </c>
      <c r="H193" s="1229" t="n">
        <f aca="false">IF($A193&gt;Endyr,0,Tariff_Var)</f>
        <v>0.0064</v>
      </c>
      <c r="I193" s="1230" t="n">
        <f aca="false">G193*H193/1000</f>
        <v>12.978490248811</v>
      </c>
      <c r="J193" s="1232" t="n">
        <f aca="false">SUM(F193,I193)</f>
        <v>1764.22045024881</v>
      </c>
      <c r="K193" s="1233" t="n">
        <f aca="false">VLOOKUP($A193,Curves_Table,Escalation!$O$291)</f>
        <v>1.59733039824151</v>
      </c>
      <c r="L193" s="1234" t="n">
        <f aca="false">J193*K193</f>
        <v>2818.04295438175</v>
      </c>
      <c r="M193" s="1235" t="str">
        <f aca="false">IF(MONTH($A193)=12,SUM(L182:L193)," ")</f>
        <v> </v>
      </c>
    </row>
    <row r="194" customFormat="false" ht="12.75" hidden="false" customHeight="false" outlineLevel="0" collapsed="false">
      <c r="A194" s="1226" t="n">
        <f aca="false">EDATE(A193,1)</f>
        <v>42491</v>
      </c>
      <c r="C194" s="1227" t="n">
        <f aca="false">A195-A194</f>
        <v>31</v>
      </c>
      <c r="D194" s="1228" t="n">
        <f aca="false">(IF($A194&gt;Endyr,0,IF($A194&lt;Assm!$F$32,G194,Capacity*C194)))*(1+RAROC!$N$12)</f>
        <v>3192690</v>
      </c>
      <c r="E194" s="1229" t="n">
        <f aca="false">IF($A194&gt;Endyr,0,Tariff_Cap)</f>
        <v>0.5668</v>
      </c>
      <c r="F194" s="1230" t="n">
        <f aca="false">D194*E194/1000</f>
        <v>1809.616692</v>
      </c>
      <c r="G194" s="1231" t="n">
        <f aca="false">[4]MMBTU!U217</f>
        <v>2095485.40475594</v>
      </c>
      <c r="H194" s="1229" t="n">
        <f aca="false">IF($A194&gt;Endyr,0,Tariff_Var)</f>
        <v>0.0064</v>
      </c>
      <c r="I194" s="1230" t="n">
        <f aca="false">G194*H194/1000</f>
        <v>13.411106590438</v>
      </c>
      <c r="J194" s="1232" t="n">
        <f aca="false">SUM(F194,I194)</f>
        <v>1823.02779859044</v>
      </c>
      <c r="K194" s="1233" t="n">
        <f aca="false">VLOOKUP($A194,Curves_Table,Escalation!$O$291)</f>
        <v>1.63898344452994</v>
      </c>
      <c r="L194" s="1234" t="n">
        <f aca="false">J194*K194</f>
        <v>2987.9123808076</v>
      </c>
      <c r="M194" s="1235" t="str">
        <f aca="false">IF(MONTH($A194)=12,SUM(L183:L194)," ")</f>
        <v> </v>
      </c>
    </row>
    <row r="195" customFormat="false" ht="12.75" hidden="false" customHeight="false" outlineLevel="0" collapsed="false">
      <c r="A195" s="1226" t="n">
        <f aca="false">EDATE(A194,1)</f>
        <v>42522</v>
      </c>
      <c r="C195" s="1227" t="n">
        <f aca="false">A196-A195</f>
        <v>30</v>
      </c>
      <c r="D195" s="1228" t="n">
        <f aca="false">(IF($A195&gt;Endyr,0,IF($A195&lt;Assm!$F$32,G195,Capacity*C195)))*(1+RAROC!$N$12)</f>
        <v>3089700</v>
      </c>
      <c r="E195" s="1229" t="n">
        <f aca="false">IF($A195&gt;Endyr,0,Tariff_Cap)</f>
        <v>0.5668</v>
      </c>
      <c r="F195" s="1230" t="n">
        <f aca="false">D195*E195/1000</f>
        <v>1751.24196</v>
      </c>
      <c r="G195" s="1231" t="n">
        <f aca="false">[4]MMBTU!U218</f>
        <v>2027889.10137672</v>
      </c>
      <c r="H195" s="1229" t="n">
        <f aca="false">IF($A195&gt;Endyr,0,Tariff_Var)</f>
        <v>0.0064</v>
      </c>
      <c r="I195" s="1230" t="n">
        <f aca="false">G195*H195/1000</f>
        <v>12.978490248811</v>
      </c>
      <c r="J195" s="1232" t="n">
        <f aca="false">SUM(F195,I195)</f>
        <v>1764.22045024881</v>
      </c>
      <c r="K195" s="1233" t="n">
        <f aca="false">VLOOKUP($A195,Curves_Table,Escalation!$O$291)</f>
        <v>1.63898344452994</v>
      </c>
      <c r="L195" s="1234" t="n">
        <f aca="false">J195*K195</f>
        <v>2891.52811045896</v>
      </c>
      <c r="M195" s="1235" t="str">
        <f aca="false">IF(MONTH($A195)=12,SUM(L184:L195)," ")</f>
        <v> </v>
      </c>
    </row>
    <row r="196" customFormat="false" ht="12.75" hidden="false" customHeight="false" outlineLevel="0" collapsed="false">
      <c r="A196" s="1226" t="n">
        <f aca="false">EDATE(A195,1)</f>
        <v>42552</v>
      </c>
      <c r="C196" s="1227" t="n">
        <f aca="false">A197-A196</f>
        <v>31</v>
      </c>
      <c r="D196" s="1228" t="n">
        <f aca="false">(IF($A196&gt;Endyr,0,IF($A196&lt;Assm!$F$32,G196,Capacity*C196)))*(1+RAROC!$N$12)</f>
        <v>3192690</v>
      </c>
      <c r="E196" s="1229" t="n">
        <f aca="false">IF($A196&gt;Endyr,0,Tariff_Cap)</f>
        <v>0.5668</v>
      </c>
      <c r="F196" s="1230" t="n">
        <f aca="false">D196*E196/1000</f>
        <v>1809.616692</v>
      </c>
      <c r="G196" s="1231" t="n">
        <f aca="false">[4]MMBTU!U219</f>
        <v>2095485.40475594</v>
      </c>
      <c r="H196" s="1229" t="n">
        <f aca="false">IF($A196&gt;Endyr,0,Tariff_Var)</f>
        <v>0.0064</v>
      </c>
      <c r="I196" s="1230" t="n">
        <f aca="false">G196*H196/1000</f>
        <v>13.411106590438</v>
      </c>
      <c r="J196" s="1232" t="n">
        <f aca="false">SUM(F196,I196)</f>
        <v>1823.02779859044</v>
      </c>
      <c r="K196" s="1233" t="n">
        <f aca="false">VLOOKUP($A196,Curves_Table,Escalation!$O$291)</f>
        <v>1.63898344452994</v>
      </c>
      <c r="L196" s="1234" t="n">
        <f aca="false">J196*K196</f>
        <v>2987.9123808076</v>
      </c>
      <c r="M196" s="1235" t="str">
        <f aca="false">IF(MONTH($A196)=12,SUM(L185:L196)," ")</f>
        <v> </v>
      </c>
    </row>
    <row r="197" customFormat="false" ht="12.75" hidden="false" customHeight="false" outlineLevel="0" collapsed="false">
      <c r="A197" s="1226" t="n">
        <f aca="false">EDATE(A196,1)</f>
        <v>42583</v>
      </c>
      <c r="C197" s="1227" t="n">
        <f aca="false">A198-A197</f>
        <v>31</v>
      </c>
      <c r="D197" s="1228" t="n">
        <f aca="false">(IF($A197&gt;Endyr,0,IF($A197&lt;Assm!$F$32,G197,Capacity*C197)))*(1+RAROC!$N$12)</f>
        <v>3192690</v>
      </c>
      <c r="E197" s="1229" t="n">
        <f aca="false">IF($A197&gt;Endyr,0,Tariff_Cap)</f>
        <v>0.5668</v>
      </c>
      <c r="F197" s="1230" t="n">
        <f aca="false">D197*E197/1000</f>
        <v>1809.616692</v>
      </c>
      <c r="G197" s="1231" t="n">
        <f aca="false">[4]MMBTU!U220</f>
        <v>2095485.40475594</v>
      </c>
      <c r="H197" s="1229" t="n">
        <f aca="false">IF($A197&gt;Endyr,0,Tariff_Var)</f>
        <v>0.0064</v>
      </c>
      <c r="I197" s="1230" t="n">
        <f aca="false">G197*H197/1000</f>
        <v>13.411106590438</v>
      </c>
      <c r="J197" s="1232" t="n">
        <f aca="false">SUM(F197,I197)</f>
        <v>1823.02779859044</v>
      </c>
      <c r="K197" s="1233" t="n">
        <f aca="false">VLOOKUP($A197,Curves_Table,Escalation!$O$291)</f>
        <v>1.63898344452994</v>
      </c>
      <c r="L197" s="1234" t="n">
        <f aca="false">J197*K197</f>
        <v>2987.9123808076</v>
      </c>
      <c r="M197" s="1235" t="str">
        <f aca="false">IF(MONTH($A197)=12,SUM(L186:L197)," ")</f>
        <v> </v>
      </c>
    </row>
    <row r="198" customFormat="false" ht="12.75" hidden="false" customHeight="false" outlineLevel="0" collapsed="false">
      <c r="A198" s="1226" t="n">
        <f aca="false">EDATE(A197,1)</f>
        <v>42614</v>
      </c>
      <c r="C198" s="1227" t="n">
        <f aca="false">A199-A198</f>
        <v>30</v>
      </c>
      <c r="D198" s="1228" t="n">
        <f aca="false">(IF($A198&gt;Endyr,0,IF($A198&lt;Assm!$F$32,G198,Capacity*C198)))*(1+RAROC!$N$12)</f>
        <v>3089700</v>
      </c>
      <c r="E198" s="1229" t="n">
        <f aca="false">IF($A198&gt;Endyr,0,Tariff_Cap)</f>
        <v>0.5668</v>
      </c>
      <c r="F198" s="1230" t="n">
        <f aca="false">D198*E198/1000</f>
        <v>1751.24196</v>
      </c>
      <c r="G198" s="1231" t="n">
        <f aca="false">[4]MMBTU!U221</f>
        <v>2027889.10137672</v>
      </c>
      <c r="H198" s="1229" t="n">
        <f aca="false">IF($A198&gt;Endyr,0,Tariff_Var)</f>
        <v>0.0064</v>
      </c>
      <c r="I198" s="1230" t="n">
        <f aca="false">G198*H198/1000</f>
        <v>12.978490248811</v>
      </c>
      <c r="J198" s="1232" t="n">
        <f aca="false">SUM(F198,I198)</f>
        <v>1764.22045024881</v>
      </c>
      <c r="K198" s="1233" t="n">
        <f aca="false">VLOOKUP($A198,Curves_Table,Escalation!$O$291)</f>
        <v>1.63898344452994</v>
      </c>
      <c r="L198" s="1234" t="n">
        <f aca="false">J198*K198</f>
        <v>2891.52811045896</v>
      </c>
      <c r="M198" s="1235" t="str">
        <f aca="false">IF(MONTH($A198)=12,SUM(L187:L198)," ")</f>
        <v> </v>
      </c>
    </row>
    <row r="199" customFormat="false" ht="12.75" hidden="false" customHeight="false" outlineLevel="0" collapsed="false">
      <c r="A199" s="1226" t="n">
        <f aca="false">EDATE(A198,1)</f>
        <v>42644</v>
      </c>
      <c r="C199" s="1227" t="n">
        <f aca="false">A200-A199</f>
        <v>31</v>
      </c>
      <c r="D199" s="1228" t="n">
        <f aca="false">(IF($A199&gt;Endyr,0,IF($A199&lt;Assm!$F$32,G199,Capacity*C199)))*(1+RAROC!$N$12)</f>
        <v>3192690</v>
      </c>
      <c r="E199" s="1229" t="n">
        <f aca="false">IF($A199&gt;Endyr,0,Tariff_Cap)</f>
        <v>0.5668</v>
      </c>
      <c r="F199" s="1230" t="n">
        <f aca="false">D199*E199/1000</f>
        <v>1809.616692</v>
      </c>
      <c r="G199" s="1231" t="n">
        <f aca="false">[4]MMBTU!U222</f>
        <v>2095485.40475594</v>
      </c>
      <c r="H199" s="1229" t="n">
        <f aca="false">IF($A199&gt;Endyr,0,Tariff_Var)</f>
        <v>0.0064</v>
      </c>
      <c r="I199" s="1230" t="n">
        <f aca="false">G199*H199/1000</f>
        <v>13.411106590438</v>
      </c>
      <c r="J199" s="1232" t="n">
        <f aca="false">SUM(F199,I199)</f>
        <v>1823.02779859044</v>
      </c>
      <c r="K199" s="1233" t="n">
        <f aca="false">VLOOKUP($A199,Curves_Table,Escalation!$O$291)</f>
        <v>1.63898344452994</v>
      </c>
      <c r="L199" s="1234" t="n">
        <f aca="false">J199*K199</f>
        <v>2987.9123808076</v>
      </c>
      <c r="M199" s="1235" t="str">
        <f aca="false">IF(MONTH($A199)=12,SUM(L188:L199)," ")</f>
        <v> </v>
      </c>
    </row>
    <row r="200" customFormat="false" ht="12.75" hidden="false" customHeight="false" outlineLevel="0" collapsed="false">
      <c r="A200" s="1226" t="n">
        <f aca="false">EDATE(A199,1)</f>
        <v>42675</v>
      </c>
      <c r="C200" s="1227" t="n">
        <f aca="false">A201-A200</f>
        <v>30</v>
      </c>
      <c r="D200" s="1228" t="n">
        <f aca="false">(IF($A200&gt;Endyr,0,IF($A200&lt;Assm!$F$32,G200,Capacity*C200)))*(1+RAROC!$N$12)</f>
        <v>3089700</v>
      </c>
      <c r="E200" s="1229" t="n">
        <f aca="false">IF($A200&gt;Endyr,0,Tariff_Cap)</f>
        <v>0.5668</v>
      </c>
      <c r="F200" s="1230" t="n">
        <f aca="false">D200*E200/1000</f>
        <v>1751.24196</v>
      </c>
      <c r="G200" s="1231" t="n">
        <f aca="false">[4]MMBTU!U223</f>
        <v>2027889.10137672</v>
      </c>
      <c r="H200" s="1229" t="n">
        <f aca="false">IF($A200&gt;Endyr,0,Tariff_Var)</f>
        <v>0.0064</v>
      </c>
      <c r="I200" s="1230" t="n">
        <f aca="false">G200*H200/1000</f>
        <v>12.978490248811</v>
      </c>
      <c r="J200" s="1232" t="n">
        <f aca="false">SUM(F200,I200)</f>
        <v>1764.22045024881</v>
      </c>
      <c r="K200" s="1233" t="n">
        <f aca="false">VLOOKUP($A200,Curves_Table,Escalation!$O$291)</f>
        <v>1.63898344452994</v>
      </c>
      <c r="L200" s="1234" t="n">
        <f aca="false">J200*K200</f>
        <v>2891.52811045896</v>
      </c>
      <c r="M200" s="1235" t="str">
        <f aca="false">IF(MONTH($A200)=12,SUM(L189:L200)," ")</f>
        <v> </v>
      </c>
    </row>
    <row r="201" customFormat="false" ht="12.75" hidden="false" customHeight="false" outlineLevel="0" collapsed="false">
      <c r="A201" s="1226" t="n">
        <f aca="false">EDATE(A200,1)</f>
        <v>42705</v>
      </c>
      <c r="C201" s="1227" t="n">
        <f aca="false">A202-A201</f>
        <v>31</v>
      </c>
      <c r="D201" s="1228" t="n">
        <f aca="false">(IF($A201&gt;Endyr,0,IF($A201&lt;Assm!$F$32,G201,Capacity*C201)))*(1+RAROC!$N$12)</f>
        <v>3192690</v>
      </c>
      <c r="E201" s="1229" t="n">
        <f aca="false">IF($A201&gt;Endyr,0,Tariff_Cap)</f>
        <v>0.5668</v>
      </c>
      <c r="F201" s="1230" t="n">
        <f aca="false">D201*E201/1000</f>
        <v>1809.616692</v>
      </c>
      <c r="G201" s="1231" t="n">
        <f aca="false">[4]MMBTU!U224</f>
        <v>2095485.40475594</v>
      </c>
      <c r="H201" s="1229" t="n">
        <f aca="false">IF($A201&gt;Endyr,0,Tariff_Var)</f>
        <v>0.0064</v>
      </c>
      <c r="I201" s="1230" t="n">
        <f aca="false">G201*H201/1000</f>
        <v>13.411106590438</v>
      </c>
      <c r="J201" s="1232" t="n">
        <f aca="false">SUM(F201,I201)</f>
        <v>1823.02779859044</v>
      </c>
      <c r="K201" s="1233" t="n">
        <f aca="false">VLOOKUP($A201,Curves_Table,Escalation!$O$291)</f>
        <v>1.63898344452994</v>
      </c>
      <c r="L201" s="1234" t="n">
        <f aca="false">J201*K201</f>
        <v>2987.9123808076</v>
      </c>
      <c r="M201" s="1235" t="n">
        <f aca="false">IF(MONTH($A201)=12,SUM(L190:L201)," ")</f>
        <v>34980.2528180879</v>
      </c>
    </row>
    <row r="202" customFormat="false" ht="12.75" hidden="false" customHeight="false" outlineLevel="0" collapsed="false">
      <c r="A202" s="1226" t="n">
        <f aca="false">EDATE(A201,1)</f>
        <v>42736</v>
      </c>
      <c r="C202" s="1227" t="n">
        <f aca="false">A203-A202</f>
        <v>31</v>
      </c>
      <c r="D202" s="1228" t="n">
        <f aca="false">(IF($A202&gt;Endyr,0,IF($A202&lt;Assm!$F$32,G202,Capacity*C202)))*(1+RAROC!$N$12)</f>
        <v>3192690</v>
      </c>
      <c r="E202" s="1229" t="n">
        <f aca="false">IF($A202&gt;Endyr,0,Tariff_Cap)</f>
        <v>0.5668</v>
      </c>
      <c r="F202" s="1230" t="n">
        <f aca="false">D202*E202/1000</f>
        <v>1809.616692</v>
      </c>
      <c r="G202" s="1231" t="n">
        <f aca="false">[4]MMBTU!U225</f>
        <v>2095485.40475594</v>
      </c>
      <c r="H202" s="1229" t="n">
        <f aca="false">IF($A202&gt;Endyr,0,Tariff_Var)</f>
        <v>0.0064</v>
      </c>
      <c r="I202" s="1230" t="n">
        <f aca="false">G202*H202/1000</f>
        <v>13.411106590438</v>
      </c>
      <c r="J202" s="1232" t="n">
        <f aca="false">SUM(F202,I202)</f>
        <v>1823.02779859044</v>
      </c>
      <c r="K202" s="1233" t="n">
        <f aca="false">VLOOKUP($A202,Curves_Table,Escalation!$O$291)</f>
        <v>1.63898344452994</v>
      </c>
      <c r="L202" s="1234" t="n">
        <f aca="false">J202*K202</f>
        <v>2987.9123808076</v>
      </c>
      <c r="M202" s="1235" t="str">
        <f aca="false">IF(MONTH($A202)=12,SUM(L191:L202)," ")</f>
        <v> </v>
      </c>
    </row>
    <row r="203" customFormat="false" ht="12.75" hidden="false" customHeight="false" outlineLevel="0" collapsed="false">
      <c r="A203" s="1226" t="n">
        <f aca="false">EDATE(A202,1)</f>
        <v>42767</v>
      </c>
      <c r="C203" s="1227" t="n">
        <f aca="false">A204-A203</f>
        <v>28</v>
      </c>
      <c r="D203" s="1228" t="n">
        <f aca="false">(IF($A203&gt;Endyr,0,IF($A203&lt;Assm!$F$32,G203,Capacity*C203)))*(1+RAROC!$N$12)</f>
        <v>2883720</v>
      </c>
      <c r="E203" s="1229" t="n">
        <f aca="false">IF($A203&gt;Endyr,0,Tariff_Cap)</f>
        <v>0.5668</v>
      </c>
      <c r="F203" s="1230" t="n">
        <f aca="false">D203*E203/1000</f>
        <v>1634.492496</v>
      </c>
      <c r="G203" s="1231" t="n">
        <f aca="false">[4]MMBTU!U226</f>
        <v>1892696.49461827</v>
      </c>
      <c r="H203" s="1229" t="n">
        <f aca="false">IF($A203&gt;Endyr,0,Tariff_Var)</f>
        <v>0.0064</v>
      </c>
      <c r="I203" s="1230" t="n">
        <f aca="false">G203*H203/1000</f>
        <v>12.113257565557</v>
      </c>
      <c r="J203" s="1232" t="n">
        <f aca="false">SUM(F203,I203)</f>
        <v>1646.60575356556</v>
      </c>
      <c r="K203" s="1233" t="n">
        <f aca="false">VLOOKUP($A203,Curves_Table,Escalation!$O$291)</f>
        <v>1.63898344452994</v>
      </c>
      <c r="L203" s="1234" t="n">
        <f aca="false">J203*K203</f>
        <v>2698.7595697617</v>
      </c>
      <c r="M203" s="1235" t="str">
        <f aca="false">IF(MONTH($A203)=12,SUM(L192:L203)," ")</f>
        <v> </v>
      </c>
    </row>
    <row r="204" customFormat="false" ht="12.75" hidden="false" customHeight="false" outlineLevel="0" collapsed="false">
      <c r="A204" s="1226" t="n">
        <f aca="false">EDATE(A203,1)</f>
        <v>42795</v>
      </c>
      <c r="C204" s="1227" t="n">
        <f aca="false">A205-A204</f>
        <v>31</v>
      </c>
      <c r="D204" s="1228" t="n">
        <f aca="false">(IF($A204&gt;Endyr,0,IF($A204&lt;Assm!$F$32,G204,Capacity*C204)))*(1+RAROC!$N$12)</f>
        <v>3192690</v>
      </c>
      <c r="E204" s="1229" t="n">
        <f aca="false">IF($A204&gt;Endyr,0,Tariff_Cap)</f>
        <v>0.5668</v>
      </c>
      <c r="F204" s="1230" t="n">
        <f aca="false">D204*E204/1000</f>
        <v>1809.616692</v>
      </c>
      <c r="G204" s="1231" t="n">
        <f aca="false">[4]MMBTU!U227</f>
        <v>2095485.40475594</v>
      </c>
      <c r="H204" s="1229" t="n">
        <f aca="false">IF($A204&gt;Endyr,0,Tariff_Var)</f>
        <v>0.0064</v>
      </c>
      <c r="I204" s="1230" t="n">
        <f aca="false">G204*H204/1000</f>
        <v>13.411106590438</v>
      </c>
      <c r="J204" s="1232" t="n">
        <f aca="false">SUM(F204,I204)</f>
        <v>1823.02779859044</v>
      </c>
      <c r="K204" s="1233" t="n">
        <f aca="false">VLOOKUP($A204,Curves_Table,Escalation!$O$291)</f>
        <v>1.63898344452994</v>
      </c>
      <c r="L204" s="1234" t="n">
        <f aca="false">J204*K204</f>
        <v>2987.9123808076</v>
      </c>
      <c r="M204" s="1235" t="str">
        <f aca="false">IF(MONTH($A204)=12,SUM(L193:L204)," ")</f>
        <v> </v>
      </c>
    </row>
    <row r="205" customFormat="false" ht="12.75" hidden="false" customHeight="false" outlineLevel="0" collapsed="false">
      <c r="A205" s="1226" t="n">
        <f aca="false">EDATE(A204,1)</f>
        <v>42826</v>
      </c>
      <c r="C205" s="1227" t="n">
        <f aca="false">A206-A205</f>
        <v>30</v>
      </c>
      <c r="D205" s="1228" t="n">
        <f aca="false">(IF($A205&gt;Endyr,0,IF($A205&lt;Assm!$F$32,G205,Capacity*C205)))*(1+RAROC!$N$12)</f>
        <v>3089700</v>
      </c>
      <c r="E205" s="1229" t="n">
        <f aca="false">IF($A205&gt;Endyr,0,Tariff_Cap)</f>
        <v>0.5668</v>
      </c>
      <c r="F205" s="1230" t="n">
        <f aca="false">D205*E205/1000</f>
        <v>1751.24196</v>
      </c>
      <c r="G205" s="1231" t="n">
        <f aca="false">[4]MMBTU!U228</f>
        <v>2027889.10137672</v>
      </c>
      <c r="H205" s="1229" t="n">
        <f aca="false">IF($A205&gt;Endyr,0,Tariff_Var)</f>
        <v>0.0064</v>
      </c>
      <c r="I205" s="1230" t="n">
        <f aca="false">G205*H205/1000</f>
        <v>12.978490248811</v>
      </c>
      <c r="J205" s="1232" t="n">
        <f aca="false">SUM(F205,I205)</f>
        <v>1764.22045024881</v>
      </c>
      <c r="K205" s="1233" t="n">
        <f aca="false">VLOOKUP($A205,Curves_Table,Escalation!$O$291)</f>
        <v>1.63898344452994</v>
      </c>
      <c r="L205" s="1234" t="n">
        <f aca="false">J205*K205</f>
        <v>2891.52811045896</v>
      </c>
      <c r="M205" s="1235" t="str">
        <f aca="false">IF(MONTH($A205)=12,SUM(L194:L205)," ")</f>
        <v> </v>
      </c>
    </row>
    <row r="206" customFormat="false" ht="12.75" hidden="false" customHeight="false" outlineLevel="0" collapsed="false">
      <c r="A206" s="1226" t="n">
        <f aca="false">EDATE(A205,1)</f>
        <v>42856</v>
      </c>
      <c r="C206" s="1227" t="n">
        <f aca="false">A207-A206</f>
        <v>31</v>
      </c>
      <c r="D206" s="1228" t="n">
        <f aca="false">(IF($A206&gt;Endyr,0,IF($A206&lt;Assm!$F$32,G206,Capacity*C206)))*(1+RAROC!$N$12)</f>
        <v>3192690</v>
      </c>
      <c r="E206" s="1229" t="n">
        <f aca="false">IF($A206&gt;Endyr,0,Tariff_Cap)</f>
        <v>0.5668</v>
      </c>
      <c r="F206" s="1230" t="n">
        <f aca="false">D206*E206/1000</f>
        <v>1809.616692</v>
      </c>
      <c r="G206" s="1231" t="n">
        <f aca="false">[4]MMBTU!U229</f>
        <v>2095485.40475594</v>
      </c>
      <c r="H206" s="1229" t="n">
        <f aca="false">IF($A206&gt;Endyr,0,Tariff_Var)</f>
        <v>0.0064</v>
      </c>
      <c r="I206" s="1230" t="n">
        <f aca="false">G206*H206/1000</f>
        <v>13.411106590438</v>
      </c>
      <c r="J206" s="1232" t="n">
        <f aca="false">SUM(F206,I206)</f>
        <v>1823.02779859044</v>
      </c>
      <c r="K206" s="1233" t="n">
        <f aca="false">VLOOKUP($A206,Curves_Table,Escalation!$O$291)</f>
        <v>1.68254669873615</v>
      </c>
      <c r="L206" s="1234" t="n">
        <f aca="false">J206*K206</f>
        <v>3067.32940422257</v>
      </c>
      <c r="M206" s="1235" t="str">
        <f aca="false">IF(MONTH($A206)=12,SUM(L195:L206)," ")</f>
        <v> </v>
      </c>
    </row>
    <row r="207" customFormat="false" ht="12.75" hidden="false" customHeight="false" outlineLevel="0" collapsed="false">
      <c r="A207" s="1226" t="n">
        <f aca="false">EDATE(A206,1)</f>
        <v>42887</v>
      </c>
      <c r="C207" s="1227" t="n">
        <f aca="false">A208-A207</f>
        <v>30</v>
      </c>
      <c r="D207" s="1228" t="n">
        <f aca="false">(IF($A207&gt;Endyr,0,IF($A207&lt;Assm!$F$32,G207,Capacity*C207)))*(1+RAROC!$N$12)</f>
        <v>3089700</v>
      </c>
      <c r="E207" s="1229" t="n">
        <f aca="false">IF($A207&gt;Endyr,0,Tariff_Cap)</f>
        <v>0.5668</v>
      </c>
      <c r="F207" s="1230" t="n">
        <f aca="false">D207*E207/1000</f>
        <v>1751.24196</v>
      </c>
      <c r="G207" s="1231" t="n">
        <f aca="false">[4]MMBTU!U230</f>
        <v>2027889.10137672</v>
      </c>
      <c r="H207" s="1229" t="n">
        <f aca="false">IF($A207&gt;Endyr,0,Tariff_Var)</f>
        <v>0.0064</v>
      </c>
      <c r="I207" s="1230" t="n">
        <f aca="false">G207*H207/1000</f>
        <v>12.978490248811</v>
      </c>
      <c r="J207" s="1232" t="n">
        <f aca="false">SUM(F207,I207)</f>
        <v>1764.22045024881</v>
      </c>
      <c r="K207" s="1233" t="n">
        <f aca="false">VLOOKUP($A207,Curves_Table,Escalation!$O$291)</f>
        <v>1.68254669873615</v>
      </c>
      <c r="L207" s="1234" t="n">
        <f aca="false">J207*K207</f>
        <v>2968.38329440894</v>
      </c>
      <c r="M207" s="1235" t="str">
        <f aca="false">IF(MONTH($A207)=12,SUM(L196:L207)," ")</f>
        <v> </v>
      </c>
    </row>
    <row r="208" customFormat="false" ht="12.75" hidden="false" customHeight="false" outlineLevel="0" collapsed="false">
      <c r="A208" s="1226" t="n">
        <f aca="false">EDATE(A207,1)</f>
        <v>42917</v>
      </c>
      <c r="C208" s="1227" t="n">
        <f aca="false">A209-A208</f>
        <v>31</v>
      </c>
      <c r="D208" s="1228" t="n">
        <f aca="false">(IF($A208&gt;Endyr,0,IF($A208&lt;Assm!$F$32,G208,Capacity*C208)))*(1+RAROC!$N$12)</f>
        <v>3192690</v>
      </c>
      <c r="E208" s="1229" t="n">
        <f aca="false">IF($A208&gt;Endyr,0,Tariff_Cap)</f>
        <v>0.5668</v>
      </c>
      <c r="F208" s="1230" t="n">
        <f aca="false">D208*E208/1000</f>
        <v>1809.616692</v>
      </c>
      <c r="G208" s="1231" t="n">
        <f aca="false">[4]MMBTU!U231</f>
        <v>2095485.40475594</v>
      </c>
      <c r="H208" s="1229" t="n">
        <f aca="false">IF($A208&gt;Endyr,0,Tariff_Var)</f>
        <v>0.0064</v>
      </c>
      <c r="I208" s="1230" t="n">
        <f aca="false">G208*H208/1000</f>
        <v>13.411106590438</v>
      </c>
      <c r="J208" s="1232" t="n">
        <f aca="false">SUM(F208,I208)</f>
        <v>1823.02779859044</v>
      </c>
      <c r="K208" s="1233" t="n">
        <f aca="false">VLOOKUP($A208,Curves_Table,Escalation!$O$291)</f>
        <v>1.68254669873615</v>
      </c>
      <c r="L208" s="1234" t="n">
        <f aca="false">J208*K208</f>
        <v>3067.32940422257</v>
      </c>
      <c r="M208" s="1235" t="str">
        <f aca="false">IF(MONTH($A208)=12,SUM(L197:L208)," ")</f>
        <v> </v>
      </c>
    </row>
    <row r="209" customFormat="false" ht="12.75" hidden="false" customHeight="false" outlineLevel="0" collapsed="false">
      <c r="A209" s="1226" t="n">
        <f aca="false">EDATE(A208,1)</f>
        <v>42948</v>
      </c>
      <c r="C209" s="1227" t="n">
        <f aca="false">A210-A209</f>
        <v>31</v>
      </c>
      <c r="D209" s="1228" t="n">
        <f aca="false">(IF($A209&gt;Endyr,0,IF($A209&lt;Assm!$F$32,G209,Capacity*C209)))*(1+RAROC!$N$12)</f>
        <v>3192690</v>
      </c>
      <c r="E209" s="1229" t="n">
        <f aca="false">IF($A209&gt;Endyr,0,Tariff_Cap)</f>
        <v>0.5668</v>
      </c>
      <c r="F209" s="1230" t="n">
        <f aca="false">D209*E209/1000</f>
        <v>1809.616692</v>
      </c>
      <c r="G209" s="1231" t="n">
        <f aca="false">[4]MMBTU!U232</f>
        <v>2095485.40475594</v>
      </c>
      <c r="H209" s="1229" t="n">
        <f aca="false">IF($A209&gt;Endyr,0,Tariff_Var)</f>
        <v>0.0064</v>
      </c>
      <c r="I209" s="1230" t="n">
        <f aca="false">G209*H209/1000</f>
        <v>13.411106590438</v>
      </c>
      <c r="J209" s="1232" t="n">
        <f aca="false">SUM(F209,I209)</f>
        <v>1823.02779859044</v>
      </c>
      <c r="K209" s="1233" t="n">
        <f aca="false">VLOOKUP($A209,Curves_Table,Escalation!$O$291)</f>
        <v>1.68254669873615</v>
      </c>
      <c r="L209" s="1234" t="n">
        <f aca="false">J209*K209</f>
        <v>3067.32940422257</v>
      </c>
      <c r="M209" s="1235" t="str">
        <f aca="false">IF(MONTH($A209)=12,SUM(L198:L209)," ")</f>
        <v> </v>
      </c>
    </row>
    <row r="210" customFormat="false" ht="12.75" hidden="false" customHeight="false" outlineLevel="0" collapsed="false">
      <c r="A210" s="1226" t="n">
        <f aca="false">EDATE(A209,1)</f>
        <v>42979</v>
      </c>
      <c r="C210" s="1227" t="n">
        <f aca="false">A211-A210</f>
        <v>30</v>
      </c>
      <c r="D210" s="1228" t="n">
        <f aca="false">(IF($A210&gt;Endyr,0,IF($A210&lt;Assm!$F$32,G210,Capacity*C210)))*(1+RAROC!$N$12)</f>
        <v>3089700</v>
      </c>
      <c r="E210" s="1229" t="n">
        <f aca="false">IF($A210&gt;Endyr,0,Tariff_Cap)</f>
        <v>0.5668</v>
      </c>
      <c r="F210" s="1230" t="n">
        <f aca="false">D210*E210/1000</f>
        <v>1751.24196</v>
      </c>
      <c r="G210" s="1231" t="n">
        <f aca="false">[4]MMBTU!U233</f>
        <v>2027889.10137672</v>
      </c>
      <c r="H210" s="1229" t="n">
        <f aca="false">IF($A210&gt;Endyr,0,Tariff_Var)</f>
        <v>0.0064</v>
      </c>
      <c r="I210" s="1230" t="n">
        <f aca="false">G210*H210/1000</f>
        <v>12.978490248811</v>
      </c>
      <c r="J210" s="1232" t="n">
        <f aca="false">SUM(F210,I210)</f>
        <v>1764.22045024881</v>
      </c>
      <c r="K210" s="1233" t="n">
        <f aca="false">VLOOKUP($A210,Curves_Table,Escalation!$O$291)</f>
        <v>1.68254669873615</v>
      </c>
      <c r="L210" s="1234" t="n">
        <f aca="false">J210*K210</f>
        <v>2968.38329440894</v>
      </c>
      <c r="M210" s="1235" t="str">
        <f aca="false">IF(MONTH($A210)=12,SUM(L199:L210)," ")</f>
        <v> </v>
      </c>
    </row>
    <row r="211" customFormat="false" ht="12.75" hidden="false" customHeight="false" outlineLevel="0" collapsed="false">
      <c r="A211" s="1226" t="n">
        <f aca="false">EDATE(A210,1)</f>
        <v>43009</v>
      </c>
      <c r="C211" s="1227" t="n">
        <f aca="false">A212-A211</f>
        <v>31</v>
      </c>
      <c r="D211" s="1228" t="n">
        <f aca="false">(IF($A211&gt;Endyr,0,IF($A211&lt;Assm!$F$32,G211,Capacity*C211)))*(1+RAROC!$N$12)</f>
        <v>3192690</v>
      </c>
      <c r="E211" s="1229" t="n">
        <f aca="false">IF($A211&gt;Endyr,0,Tariff_Cap)</f>
        <v>0.5668</v>
      </c>
      <c r="F211" s="1230" t="n">
        <f aca="false">D211*E211/1000</f>
        <v>1809.616692</v>
      </c>
      <c r="G211" s="1231" t="n">
        <f aca="false">[4]MMBTU!U234</f>
        <v>2095485.40475594</v>
      </c>
      <c r="H211" s="1229" t="n">
        <f aca="false">IF($A211&gt;Endyr,0,Tariff_Var)</f>
        <v>0.0064</v>
      </c>
      <c r="I211" s="1230" t="n">
        <f aca="false">G211*H211/1000</f>
        <v>13.411106590438</v>
      </c>
      <c r="J211" s="1232" t="n">
        <f aca="false">SUM(F211,I211)</f>
        <v>1823.02779859044</v>
      </c>
      <c r="K211" s="1233" t="n">
        <f aca="false">VLOOKUP($A211,Curves_Table,Escalation!$O$291)</f>
        <v>1.68254669873615</v>
      </c>
      <c r="L211" s="1234" t="n">
        <f aca="false">J211*K211</f>
        <v>3067.32940422257</v>
      </c>
      <c r="M211" s="1235" t="str">
        <f aca="false">IF(MONTH($A211)=12,SUM(L200:L211)," ")</f>
        <v> </v>
      </c>
    </row>
    <row r="212" customFormat="false" ht="12.75" hidden="false" customHeight="false" outlineLevel="0" collapsed="false">
      <c r="A212" s="1226" t="n">
        <f aca="false">EDATE(A211,1)</f>
        <v>43040</v>
      </c>
      <c r="C212" s="1227" t="n">
        <f aca="false">A213-A212</f>
        <v>30</v>
      </c>
      <c r="D212" s="1228" t="n">
        <f aca="false">(IF($A212&gt;Endyr,0,IF($A212&lt;Assm!$F$32,G212,Capacity*C212)))*(1+RAROC!$N$12)</f>
        <v>3089700</v>
      </c>
      <c r="E212" s="1229" t="n">
        <f aca="false">IF($A212&gt;Endyr,0,Tariff_Cap)</f>
        <v>0.5668</v>
      </c>
      <c r="F212" s="1230" t="n">
        <f aca="false">D212*E212/1000</f>
        <v>1751.24196</v>
      </c>
      <c r="G212" s="1231" t="n">
        <f aca="false">[4]MMBTU!U235</f>
        <v>2027889.10137672</v>
      </c>
      <c r="H212" s="1229" t="n">
        <f aca="false">IF($A212&gt;Endyr,0,Tariff_Var)</f>
        <v>0.0064</v>
      </c>
      <c r="I212" s="1230" t="n">
        <f aca="false">G212*H212/1000</f>
        <v>12.978490248811</v>
      </c>
      <c r="J212" s="1232" t="n">
        <f aca="false">SUM(F212,I212)</f>
        <v>1764.22045024881</v>
      </c>
      <c r="K212" s="1233" t="n">
        <f aca="false">VLOOKUP($A212,Curves_Table,Escalation!$O$291)</f>
        <v>1.68254669873615</v>
      </c>
      <c r="L212" s="1234" t="n">
        <f aca="false">J212*K212</f>
        <v>2968.38329440894</v>
      </c>
      <c r="M212" s="1235" t="str">
        <f aca="false">IF(MONTH($A212)=12,SUM(L201:L212)," ")</f>
        <v> </v>
      </c>
    </row>
    <row r="213" customFormat="false" ht="12.75" hidden="false" customHeight="false" outlineLevel="0" collapsed="false">
      <c r="A213" s="1226" t="n">
        <f aca="false">EDATE(A212,1)</f>
        <v>43070</v>
      </c>
      <c r="C213" s="1227" t="n">
        <f aca="false">A214-A213</f>
        <v>31</v>
      </c>
      <c r="D213" s="1228" t="n">
        <f aca="false">(IF($A213&gt;Endyr,0,IF($A213&lt;Assm!$F$32,G213,Capacity*C213)))*(1+RAROC!$N$12)</f>
        <v>3192690</v>
      </c>
      <c r="E213" s="1229" t="n">
        <f aca="false">IF($A213&gt;Endyr,0,Tariff_Cap)</f>
        <v>0.5668</v>
      </c>
      <c r="F213" s="1230" t="n">
        <f aca="false">D213*E213/1000</f>
        <v>1809.616692</v>
      </c>
      <c r="G213" s="1231" t="n">
        <f aca="false">[4]MMBTU!U236</f>
        <v>2095485.40475594</v>
      </c>
      <c r="H213" s="1229" t="n">
        <f aca="false">IF($A213&gt;Endyr,0,Tariff_Var)</f>
        <v>0.0064</v>
      </c>
      <c r="I213" s="1230" t="n">
        <f aca="false">G213*H213/1000</f>
        <v>13.411106590438</v>
      </c>
      <c r="J213" s="1232" t="n">
        <f aca="false">SUM(F213,I213)</f>
        <v>1823.02779859044</v>
      </c>
      <c r="K213" s="1233" t="n">
        <f aca="false">VLOOKUP($A213,Curves_Table,Escalation!$O$291)</f>
        <v>1.68254669873615</v>
      </c>
      <c r="L213" s="1234" t="n">
        <f aca="false">J213*K213</f>
        <v>3067.32940422257</v>
      </c>
      <c r="M213" s="1235" t="n">
        <f aca="false">IF(MONTH($A213)=12,SUM(L202:L213)," ")</f>
        <v>35807.9093461755</v>
      </c>
    </row>
    <row r="214" customFormat="false" ht="12.75" hidden="false" customHeight="false" outlineLevel="0" collapsed="false">
      <c r="A214" s="1226" t="n">
        <f aca="false">EDATE(A213,1)</f>
        <v>43101</v>
      </c>
      <c r="C214" s="1227" t="n">
        <f aca="false">A215-A214</f>
        <v>31</v>
      </c>
      <c r="D214" s="1228" t="n">
        <f aca="false">(IF($A214&gt;Endyr,0,IF($A214&lt;Assm!$F$32,G214,Capacity*C214)))*(1+RAROC!$N$12)</f>
        <v>3192690</v>
      </c>
      <c r="E214" s="1229" t="n">
        <f aca="false">IF($A214&gt;Endyr,0,Tariff_Cap)</f>
        <v>0.5668</v>
      </c>
      <c r="F214" s="1230" t="n">
        <f aca="false">D214*E214/1000</f>
        <v>1809.616692</v>
      </c>
      <c r="G214" s="1231" t="n">
        <f aca="false">[4]MMBTU!U237</f>
        <v>2095485.40475594</v>
      </c>
      <c r="H214" s="1229" t="n">
        <f aca="false">IF($A214&gt;Endyr,0,Tariff_Var)</f>
        <v>0.0064</v>
      </c>
      <c r="I214" s="1230" t="n">
        <f aca="false">G214*H214/1000</f>
        <v>13.411106590438</v>
      </c>
      <c r="J214" s="1232" t="n">
        <f aca="false">SUM(F214,I214)</f>
        <v>1823.02779859044</v>
      </c>
      <c r="K214" s="1233" t="n">
        <f aca="false">VLOOKUP($A214,Curves_Table,Escalation!$O$291)</f>
        <v>1.68254669873615</v>
      </c>
      <c r="L214" s="1234" t="n">
        <f aca="false">J214*K214</f>
        <v>3067.32940422257</v>
      </c>
      <c r="M214" s="1235" t="str">
        <f aca="false">IF(MONTH($A214)=12,SUM(L203:L214)," ")</f>
        <v> </v>
      </c>
    </row>
    <row r="215" customFormat="false" ht="12.75" hidden="false" customHeight="false" outlineLevel="0" collapsed="false">
      <c r="A215" s="1226" t="n">
        <f aca="false">EDATE(A214,1)</f>
        <v>43132</v>
      </c>
      <c r="C215" s="1227" t="n">
        <f aca="false">A216-A215</f>
        <v>28</v>
      </c>
      <c r="D215" s="1228" t="n">
        <f aca="false">(IF($A215&gt;Endyr,0,IF($A215&lt;Assm!$F$32,G215,Capacity*C215)))*(1+RAROC!$N$12)</f>
        <v>2883720</v>
      </c>
      <c r="E215" s="1229" t="n">
        <f aca="false">IF($A215&gt;Endyr,0,Tariff_Cap)</f>
        <v>0.5668</v>
      </c>
      <c r="F215" s="1230" t="n">
        <f aca="false">D215*E215/1000</f>
        <v>1634.492496</v>
      </c>
      <c r="G215" s="1231" t="n">
        <f aca="false">[4]MMBTU!U238</f>
        <v>1892696.49461827</v>
      </c>
      <c r="H215" s="1229" t="n">
        <f aca="false">IF($A215&gt;Endyr,0,Tariff_Var)</f>
        <v>0.0064</v>
      </c>
      <c r="I215" s="1230" t="n">
        <f aca="false">G215*H215/1000</f>
        <v>12.113257565557</v>
      </c>
      <c r="J215" s="1232" t="n">
        <f aca="false">SUM(F215,I215)</f>
        <v>1646.60575356556</v>
      </c>
      <c r="K215" s="1233" t="n">
        <f aca="false">VLOOKUP($A215,Curves_Table,Escalation!$O$291)</f>
        <v>1.68254669873615</v>
      </c>
      <c r="L215" s="1234" t="n">
        <f aca="false">J215*K215</f>
        <v>2770.49107478168</v>
      </c>
      <c r="M215" s="1235" t="str">
        <f aca="false">IF(MONTH($A215)=12,SUM(L204:L215)," ")</f>
        <v> </v>
      </c>
    </row>
    <row r="216" customFormat="false" ht="12.75" hidden="false" customHeight="false" outlineLevel="0" collapsed="false">
      <c r="A216" s="1226" t="n">
        <f aca="false">EDATE(A215,1)</f>
        <v>43160</v>
      </c>
      <c r="C216" s="1227" t="n">
        <f aca="false">A217-A216</f>
        <v>31</v>
      </c>
      <c r="D216" s="1228" t="n">
        <f aca="false">(IF($A216&gt;Endyr,0,IF($A216&lt;Assm!$F$32,G216,Capacity*C216)))*(1+RAROC!$N$12)</f>
        <v>3192690</v>
      </c>
      <c r="E216" s="1229" t="n">
        <f aca="false">IF($A216&gt;Endyr,0,Tariff_Cap)</f>
        <v>0.5668</v>
      </c>
      <c r="F216" s="1230" t="n">
        <f aca="false">D216*E216/1000</f>
        <v>1809.616692</v>
      </c>
      <c r="G216" s="1231" t="n">
        <f aca="false">[4]MMBTU!U239</f>
        <v>2095485.40475594</v>
      </c>
      <c r="H216" s="1229" t="n">
        <f aca="false">IF($A216&gt;Endyr,0,Tariff_Var)</f>
        <v>0.0064</v>
      </c>
      <c r="I216" s="1230" t="n">
        <f aca="false">G216*H216/1000</f>
        <v>13.411106590438</v>
      </c>
      <c r="J216" s="1232" t="n">
        <f aca="false">SUM(F216,I216)</f>
        <v>1823.02779859044</v>
      </c>
      <c r="K216" s="1233" t="n">
        <f aca="false">VLOOKUP($A216,Curves_Table,Escalation!$O$291)</f>
        <v>1.68254669873615</v>
      </c>
      <c r="L216" s="1234" t="n">
        <f aca="false">J216*K216</f>
        <v>3067.32940422257</v>
      </c>
      <c r="M216" s="1235" t="str">
        <f aca="false">IF(MONTH($A216)=12,SUM(L205:L216)," ")</f>
        <v> </v>
      </c>
    </row>
    <row r="217" customFormat="false" ht="12.75" hidden="false" customHeight="false" outlineLevel="0" collapsed="false">
      <c r="A217" s="1226" t="n">
        <f aca="false">EDATE(A216,1)</f>
        <v>43191</v>
      </c>
      <c r="C217" s="1227" t="n">
        <f aca="false">A218-A217</f>
        <v>30</v>
      </c>
      <c r="D217" s="1228" t="n">
        <f aca="false">(IF($A217&gt;Endyr,0,IF($A217&lt;Assm!$F$32,G217,Capacity*C217)))*(1+RAROC!$N$12)</f>
        <v>3089700</v>
      </c>
      <c r="E217" s="1229" t="n">
        <f aca="false">IF($A217&gt;Endyr,0,Tariff_Cap)</f>
        <v>0.5668</v>
      </c>
      <c r="F217" s="1230" t="n">
        <f aca="false">D217*E217/1000</f>
        <v>1751.24196</v>
      </c>
      <c r="G217" s="1231" t="n">
        <f aca="false">[4]MMBTU!U240</f>
        <v>2027889.10137672</v>
      </c>
      <c r="H217" s="1229" t="n">
        <f aca="false">IF($A217&gt;Endyr,0,Tariff_Var)</f>
        <v>0.0064</v>
      </c>
      <c r="I217" s="1230" t="n">
        <f aca="false">G217*H217/1000</f>
        <v>12.978490248811</v>
      </c>
      <c r="J217" s="1232" t="n">
        <f aca="false">SUM(F217,I217)</f>
        <v>1764.22045024881</v>
      </c>
      <c r="K217" s="1233" t="n">
        <f aca="false">VLOOKUP($A217,Curves_Table,Escalation!$O$291)</f>
        <v>1.68254669873615</v>
      </c>
      <c r="L217" s="1234" t="n">
        <f aca="false">J217*K217</f>
        <v>2968.38329440894</v>
      </c>
      <c r="M217" s="1235" t="str">
        <f aca="false">IF(MONTH($A217)=12,SUM(L206:L217)," ")</f>
        <v> </v>
      </c>
    </row>
    <row r="218" customFormat="false" ht="12.75" hidden="false" customHeight="false" outlineLevel="0" collapsed="false">
      <c r="A218" s="1226" t="n">
        <f aca="false">EDATE(A217,1)</f>
        <v>43221</v>
      </c>
      <c r="C218" s="1227" t="n">
        <f aca="false">A219-A218</f>
        <v>31</v>
      </c>
      <c r="D218" s="1228" t="n">
        <f aca="false">(IF($A218&gt;Endyr,0,IF($A218&lt;Assm!$F$32,G218,Capacity*C218)))*(1+RAROC!$N$12)</f>
        <v>3192690</v>
      </c>
      <c r="E218" s="1229" t="n">
        <f aca="false">IF($A218&gt;Endyr,0,Tariff_Cap)</f>
        <v>0.5668</v>
      </c>
      <c r="F218" s="1230" t="n">
        <f aca="false">D218*E218/1000</f>
        <v>1809.616692</v>
      </c>
      <c r="G218" s="1231" t="n">
        <f aca="false">[4]MMBTU!U241</f>
        <v>2095485.40475594</v>
      </c>
      <c r="H218" s="1229" t="n">
        <f aca="false">IF($A218&gt;Endyr,0,Tariff_Var)</f>
        <v>0.0064</v>
      </c>
      <c r="I218" s="1230" t="n">
        <f aca="false">G218*H218/1000</f>
        <v>13.411106590438</v>
      </c>
      <c r="J218" s="1232" t="n">
        <f aca="false">SUM(F218,I218)</f>
        <v>1823.02779859044</v>
      </c>
      <c r="K218" s="1233" t="n">
        <f aca="false">VLOOKUP($A218,Curves_Table,Escalation!$O$291)</f>
        <v>1.72801332733687</v>
      </c>
      <c r="L218" s="1234" t="n">
        <f aca="false">J218*K218</f>
        <v>3150.21633206987</v>
      </c>
      <c r="M218" s="1235" t="str">
        <f aca="false">IF(MONTH($A218)=12,SUM(L207:L218)," ")</f>
        <v> </v>
      </c>
    </row>
    <row r="219" customFormat="false" ht="12.75" hidden="false" customHeight="false" outlineLevel="0" collapsed="false">
      <c r="A219" s="1226" t="n">
        <f aca="false">EDATE(A218,1)</f>
        <v>43252</v>
      </c>
      <c r="C219" s="1227" t="n">
        <f aca="false">A220-A219</f>
        <v>30</v>
      </c>
      <c r="D219" s="1228" t="n">
        <f aca="false">(IF($A219&gt;Endyr,0,IF($A219&lt;Assm!$F$32,G219,Capacity*C219)))*(1+RAROC!$N$12)</f>
        <v>3089700</v>
      </c>
      <c r="E219" s="1229" t="n">
        <f aca="false">IF($A219&gt;Endyr,0,Tariff_Cap)</f>
        <v>0.5668</v>
      </c>
      <c r="F219" s="1230" t="n">
        <f aca="false">D219*E219/1000</f>
        <v>1751.24196</v>
      </c>
      <c r="G219" s="1231" t="n">
        <f aca="false">[4]MMBTU!U242</f>
        <v>2027889.10137672</v>
      </c>
      <c r="H219" s="1229" t="n">
        <f aca="false">IF($A219&gt;Endyr,0,Tariff_Var)</f>
        <v>0.0064</v>
      </c>
      <c r="I219" s="1230" t="n">
        <f aca="false">G219*H219/1000</f>
        <v>12.978490248811</v>
      </c>
      <c r="J219" s="1232" t="n">
        <f aca="false">SUM(F219,I219)</f>
        <v>1764.22045024881</v>
      </c>
      <c r="K219" s="1233" t="n">
        <f aca="false">VLOOKUP($A219,Curves_Table,Escalation!$O$291)</f>
        <v>1.72801332733687</v>
      </c>
      <c r="L219" s="1234" t="n">
        <f aca="false">J219*K219</f>
        <v>3048.5964503902</v>
      </c>
      <c r="M219" s="1235" t="str">
        <f aca="false">IF(MONTH($A219)=12,SUM(L208:L219)," ")</f>
        <v> </v>
      </c>
    </row>
    <row r="220" customFormat="false" ht="12.75" hidden="false" customHeight="false" outlineLevel="0" collapsed="false">
      <c r="A220" s="1226" t="n">
        <f aca="false">EDATE(A219,1)</f>
        <v>43282</v>
      </c>
      <c r="C220" s="1227" t="n">
        <f aca="false">A221-A220</f>
        <v>31</v>
      </c>
      <c r="D220" s="1228" t="n">
        <f aca="false">(IF($A220&gt;Endyr,0,IF($A220&lt;Assm!$F$32,G220,Capacity*C220)))*(1+RAROC!$N$12)</f>
        <v>3192690</v>
      </c>
      <c r="E220" s="1229" t="n">
        <f aca="false">IF($A220&gt;Endyr,0,Tariff_Cap)</f>
        <v>0.5668</v>
      </c>
      <c r="F220" s="1230" t="n">
        <f aca="false">D220*E220/1000</f>
        <v>1809.616692</v>
      </c>
      <c r="G220" s="1231" t="n">
        <f aca="false">[4]MMBTU!U243</f>
        <v>2095485.40475594</v>
      </c>
      <c r="H220" s="1229" t="n">
        <f aca="false">IF($A220&gt;Endyr,0,Tariff_Var)</f>
        <v>0.0064</v>
      </c>
      <c r="I220" s="1230" t="n">
        <f aca="false">G220*H220/1000</f>
        <v>13.411106590438</v>
      </c>
      <c r="J220" s="1232" t="n">
        <f aca="false">SUM(F220,I220)</f>
        <v>1823.02779859044</v>
      </c>
      <c r="K220" s="1233" t="n">
        <f aca="false">VLOOKUP($A220,Curves_Table,Escalation!$O$291)</f>
        <v>1.72801332733687</v>
      </c>
      <c r="L220" s="1234" t="n">
        <f aca="false">J220*K220</f>
        <v>3150.21633206987</v>
      </c>
      <c r="M220" s="1235" t="str">
        <f aca="false">IF(MONTH($A220)=12,SUM(L209:L220)," ")</f>
        <v> </v>
      </c>
    </row>
    <row r="221" customFormat="false" ht="12.75" hidden="false" customHeight="false" outlineLevel="0" collapsed="false">
      <c r="A221" s="1226" t="n">
        <f aca="false">EDATE(A220,1)</f>
        <v>43313</v>
      </c>
      <c r="C221" s="1227" t="n">
        <f aca="false">A222-A221</f>
        <v>31</v>
      </c>
      <c r="D221" s="1228" t="n">
        <f aca="false">(IF($A221&gt;Endyr,0,IF($A221&lt;Assm!$F$32,G221,Capacity*C221)))*(1+RAROC!$N$12)</f>
        <v>3192690</v>
      </c>
      <c r="E221" s="1229" t="n">
        <f aca="false">IF($A221&gt;Endyr,0,Tariff_Cap)</f>
        <v>0.5668</v>
      </c>
      <c r="F221" s="1230" t="n">
        <f aca="false">D221*E221/1000</f>
        <v>1809.616692</v>
      </c>
      <c r="G221" s="1231" t="n">
        <f aca="false">[4]MMBTU!U244</f>
        <v>2095485.40475594</v>
      </c>
      <c r="H221" s="1229" t="n">
        <f aca="false">IF($A221&gt;Endyr,0,Tariff_Var)</f>
        <v>0.0064</v>
      </c>
      <c r="I221" s="1230" t="n">
        <f aca="false">G221*H221/1000</f>
        <v>13.411106590438</v>
      </c>
      <c r="J221" s="1232" t="n">
        <f aca="false">SUM(F221,I221)</f>
        <v>1823.02779859044</v>
      </c>
      <c r="K221" s="1233" t="n">
        <f aca="false">VLOOKUP($A221,Curves_Table,Escalation!$O$291)</f>
        <v>1.72801332733687</v>
      </c>
      <c r="L221" s="1234" t="n">
        <f aca="false">J221*K221</f>
        <v>3150.21633206987</v>
      </c>
      <c r="M221" s="1235" t="str">
        <f aca="false">IF(MONTH($A221)=12,SUM(L210:L221)," ")</f>
        <v> </v>
      </c>
    </row>
    <row r="222" customFormat="false" ht="12.75" hidden="false" customHeight="false" outlineLevel="0" collapsed="false">
      <c r="A222" s="1226" t="n">
        <f aca="false">EDATE(A221,1)</f>
        <v>43344</v>
      </c>
      <c r="C222" s="1227" t="n">
        <f aca="false">A223-A222</f>
        <v>30</v>
      </c>
      <c r="D222" s="1228" t="n">
        <f aca="false">(IF($A222&gt;Endyr,0,IF($A222&lt;Assm!$F$32,G222,Capacity*C222)))*(1+RAROC!$N$12)</f>
        <v>3089700</v>
      </c>
      <c r="E222" s="1229" t="n">
        <f aca="false">IF($A222&gt;Endyr,0,Tariff_Cap)</f>
        <v>0.5668</v>
      </c>
      <c r="F222" s="1230" t="n">
        <f aca="false">D222*E222/1000</f>
        <v>1751.24196</v>
      </c>
      <c r="G222" s="1231" t="n">
        <f aca="false">[4]MMBTU!U245</f>
        <v>2027889.10137672</v>
      </c>
      <c r="H222" s="1229" t="n">
        <f aca="false">IF($A222&gt;Endyr,0,Tariff_Var)</f>
        <v>0.0064</v>
      </c>
      <c r="I222" s="1230" t="n">
        <f aca="false">G222*H222/1000</f>
        <v>12.978490248811</v>
      </c>
      <c r="J222" s="1232" t="n">
        <f aca="false">SUM(F222,I222)</f>
        <v>1764.22045024881</v>
      </c>
      <c r="K222" s="1233" t="n">
        <f aca="false">VLOOKUP($A222,Curves_Table,Escalation!$O$291)</f>
        <v>1.72801332733687</v>
      </c>
      <c r="L222" s="1234" t="n">
        <f aca="false">J222*K222</f>
        <v>3048.5964503902</v>
      </c>
      <c r="M222" s="1235" t="str">
        <f aca="false">IF(MONTH($A222)=12,SUM(L211:L222)," ")</f>
        <v> </v>
      </c>
    </row>
    <row r="223" customFormat="false" ht="12.75" hidden="false" customHeight="false" outlineLevel="0" collapsed="false">
      <c r="A223" s="1226" t="n">
        <f aca="false">EDATE(A222,1)</f>
        <v>43374</v>
      </c>
      <c r="C223" s="1227" t="n">
        <f aca="false">A224-A223</f>
        <v>31</v>
      </c>
      <c r="D223" s="1228" t="n">
        <f aca="false">(IF($A223&gt;Endyr,0,IF($A223&lt;Assm!$F$32,G223,Capacity*C223)))*(1+RAROC!$N$12)</f>
        <v>3192690</v>
      </c>
      <c r="E223" s="1229" t="n">
        <f aca="false">IF($A223&gt;Endyr,0,Tariff_Cap)</f>
        <v>0.5668</v>
      </c>
      <c r="F223" s="1230" t="n">
        <f aca="false">D223*E223/1000</f>
        <v>1809.616692</v>
      </c>
      <c r="G223" s="1231" t="n">
        <f aca="false">[4]MMBTU!U246</f>
        <v>2095485.40475594</v>
      </c>
      <c r="H223" s="1229" t="n">
        <f aca="false">IF($A223&gt;Endyr,0,Tariff_Var)</f>
        <v>0.0064</v>
      </c>
      <c r="I223" s="1230" t="n">
        <f aca="false">G223*H223/1000</f>
        <v>13.411106590438</v>
      </c>
      <c r="J223" s="1232" t="n">
        <f aca="false">SUM(F223,I223)</f>
        <v>1823.02779859044</v>
      </c>
      <c r="K223" s="1233" t="n">
        <f aca="false">VLOOKUP($A223,Curves_Table,Escalation!$O$291)</f>
        <v>1.72801332733687</v>
      </c>
      <c r="L223" s="1234" t="n">
        <f aca="false">J223*K223</f>
        <v>3150.21633206987</v>
      </c>
      <c r="M223" s="1235" t="str">
        <f aca="false">IF(MONTH($A223)=12,SUM(L212:L223)," ")</f>
        <v> </v>
      </c>
    </row>
    <row r="224" customFormat="false" ht="12.75" hidden="false" customHeight="false" outlineLevel="0" collapsed="false">
      <c r="A224" s="1226" t="n">
        <f aca="false">EDATE(A223,1)</f>
        <v>43405</v>
      </c>
      <c r="C224" s="1227" t="n">
        <f aca="false">A225-A224</f>
        <v>30</v>
      </c>
      <c r="D224" s="1228" t="n">
        <f aca="false">(IF($A224&gt;Endyr,0,IF($A224&lt;Assm!$F$32,G224,Capacity*C224)))*(1+RAROC!$N$12)</f>
        <v>3089700</v>
      </c>
      <c r="E224" s="1229" t="n">
        <f aca="false">IF($A224&gt;Endyr,0,Tariff_Cap)</f>
        <v>0.5668</v>
      </c>
      <c r="F224" s="1230" t="n">
        <f aca="false">D224*E224/1000</f>
        <v>1751.24196</v>
      </c>
      <c r="G224" s="1231" t="n">
        <f aca="false">[4]MMBTU!U247</f>
        <v>2027889.10137672</v>
      </c>
      <c r="H224" s="1229" t="n">
        <f aca="false">IF($A224&gt;Endyr,0,Tariff_Var)</f>
        <v>0.0064</v>
      </c>
      <c r="I224" s="1230" t="n">
        <f aca="false">G224*H224/1000</f>
        <v>12.978490248811</v>
      </c>
      <c r="J224" s="1232" t="n">
        <f aca="false">SUM(F224,I224)</f>
        <v>1764.22045024881</v>
      </c>
      <c r="K224" s="1233" t="n">
        <f aca="false">VLOOKUP($A224,Curves_Table,Escalation!$O$291)</f>
        <v>1.72801332733687</v>
      </c>
      <c r="L224" s="1234" t="n">
        <f aca="false">J224*K224</f>
        <v>3048.5964503902</v>
      </c>
      <c r="M224" s="1235" t="str">
        <f aca="false">IF(MONTH($A224)=12,SUM(L213:L224)," ")</f>
        <v> </v>
      </c>
    </row>
    <row r="225" customFormat="false" ht="12.75" hidden="false" customHeight="false" outlineLevel="0" collapsed="false">
      <c r="A225" s="1226" t="n">
        <f aca="false">EDATE(A224,1)</f>
        <v>43435</v>
      </c>
      <c r="C225" s="1227" t="n">
        <f aca="false">A226-A225</f>
        <v>31</v>
      </c>
      <c r="D225" s="1228" t="n">
        <f aca="false">(IF($A225&gt;Endyr,0,IF($A225&lt;Assm!$F$32,G225,Capacity*C225)))*(1+RAROC!$N$12)</f>
        <v>3192690</v>
      </c>
      <c r="E225" s="1229" t="n">
        <f aca="false">IF($A225&gt;Endyr,0,Tariff_Cap)</f>
        <v>0.5668</v>
      </c>
      <c r="F225" s="1230" t="n">
        <f aca="false">D225*E225/1000</f>
        <v>1809.616692</v>
      </c>
      <c r="G225" s="1231" t="n">
        <f aca="false">[4]MMBTU!U248</f>
        <v>2095485.40475594</v>
      </c>
      <c r="H225" s="1229" t="n">
        <f aca="false">IF($A225&gt;Endyr,0,Tariff_Var)</f>
        <v>0.0064</v>
      </c>
      <c r="I225" s="1230" t="n">
        <f aca="false">G225*H225/1000</f>
        <v>13.411106590438</v>
      </c>
      <c r="J225" s="1232" t="n">
        <f aca="false">SUM(F225,I225)</f>
        <v>1823.02779859044</v>
      </c>
      <c r="K225" s="1233" t="n">
        <f aca="false">VLOOKUP($A225,Curves_Table,Escalation!$O$291)</f>
        <v>1.72801332733687</v>
      </c>
      <c r="L225" s="1234" t="n">
        <f aca="false">J225*K225</f>
        <v>3150.21633206987</v>
      </c>
      <c r="M225" s="1235" t="n">
        <f aca="false">IF(MONTH($A225)=12,SUM(L214:L225)," ")</f>
        <v>36770.4041891557</v>
      </c>
    </row>
    <row r="226" customFormat="false" ht="12.75" hidden="false" customHeight="false" outlineLevel="0" collapsed="false">
      <c r="A226" s="1226" t="n">
        <f aca="false">EDATE(A225,1)</f>
        <v>43466</v>
      </c>
      <c r="C226" s="1227" t="n">
        <f aca="false">A227-A226</f>
        <v>31</v>
      </c>
      <c r="D226" s="1228" t="n">
        <f aca="false">(IF($A226&gt;Endyr,0,IF($A226&lt;Assm!$F$32,G226,Capacity*C226)))*(1+RAROC!$N$12)</f>
        <v>3192690</v>
      </c>
      <c r="E226" s="1229" t="n">
        <f aca="false">IF($A226&gt;Endyr,0,Tariff_Cap)</f>
        <v>0.5668</v>
      </c>
      <c r="F226" s="1230" t="n">
        <f aca="false">D226*E226/1000</f>
        <v>1809.616692</v>
      </c>
      <c r="G226" s="1231" t="n">
        <f aca="false">[4]MMBTU!U249</f>
        <v>2095485.40475594</v>
      </c>
      <c r="H226" s="1229" t="n">
        <f aca="false">IF($A226&gt;Endyr,0,Tariff_Var)</f>
        <v>0.0064</v>
      </c>
      <c r="I226" s="1230" t="n">
        <f aca="false">G226*H226/1000</f>
        <v>13.411106590438</v>
      </c>
      <c r="J226" s="1232" t="n">
        <f aca="false">SUM(F226,I226)</f>
        <v>1823.02779859044</v>
      </c>
      <c r="K226" s="1233" t="n">
        <f aca="false">VLOOKUP($A226,Curves_Table,Escalation!$O$291)</f>
        <v>1.72801332733687</v>
      </c>
      <c r="L226" s="1234" t="n">
        <f aca="false">J226*K226</f>
        <v>3150.21633206987</v>
      </c>
      <c r="M226" s="1235" t="str">
        <f aca="false">IF(MONTH($A226)=12,SUM(L215:L226)," ")</f>
        <v> </v>
      </c>
    </row>
    <row r="227" customFormat="false" ht="12.75" hidden="false" customHeight="false" outlineLevel="0" collapsed="false">
      <c r="A227" s="1226" t="n">
        <f aca="false">EDATE(A226,1)</f>
        <v>43497</v>
      </c>
      <c r="C227" s="1227" t="n">
        <f aca="false">A228-A227</f>
        <v>28</v>
      </c>
      <c r="D227" s="1228" t="n">
        <f aca="false">(IF($A227&gt;Endyr,0,IF($A227&lt;Assm!$F$32,G227,Capacity*C227)))*(1+RAROC!$N$12)</f>
        <v>2883720</v>
      </c>
      <c r="E227" s="1229" t="n">
        <f aca="false">IF($A227&gt;Endyr,0,Tariff_Cap)</f>
        <v>0.5668</v>
      </c>
      <c r="F227" s="1230" t="n">
        <f aca="false">D227*E227/1000</f>
        <v>1634.492496</v>
      </c>
      <c r="G227" s="1231" t="n">
        <f aca="false">[4]MMBTU!U250</f>
        <v>1892696.49461827</v>
      </c>
      <c r="H227" s="1229" t="n">
        <f aca="false">IF($A227&gt;Endyr,0,Tariff_Var)</f>
        <v>0.0064</v>
      </c>
      <c r="I227" s="1230" t="n">
        <f aca="false">G227*H227/1000</f>
        <v>12.113257565557</v>
      </c>
      <c r="J227" s="1232" t="n">
        <f aca="false">SUM(F227,I227)</f>
        <v>1646.60575356556</v>
      </c>
      <c r="K227" s="1233" t="n">
        <f aca="false">VLOOKUP($A227,Curves_Table,Escalation!$O$291)</f>
        <v>1.72801332733687</v>
      </c>
      <c r="L227" s="1234" t="n">
        <f aca="false">J227*K227</f>
        <v>2845.35668703085</v>
      </c>
      <c r="M227" s="1235" t="str">
        <f aca="false">IF(MONTH($A227)=12,SUM(L216:L227)," ")</f>
        <v> </v>
      </c>
    </row>
    <row r="228" customFormat="false" ht="12.75" hidden="false" customHeight="false" outlineLevel="0" collapsed="false">
      <c r="A228" s="1226" t="n">
        <f aca="false">EDATE(A227,1)</f>
        <v>43525</v>
      </c>
      <c r="C228" s="1227" t="n">
        <f aca="false">A229-A228</f>
        <v>31</v>
      </c>
      <c r="D228" s="1228" t="n">
        <f aca="false">(IF($A228&gt;Endyr,0,IF($A228&lt;Assm!$F$32,G228,Capacity*C228)))*(1+RAROC!$N$12)</f>
        <v>3192690</v>
      </c>
      <c r="E228" s="1229" t="n">
        <f aca="false">IF($A228&gt;Endyr,0,Tariff_Cap)</f>
        <v>0.5668</v>
      </c>
      <c r="F228" s="1230" t="n">
        <f aca="false">D228*E228/1000</f>
        <v>1809.616692</v>
      </c>
      <c r="G228" s="1231" t="n">
        <f aca="false">[4]MMBTU!U251</f>
        <v>2095485.40475594</v>
      </c>
      <c r="H228" s="1229" t="n">
        <f aca="false">IF($A228&gt;Endyr,0,Tariff_Var)</f>
        <v>0.0064</v>
      </c>
      <c r="I228" s="1230" t="n">
        <f aca="false">G228*H228/1000</f>
        <v>13.411106590438</v>
      </c>
      <c r="J228" s="1232" t="n">
        <f aca="false">SUM(F228,I228)</f>
        <v>1823.02779859044</v>
      </c>
      <c r="K228" s="1233" t="n">
        <f aca="false">VLOOKUP($A228,Curves_Table,Escalation!$O$291)</f>
        <v>1.72801332733687</v>
      </c>
      <c r="L228" s="1234" t="n">
        <f aca="false">J228*K228</f>
        <v>3150.21633206987</v>
      </c>
      <c r="M228" s="1235" t="str">
        <f aca="false">IF(MONTH($A228)=12,SUM(L217:L228)," ")</f>
        <v> </v>
      </c>
    </row>
    <row r="229" customFormat="false" ht="12.75" hidden="false" customHeight="false" outlineLevel="0" collapsed="false">
      <c r="A229" s="1226" t="n">
        <f aca="false">EDATE(A228,1)</f>
        <v>43556</v>
      </c>
      <c r="C229" s="1227" t="n">
        <f aca="false">A230-A229</f>
        <v>30</v>
      </c>
      <c r="D229" s="1228" t="n">
        <f aca="false">(IF($A229&gt;Endyr,0,IF($A229&lt;Assm!$F$32,G229,Capacity*C229)))*(1+RAROC!$N$12)</f>
        <v>3089700</v>
      </c>
      <c r="E229" s="1229" t="n">
        <f aca="false">IF($A229&gt;Endyr,0,Tariff_Cap)</f>
        <v>0.5668</v>
      </c>
      <c r="F229" s="1230" t="n">
        <f aca="false">D229*E229/1000</f>
        <v>1751.24196</v>
      </c>
      <c r="G229" s="1231" t="n">
        <f aca="false">[4]MMBTU!U252</f>
        <v>2027889.10137672</v>
      </c>
      <c r="H229" s="1229" t="n">
        <f aca="false">IF($A229&gt;Endyr,0,Tariff_Var)</f>
        <v>0.0064</v>
      </c>
      <c r="I229" s="1230" t="n">
        <f aca="false">G229*H229/1000</f>
        <v>12.978490248811</v>
      </c>
      <c r="J229" s="1232" t="n">
        <f aca="false">SUM(F229,I229)</f>
        <v>1764.22045024881</v>
      </c>
      <c r="K229" s="1233" t="n">
        <f aca="false">VLOOKUP($A229,Curves_Table,Escalation!$O$291)</f>
        <v>1.72801332733687</v>
      </c>
      <c r="L229" s="1234" t="n">
        <f aca="false">J229*K229</f>
        <v>3048.5964503902</v>
      </c>
      <c r="M229" s="1235" t="str">
        <f aca="false">IF(MONTH($A229)=12,SUM(L218:L229)," ")</f>
        <v> </v>
      </c>
    </row>
    <row r="230" customFormat="false" ht="12.75" hidden="false" customHeight="false" outlineLevel="0" collapsed="false">
      <c r="A230" s="1226" t="n">
        <f aca="false">EDATE(A229,1)</f>
        <v>43586</v>
      </c>
      <c r="C230" s="1227" t="n">
        <f aca="false">A231-A230</f>
        <v>31</v>
      </c>
      <c r="D230" s="1228" t="n">
        <f aca="false">(IF($A230&gt;Endyr,0,IF($A230&lt;Assm!$F$32,G230,Capacity*C230)))*(1+RAROC!$N$12)</f>
        <v>0</v>
      </c>
      <c r="E230" s="1229" t="n">
        <f aca="false">IF($A230&gt;Endyr,0,Tariff_Cap)</f>
        <v>0</v>
      </c>
      <c r="F230" s="1230" t="n">
        <f aca="false">D230*E230/1000</f>
        <v>0</v>
      </c>
      <c r="G230" s="1231" t="n">
        <f aca="false">[4]MMBTU!U253</f>
        <v>0</v>
      </c>
      <c r="H230" s="1229" t="n">
        <f aca="false">IF($A230&gt;Endyr,0,Tariff_Var)</f>
        <v>0</v>
      </c>
      <c r="I230" s="1230" t="n">
        <f aca="false">G230*H230/1000</f>
        <v>0</v>
      </c>
      <c r="J230" s="1232" t="n">
        <f aca="false">SUM(F230,I230)</f>
        <v>0</v>
      </c>
      <c r="K230" s="1233" t="n">
        <f aca="false">VLOOKUP($A230,Curves_Table,Escalation!$O$291)</f>
        <v>1.77543572910631</v>
      </c>
      <c r="L230" s="1234" t="n">
        <f aca="false">J230*K230</f>
        <v>0</v>
      </c>
      <c r="M230" s="1235" t="str">
        <f aca="false">IF(MONTH($A230)=12,SUM(L219:L230)," ")</f>
        <v> </v>
      </c>
    </row>
    <row r="231" customFormat="false" ht="12.75" hidden="false" customHeight="false" outlineLevel="0" collapsed="false">
      <c r="A231" s="1226" t="n">
        <f aca="false">EDATE(A230,1)</f>
        <v>43617</v>
      </c>
      <c r="C231" s="1227" t="n">
        <f aca="false">A232-A231</f>
        <v>30</v>
      </c>
      <c r="D231" s="1228" t="n">
        <f aca="false">(IF($A231&gt;Endyr,0,IF($A231&lt;Assm!$F$32,G231,Capacity*C231)))*(1+RAROC!$N$12)</f>
        <v>0</v>
      </c>
      <c r="E231" s="1229" t="n">
        <f aca="false">IF($A231&gt;Endyr,0,Tariff_Cap)</f>
        <v>0</v>
      </c>
      <c r="F231" s="1230" t="n">
        <f aca="false">D231*E231/1000</f>
        <v>0</v>
      </c>
      <c r="G231" s="1231" t="n">
        <f aca="false">[4]MMBTU!U254</f>
        <v>0</v>
      </c>
      <c r="H231" s="1229" t="n">
        <f aca="false">IF($A231&gt;Endyr,0,Tariff_Var)</f>
        <v>0</v>
      </c>
      <c r="I231" s="1230" t="n">
        <f aca="false">G231*H231/1000</f>
        <v>0</v>
      </c>
      <c r="J231" s="1232" t="n">
        <f aca="false">SUM(F231,I231)</f>
        <v>0</v>
      </c>
      <c r="K231" s="1233" t="n">
        <f aca="false">VLOOKUP($A231,Curves_Table,Escalation!$O$291)</f>
        <v>1.77543572910631</v>
      </c>
      <c r="L231" s="1234" t="n">
        <f aca="false">J231*K231</f>
        <v>0</v>
      </c>
      <c r="M231" s="1235" t="str">
        <f aca="false">IF(MONTH($A231)=12,SUM(L220:L231)," ")</f>
        <v> </v>
      </c>
    </row>
    <row r="232" customFormat="false" ht="12.75" hidden="false" customHeight="false" outlineLevel="0" collapsed="false">
      <c r="A232" s="1226" t="n">
        <f aca="false">EDATE(A231,1)</f>
        <v>43647</v>
      </c>
      <c r="C232" s="1227" t="n">
        <f aca="false">A233-A232</f>
        <v>31</v>
      </c>
      <c r="D232" s="1228" t="n">
        <f aca="false">(IF($A232&gt;Endyr,0,IF($A232&lt;Assm!$F$32,G232,Capacity*C232)))*(1+RAROC!$N$12)</f>
        <v>0</v>
      </c>
      <c r="E232" s="1229" t="n">
        <f aca="false">IF($A232&gt;Endyr,0,Tariff_Cap)</f>
        <v>0</v>
      </c>
      <c r="F232" s="1230" t="n">
        <f aca="false">D232*E232/1000</f>
        <v>0</v>
      </c>
      <c r="G232" s="1231" t="n">
        <f aca="false">[4]MMBTU!U255</f>
        <v>0</v>
      </c>
      <c r="H232" s="1229" t="n">
        <f aca="false">IF($A232&gt;Endyr,0,Tariff_Var)</f>
        <v>0</v>
      </c>
      <c r="I232" s="1230" t="n">
        <f aca="false">G232*H232/1000</f>
        <v>0</v>
      </c>
      <c r="J232" s="1232" t="n">
        <f aca="false">SUM(F232,I232)</f>
        <v>0</v>
      </c>
      <c r="K232" s="1233" t="n">
        <f aca="false">VLOOKUP($A232,Curves_Table,Escalation!$O$291)</f>
        <v>1.77543572910631</v>
      </c>
      <c r="L232" s="1234" t="n">
        <f aca="false">J232*K232</f>
        <v>0</v>
      </c>
      <c r="M232" s="1235" t="str">
        <f aca="false">IF(MONTH($A232)=12,SUM(L221:L232)," ")</f>
        <v> </v>
      </c>
    </row>
    <row r="233" customFormat="false" ht="12.75" hidden="false" customHeight="false" outlineLevel="0" collapsed="false">
      <c r="A233" s="1226" t="n">
        <f aca="false">EDATE(A232,1)</f>
        <v>43678</v>
      </c>
      <c r="C233" s="1227" t="n">
        <f aca="false">A234-A233</f>
        <v>31</v>
      </c>
      <c r="D233" s="1228" t="n">
        <f aca="false">(IF($A233&gt;Endyr,0,IF($A233&lt;Assm!$F$32,G233,Capacity*C233)))*(1+RAROC!$N$12)</f>
        <v>0</v>
      </c>
      <c r="E233" s="1229" t="n">
        <f aca="false">IF($A233&gt;Endyr,0,Tariff_Cap)</f>
        <v>0</v>
      </c>
      <c r="F233" s="1230" t="n">
        <f aca="false">D233*E233/1000</f>
        <v>0</v>
      </c>
      <c r="G233" s="1231" t="n">
        <f aca="false">[4]MMBTU!U256</f>
        <v>0</v>
      </c>
      <c r="H233" s="1229" t="n">
        <f aca="false">IF($A233&gt;Endyr,0,Tariff_Var)</f>
        <v>0</v>
      </c>
      <c r="I233" s="1230" t="n">
        <f aca="false">G233*H233/1000</f>
        <v>0</v>
      </c>
      <c r="J233" s="1232" t="n">
        <f aca="false">SUM(F233,I233)</f>
        <v>0</v>
      </c>
      <c r="K233" s="1233" t="n">
        <f aca="false">VLOOKUP($A233,Curves_Table,Escalation!$O$291)</f>
        <v>1.77543572910631</v>
      </c>
      <c r="L233" s="1234" t="n">
        <f aca="false">J233*K233</f>
        <v>0</v>
      </c>
      <c r="M233" s="1235" t="str">
        <f aca="false">IF(MONTH($A233)=12,SUM(L222:L233)," ")</f>
        <v> </v>
      </c>
    </row>
    <row r="234" customFormat="false" ht="12.75" hidden="false" customHeight="false" outlineLevel="0" collapsed="false">
      <c r="A234" s="1226" t="n">
        <f aca="false">EDATE(A233,1)</f>
        <v>43709</v>
      </c>
      <c r="C234" s="1227" t="n">
        <f aca="false">A235-A234</f>
        <v>30</v>
      </c>
      <c r="D234" s="1228" t="n">
        <f aca="false">(IF($A234&gt;Endyr,0,IF($A234&lt;Assm!$F$32,G234,Capacity*C234)))*(1+RAROC!$N$12)</f>
        <v>0</v>
      </c>
      <c r="E234" s="1229" t="n">
        <f aca="false">IF($A234&gt;Endyr,0,Tariff_Cap)</f>
        <v>0</v>
      </c>
      <c r="F234" s="1230" t="n">
        <f aca="false">D234*E234/1000</f>
        <v>0</v>
      </c>
      <c r="G234" s="1231" t="n">
        <f aca="false">[4]MMBTU!U257</f>
        <v>0</v>
      </c>
      <c r="H234" s="1229" t="n">
        <f aca="false">IF($A234&gt;Endyr,0,Tariff_Var)</f>
        <v>0</v>
      </c>
      <c r="I234" s="1230" t="n">
        <f aca="false">G234*H234/1000</f>
        <v>0</v>
      </c>
      <c r="J234" s="1232" t="n">
        <f aca="false">SUM(F234,I234)</f>
        <v>0</v>
      </c>
      <c r="K234" s="1233" t="n">
        <f aca="false">VLOOKUP($A234,Curves_Table,Escalation!$O$291)</f>
        <v>1.77543572910631</v>
      </c>
      <c r="L234" s="1234" t="n">
        <f aca="false">J234*K234</f>
        <v>0</v>
      </c>
      <c r="M234" s="1235" t="str">
        <f aca="false">IF(MONTH($A234)=12,SUM(L223:L234)," ")</f>
        <v> </v>
      </c>
    </row>
    <row r="235" customFormat="false" ht="12.75" hidden="false" customHeight="false" outlineLevel="0" collapsed="false">
      <c r="A235" s="1226" t="n">
        <f aca="false">EDATE(A234,1)</f>
        <v>43739</v>
      </c>
      <c r="C235" s="1227" t="n">
        <f aca="false">A236-A235</f>
        <v>31</v>
      </c>
      <c r="D235" s="1228" t="n">
        <f aca="false">(IF($A235&gt;Endyr,0,IF($A235&lt;Assm!$F$32,G235,Capacity*C235)))*(1+RAROC!$N$12)</f>
        <v>0</v>
      </c>
      <c r="E235" s="1229" t="n">
        <f aca="false">IF($A235&gt;Endyr,0,Tariff_Cap)</f>
        <v>0</v>
      </c>
      <c r="F235" s="1230" t="n">
        <f aca="false">D235*E235/1000</f>
        <v>0</v>
      </c>
      <c r="G235" s="1231" t="n">
        <f aca="false">[4]MMBTU!U258</f>
        <v>0</v>
      </c>
      <c r="H235" s="1229" t="n">
        <f aca="false">IF($A235&gt;Endyr,0,Tariff_Var)</f>
        <v>0</v>
      </c>
      <c r="I235" s="1230" t="n">
        <f aca="false">G235*H235/1000</f>
        <v>0</v>
      </c>
      <c r="J235" s="1232" t="n">
        <f aca="false">SUM(F235,I235)</f>
        <v>0</v>
      </c>
      <c r="K235" s="1233" t="n">
        <f aca="false">VLOOKUP($A235,Curves_Table,Escalation!$O$291)</f>
        <v>1.77543572910631</v>
      </c>
      <c r="L235" s="1234" t="n">
        <f aca="false">J235*K235</f>
        <v>0</v>
      </c>
      <c r="M235" s="1235" t="str">
        <f aca="false">IF(MONTH($A235)=12,SUM(L224:L235)," ")</f>
        <v> </v>
      </c>
    </row>
    <row r="236" customFormat="false" ht="12.75" hidden="false" customHeight="false" outlineLevel="0" collapsed="false">
      <c r="A236" s="1226" t="n">
        <f aca="false">EDATE(A235,1)</f>
        <v>43770</v>
      </c>
      <c r="C236" s="1227" t="n">
        <f aca="false">A237-A236</f>
        <v>30</v>
      </c>
      <c r="D236" s="1228" t="n">
        <f aca="false">(IF($A236&gt;Endyr,0,IF($A236&lt;Assm!$F$32,G236,Capacity*C236)))*(1+RAROC!$N$12)</f>
        <v>0</v>
      </c>
      <c r="E236" s="1229" t="n">
        <f aca="false">IF($A236&gt;Endyr,0,Tariff_Cap)</f>
        <v>0</v>
      </c>
      <c r="F236" s="1230" t="n">
        <f aca="false">D236*E236/1000</f>
        <v>0</v>
      </c>
      <c r="G236" s="1231" t="n">
        <f aca="false">[4]MMBTU!U259</f>
        <v>0</v>
      </c>
      <c r="H236" s="1229" t="n">
        <f aca="false">IF($A236&gt;Endyr,0,Tariff_Var)</f>
        <v>0</v>
      </c>
      <c r="I236" s="1230" t="n">
        <f aca="false">G236*H236/1000</f>
        <v>0</v>
      </c>
      <c r="J236" s="1232" t="n">
        <f aca="false">SUM(F236,I236)</f>
        <v>0</v>
      </c>
      <c r="K236" s="1233" t="n">
        <f aca="false">VLOOKUP($A236,Curves_Table,Escalation!$O$291)</f>
        <v>1.77543572910631</v>
      </c>
      <c r="L236" s="1234" t="n">
        <f aca="false">J236*K236</f>
        <v>0</v>
      </c>
      <c r="M236" s="1235" t="str">
        <f aca="false">IF(MONTH($A236)=12,SUM(L225:L236)," ")</f>
        <v> </v>
      </c>
    </row>
    <row r="237" customFormat="false" ht="12.75" hidden="false" customHeight="false" outlineLevel="0" collapsed="false">
      <c r="A237" s="1226" t="n">
        <f aca="false">EDATE(A236,1)</f>
        <v>43800</v>
      </c>
      <c r="C237" s="1227" t="n">
        <f aca="false">A238-A237</f>
        <v>31</v>
      </c>
      <c r="D237" s="1228" t="n">
        <f aca="false">(IF($A237&gt;Endyr,0,IF($A237&lt;Assm!$F$32,G237,Capacity*C237)))*(1+RAROC!$N$12)</f>
        <v>0</v>
      </c>
      <c r="E237" s="1229" t="n">
        <f aca="false">IF($A237&gt;Endyr,0,Tariff_Cap)</f>
        <v>0</v>
      </c>
      <c r="F237" s="1230" t="n">
        <f aca="false">D237*E237/1000</f>
        <v>0</v>
      </c>
      <c r="G237" s="1231" t="n">
        <f aca="false">[4]MMBTU!U260</f>
        <v>0</v>
      </c>
      <c r="H237" s="1229" t="n">
        <f aca="false">IF($A237&gt;Endyr,0,Tariff_Var)</f>
        <v>0</v>
      </c>
      <c r="I237" s="1230" t="n">
        <f aca="false">G237*H237/1000</f>
        <v>0</v>
      </c>
      <c r="J237" s="1232" t="n">
        <f aca="false">SUM(F237,I237)</f>
        <v>0</v>
      </c>
      <c r="K237" s="1233" t="n">
        <f aca="false">VLOOKUP($A237,Curves_Table,Escalation!$O$291)</f>
        <v>1.77543572910631</v>
      </c>
      <c r="L237" s="1234" t="n">
        <f aca="false">J237*K237</f>
        <v>0</v>
      </c>
      <c r="M237" s="1235" t="n">
        <f aca="false">IF(MONTH($A237)=12,SUM(L226:L237)," ")</f>
        <v>12194.3858015608</v>
      </c>
    </row>
    <row r="238" customFormat="false" ht="12.75" hidden="false" customHeight="false" outlineLevel="0" collapsed="false">
      <c r="A238" s="1226" t="n">
        <f aca="false">EDATE(A237,1)</f>
        <v>43831</v>
      </c>
      <c r="C238" s="1227" t="n">
        <f aca="false">A239-A238</f>
        <v>31</v>
      </c>
      <c r="D238" s="1228" t="n">
        <f aca="false">(IF($A238&gt;Endyr,0,IF($A238&lt;Assm!$F$32,G238,Capacity*C238)))*(1+RAROC!$N$12)</f>
        <v>0</v>
      </c>
      <c r="E238" s="1229" t="n">
        <f aca="false">IF($A238&gt;Endyr,0,Tariff_Cap)</f>
        <v>0</v>
      </c>
      <c r="F238" s="1230" t="n">
        <f aca="false">D238*E238/1000</f>
        <v>0</v>
      </c>
      <c r="G238" s="1231" t="n">
        <f aca="false">[4]MMBTU!U261</f>
        <v>0</v>
      </c>
      <c r="H238" s="1229" t="n">
        <f aca="false">IF($A238&gt;Endyr,0,Tariff_Var)</f>
        <v>0</v>
      </c>
      <c r="I238" s="1230" t="n">
        <f aca="false">G238*H238/1000</f>
        <v>0</v>
      </c>
      <c r="J238" s="1232" t="n">
        <f aca="false">SUM(F238,I238)</f>
        <v>0</v>
      </c>
      <c r="K238" s="1233" t="n">
        <f aca="false">VLOOKUP($A238,Curves_Table,Escalation!$O$291)</f>
        <v>1.77543572910631</v>
      </c>
      <c r="L238" s="1234" t="n">
        <f aca="false">J238*K238</f>
        <v>0</v>
      </c>
      <c r="M238" s="1235" t="str">
        <f aca="false">IF(MONTH($A238)=12,SUM(L227:L238)," ")</f>
        <v> </v>
      </c>
    </row>
    <row r="239" customFormat="false" ht="12.75" hidden="false" customHeight="false" outlineLevel="0" collapsed="false">
      <c r="A239" s="1226" t="n">
        <f aca="false">EDATE(A238,1)</f>
        <v>43862</v>
      </c>
      <c r="C239" s="1227" t="n">
        <f aca="false">A240-A239</f>
        <v>29</v>
      </c>
      <c r="D239" s="1228" t="n">
        <f aca="false">(IF($A239&gt;Endyr,0,IF($A239&lt;Assm!$F$32,G239,Capacity*C239)))*(1+RAROC!$N$12)</f>
        <v>0</v>
      </c>
      <c r="E239" s="1229" t="n">
        <f aca="false">IF($A239&gt;Endyr,0,Tariff_Cap)</f>
        <v>0</v>
      </c>
      <c r="F239" s="1230" t="n">
        <f aca="false">D239*E239/1000</f>
        <v>0</v>
      </c>
      <c r="G239" s="1231" t="n">
        <f aca="false">[4]MMBTU!U262</f>
        <v>0</v>
      </c>
      <c r="H239" s="1229" t="n">
        <f aca="false">IF($A239&gt;Endyr,0,Tariff_Var)</f>
        <v>0</v>
      </c>
      <c r="I239" s="1230" t="n">
        <f aca="false">G239*H239/1000</f>
        <v>0</v>
      </c>
      <c r="J239" s="1232" t="n">
        <f aca="false">SUM(F239,I239)</f>
        <v>0</v>
      </c>
      <c r="K239" s="1233" t="n">
        <f aca="false">VLOOKUP($A239,Curves_Table,Escalation!$O$291)</f>
        <v>1.77543572910631</v>
      </c>
      <c r="L239" s="1234" t="n">
        <f aca="false">J239*K239</f>
        <v>0</v>
      </c>
      <c r="M239" s="1235" t="str">
        <f aca="false">IF(MONTH($A239)=12,SUM(L228:L239)," ")</f>
        <v> </v>
      </c>
    </row>
    <row r="240" customFormat="false" ht="12.75" hidden="false" customHeight="false" outlineLevel="0" collapsed="false">
      <c r="A240" s="1226" t="n">
        <f aca="false">EDATE(A239,1)</f>
        <v>43891</v>
      </c>
      <c r="C240" s="1227" t="n">
        <f aca="false">A241-A240</f>
        <v>31</v>
      </c>
      <c r="D240" s="1228" t="n">
        <f aca="false">(IF($A240&gt;Endyr,0,IF($A240&lt;Assm!$F$32,G240,Capacity*C240)))*(1+RAROC!$N$12)</f>
        <v>0</v>
      </c>
      <c r="E240" s="1229" t="n">
        <f aca="false">IF($A240&gt;Endyr,0,Tariff_Cap)</f>
        <v>0</v>
      </c>
      <c r="F240" s="1230" t="n">
        <f aca="false">D240*E240/1000</f>
        <v>0</v>
      </c>
      <c r="G240" s="1231" t="n">
        <f aca="false">[4]MMBTU!U263</f>
        <v>0</v>
      </c>
      <c r="H240" s="1229" t="n">
        <f aca="false">IF($A240&gt;Endyr,0,Tariff_Var)</f>
        <v>0</v>
      </c>
      <c r="I240" s="1230" t="n">
        <f aca="false">G240*H240/1000</f>
        <v>0</v>
      </c>
      <c r="J240" s="1232" t="n">
        <f aca="false">SUM(F240,I240)</f>
        <v>0</v>
      </c>
      <c r="K240" s="1233" t="n">
        <f aca="false">VLOOKUP($A240,Curves_Table,Escalation!$O$291)</f>
        <v>1.77543572910631</v>
      </c>
      <c r="L240" s="1234" t="n">
        <f aca="false">J240*K240</f>
        <v>0</v>
      </c>
      <c r="M240" s="1235" t="str">
        <f aca="false">IF(MONTH($A240)=12,SUM(L229:L240)," ")</f>
        <v> </v>
      </c>
    </row>
    <row r="241" customFormat="false" ht="12.75" hidden="false" customHeight="false" outlineLevel="0" collapsed="false">
      <c r="A241" s="1226" t="n">
        <f aca="false">EDATE(A240,1)</f>
        <v>43922</v>
      </c>
      <c r="C241" s="1227" t="n">
        <f aca="false">A242-A241</f>
        <v>30</v>
      </c>
      <c r="D241" s="1228" t="n">
        <f aca="false">(IF($A241&gt;Endyr,0,IF($A241&lt;Assm!$F$32,G241,Capacity*C241)))*(1+RAROC!$N$12)</f>
        <v>0</v>
      </c>
      <c r="E241" s="1229" t="n">
        <f aca="false">IF($A241&gt;Endyr,0,Tariff_Cap)</f>
        <v>0</v>
      </c>
      <c r="F241" s="1230" t="n">
        <f aca="false">D241*E241/1000</f>
        <v>0</v>
      </c>
      <c r="G241" s="1231" t="n">
        <f aca="false">[4]MMBTU!U264</f>
        <v>0</v>
      </c>
      <c r="H241" s="1229" t="n">
        <f aca="false">IF($A241&gt;Endyr,0,Tariff_Var)</f>
        <v>0</v>
      </c>
      <c r="I241" s="1230" t="n">
        <f aca="false">G241*H241/1000</f>
        <v>0</v>
      </c>
      <c r="J241" s="1232" t="n">
        <f aca="false">SUM(F241,I241)</f>
        <v>0</v>
      </c>
      <c r="K241" s="1233" t="n">
        <f aca="false">VLOOKUP($A241,Curves_Table,Escalation!$O$291)</f>
        <v>1.77543572910631</v>
      </c>
      <c r="L241" s="1234" t="n">
        <f aca="false">J241*K241</f>
        <v>0</v>
      </c>
      <c r="M241" s="1235" t="str">
        <f aca="false">IF(MONTH($A241)=12,SUM(L230:L241)," ")</f>
        <v> </v>
      </c>
    </row>
    <row r="242" customFormat="false" ht="12.75" hidden="false" customHeight="false" outlineLevel="0" collapsed="false">
      <c r="A242" s="1226" t="n">
        <f aca="false">EDATE(A241,1)</f>
        <v>43952</v>
      </c>
      <c r="C242" s="1227" t="n">
        <f aca="false">A243-A242</f>
        <v>31</v>
      </c>
      <c r="D242" s="1228" t="n">
        <f aca="false">(IF($A242&gt;Endyr,0,IF($A242&lt;Assm!$F$32,G242,Capacity*C242)))*(1+RAROC!$N$12)</f>
        <v>0</v>
      </c>
      <c r="E242" s="1229" t="n">
        <f aca="false">IF($A242&gt;Endyr,0,Tariff_Cap)</f>
        <v>0</v>
      </c>
      <c r="F242" s="1230" t="n">
        <f aca="false">D242*E242/1000</f>
        <v>0</v>
      </c>
      <c r="G242" s="1231" t="n">
        <f aca="false">[4]MMBTU!U265</f>
        <v>0</v>
      </c>
      <c r="H242" s="1229" t="n">
        <f aca="false">IF($A242&gt;Endyr,0,Tariff_Var)</f>
        <v>0</v>
      </c>
      <c r="I242" s="1230" t="n">
        <f aca="false">G242*H242/1000</f>
        <v>0</v>
      </c>
      <c r="J242" s="1232" t="n">
        <f aca="false">SUM(F242,I242)</f>
        <v>0</v>
      </c>
      <c r="K242" s="1233" t="n">
        <f aca="false">VLOOKUP($A242,Curves_Table,Escalation!$O$291)</f>
        <v>1.77543572910631</v>
      </c>
      <c r="L242" s="1234" t="n">
        <f aca="false">J242*K242</f>
        <v>0</v>
      </c>
      <c r="M242" s="1235" t="str">
        <f aca="false">IF(MONTH($A242)=12,SUM(L231:L242)," ")</f>
        <v> </v>
      </c>
    </row>
    <row r="243" customFormat="false" ht="12.75" hidden="false" customHeight="false" outlineLevel="0" collapsed="false">
      <c r="A243" s="1226" t="n">
        <f aca="false">EDATE(A242,1)</f>
        <v>43983</v>
      </c>
      <c r="C243" s="1227" t="n">
        <f aca="false">A244-A243</f>
        <v>30</v>
      </c>
      <c r="D243" s="1228" t="n">
        <f aca="false">(IF($A243&gt;Endyr,0,IF($A243&lt;Assm!$F$32,G243,Capacity*C243)))*(1+RAROC!$N$12)</f>
        <v>0</v>
      </c>
      <c r="E243" s="1229" t="n">
        <f aca="false">IF($A243&gt;Endyr,0,Tariff_Cap)</f>
        <v>0</v>
      </c>
      <c r="F243" s="1230" t="n">
        <f aca="false">D243*E243/1000</f>
        <v>0</v>
      </c>
      <c r="G243" s="1231" t="n">
        <f aca="false">[4]MMBTU!U266</f>
        <v>0</v>
      </c>
      <c r="H243" s="1229" t="n">
        <f aca="false">IF($A243&gt;Endyr,0,Tariff_Var)</f>
        <v>0</v>
      </c>
      <c r="I243" s="1230" t="n">
        <f aca="false">G243*H243/1000</f>
        <v>0</v>
      </c>
      <c r="J243" s="1232" t="n">
        <f aca="false">SUM(F243,I243)</f>
        <v>0</v>
      </c>
      <c r="K243" s="1233" t="n">
        <f aca="false">VLOOKUP($A243,Curves_Table,Escalation!$O$291)</f>
        <v>1.77543572910631</v>
      </c>
      <c r="L243" s="1234" t="n">
        <f aca="false">J243*K243</f>
        <v>0</v>
      </c>
      <c r="M243" s="1235" t="str">
        <f aca="false">IF(MONTH($A243)=12,SUM(L232:L243)," ")</f>
        <v> </v>
      </c>
    </row>
    <row r="244" customFormat="false" ht="12.75" hidden="false" customHeight="false" outlineLevel="0" collapsed="false">
      <c r="A244" s="1226" t="n">
        <f aca="false">EDATE(A243,1)</f>
        <v>44013</v>
      </c>
      <c r="C244" s="1227" t="n">
        <f aca="false">A245-A244</f>
        <v>31</v>
      </c>
      <c r="D244" s="1228" t="n">
        <f aca="false">(IF($A244&gt;Endyr,0,IF($A244&lt;Assm!$F$32,G244,Capacity*C244)))*(1+RAROC!$N$12)</f>
        <v>0</v>
      </c>
      <c r="E244" s="1229" t="n">
        <f aca="false">IF($A244&gt;Endyr,0,Tariff_Cap)</f>
        <v>0</v>
      </c>
      <c r="F244" s="1230" t="n">
        <f aca="false">D244*E244/1000</f>
        <v>0</v>
      </c>
      <c r="G244" s="1231" t="n">
        <f aca="false">[4]MMBTU!U267</f>
        <v>0</v>
      </c>
      <c r="H244" s="1229" t="n">
        <f aca="false">IF($A244&gt;Endyr,0,Tariff_Var)</f>
        <v>0</v>
      </c>
      <c r="I244" s="1230" t="n">
        <f aca="false">G244*H244/1000</f>
        <v>0</v>
      </c>
      <c r="J244" s="1232" t="n">
        <f aca="false">SUM(F244,I244)</f>
        <v>0</v>
      </c>
      <c r="K244" s="1233" t="n">
        <f aca="false">VLOOKUP($A244,Curves_Table,Escalation!$O$291)</f>
        <v>1.77543572910631</v>
      </c>
      <c r="L244" s="1234" t="n">
        <f aca="false">J244*K244</f>
        <v>0</v>
      </c>
      <c r="M244" s="1235" t="str">
        <f aca="false">IF(MONTH($A244)=12,SUM(L233:L244)," ")</f>
        <v> </v>
      </c>
    </row>
    <row r="245" customFormat="false" ht="12.75" hidden="false" customHeight="false" outlineLevel="0" collapsed="false">
      <c r="A245" s="1226" t="n">
        <f aca="false">EDATE(A244,1)</f>
        <v>44044</v>
      </c>
      <c r="C245" s="1227" t="n">
        <f aca="false">A246-A245</f>
        <v>31</v>
      </c>
      <c r="D245" s="1228" t="n">
        <f aca="false">(IF($A245&gt;Endyr,0,IF($A245&lt;Assm!$F$32,G245,Capacity*C245)))*(1+RAROC!$N$12)</f>
        <v>0</v>
      </c>
      <c r="E245" s="1229" t="n">
        <f aca="false">IF($A245&gt;Endyr,0,Tariff_Cap)</f>
        <v>0</v>
      </c>
      <c r="F245" s="1230" t="n">
        <f aca="false">D245*E245/1000</f>
        <v>0</v>
      </c>
      <c r="G245" s="1231" t="n">
        <f aca="false">[4]MMBTU!U268</f>
        <v>445199841.057322</v>
      </c>
      <c r="H245" s="1229" t="n">
        <f aca="false">IF($A245&gt;Endyr,0,Tariff_Var)</f>
        <v>0</v>
      </c>
      <c r="I245" s="1230" t="n">
        <f aca="false">G245*H245/1000</f>
        <v>0</v>
      </c>
      <c r="J245" s="1232" t="n">
        <f aca="false">SUM(F245,I245)</f>
        <v>0</v>
      </c>
      <c r="K245" s="1233" t="n">
        <f aca="false">VLOOKUP($A245,Curves_Table,Escalation!$O$291)</f>
        <v>1.77543572910631</v>
      </c>
      <c r="L245" s="1234" t="n">
        <f aca="false">J245*K245</f>
        <v>0</v>
      </c>
      <c r="M245" s="1235" t="str">
        <f aca="false">IF(MONTH($A245)=12,SUM(L234:L245)," ")</f>
        <v> </v>
      </c>
    </row>
    <row r="246" customFormat="false" ht="13.5" hidden="false" customHeight="false" outlineLevel="0" collapsed="false">
      <c r="A246" s="1244" t="n">
        <f aca="false">EDATE(A245,1)</f>
        <v>44075</v>
      </c>
      <c r="C246" s="37"/>
      <c r="D246" s="39"/>
      <c r="E246" s="1195"/>
      <c r="F246" s="1222"/>
      <c r="G246" s="1223"/>
      <c r="H246" s="1195"/>
      <c r="I246" s="1222"/>
      <c r="J246" s="1224"/>
      <c r="L246" s="1195"/>
      <c r="M246" s="1225"/>
    </row>
    <row r="247" customFormat="false" ht="13.5" hidden="false" customHeight="false" outlineLevel="0" collapsed="false">
      <c r="A247" s="1245"/>
      <c r="C247" s="1246"/>
      <c r="D247" s="1247"/>
      <c r="E247" s="1247"/>
      <c r="F247" s="1248"/>
      <c r="G247" s="1249"/>
      <c r="H247" s="1247"/>
      <c r="I247" s="1248"/>
      <c r="J247" s="1249"/>
      <c r="K247" s="1247"/>
      <c r="L247" s="1250" t="s">
        <v>1163</v>
      </c>
      <c r="M247" s="1251" t="n">
        <f aca="false">SUM(M11:M246)</f>
        <v>539201.676419266</v>
      </c>
    </row>
    <row r="248" customFormat="false" ht="12.75" hidden="false" customHeight="false" outlineLevel="0" collapsed="false">
      <c r="D248" s="1194"/>
      <c r="G248" s="1194"/>
      <c r="K248" s="1194"/>
    </row>
    <row r="249" customFormat="false" ht="12.75" hidden="false" customHeight="false" outlineLevel="0" collapsed="false">
      <c r="A249" s="1252" t="n">
        <v>1</v>
      </c>
      <c r="B249" s="1252" t="n">
        <f aca="false">A249+1</f>
        <v>2</v>
      </c>
      <c r="C249" s="1252" t="n">
        <f aca="false">B249+1</f>
        <v>3</v>
      </c>
      <c r="D249" s="1252" t="n">
        <f aca="false">C249+1</f>
        <v>4</v>
      </c>
      <c r="E249" s="1252" t="n">
        <f aca="false">D249+1</f>
        <v>5</v>
      </c>
      <c r="F249" s="1252" t="n">
        <f aca="false">E249+1</f>
        <v>6</v>
      </c>
      <c r="G249" s="1252" t="n">
        <f aca="false">F249+1</f>
        <v>7</v>
      </c>
      <c r="H249" s="1252" t="n">
        <f aca="false">G249+1</f>
        <v>8</v>
      </c>
      <c r="I249" s="1252" t="n">
        <f aca="false">H249+1</f>
        <v>9</v>
      </c>
      <c r="J249" s="1252" t="n">
        <f aca="false">I249+1</f>
        <v>10</v>
      </c>
      <c r="K249" s="1252" t="n">
        <f aca="false">J249+1</f>
        <v>11</v>
      </c>
      <c r="L249" s="1252" t="n">
        <f aca="false">K249+1</f>
        <v>12</v>
      </c>
      <c r="M249" s="1253" t="n">
        <f aca="false">L249+1</f>
        <v>13</v>
      </c>
    </row>
    <row r="250" customFormat="false" ht="12.75" hidden="false" customHeight="false" outlineLevel="0" collapsed="false">
      <c r="D250" s="1194"/>
      <c r="G250" s="1194"/>
      <c r="K250" s="1194"/>
    </row>
    <row r="251" customFormat="false" ht="12.75" hidden="false" customHeight="false" outlineLevel="0" collapsed="false">
      <c r="D251" s="1194"/>
      <c r="G251" s="1194"/>
      <c r="K251" s="1194"/>
    </row>
    <row r="252" customFormat="false" ht="12.75" hidden="false" customHeight="false" outlineLevel="0" collapsed="false">
      <c r="D252" s="1194"/>
      <c r="G252" s="1194"/>
      <c r="K252" s="1194"/>
    </row>
    <row r="253" customFormat="false" ht="12.75" hidden="false" customHeight="false" outlineLevel="0" collapsed="false">
      <c r="D253" s="1194"/>
      <c r="G253" s="1194"/>
      <c r="K253" s="1194"/>
    </row>
    <row r="254" customFormat="false" ht="12.75" hidden="false" customHeight="false" outlineLevel="0" collapsed="false">
      <c r="D254" s="1194"/>
      <c r="G254" s="1194"/>
      <c r="K254" s="1194"/>
    </row>
    <row r="255" customFormat="false" ht="12.75" hidden="false" customHeight="false" outlineLevel="0" collapsed="false">
      <c r="D255" s="1194"/>
      <c r="G255" s="1194"/>
      <c r="K255" s="1194"/>
    </row>
    <row r="256" customFormat="false" ht="12.75" hidden="false" customHeight="false" outlineLevel="0" collapsed="false">
      <c r="D256" s="1194"/>
      <c r="G256" s="1194"/>
      <c r="K256" s="1194"/>
    </row>
    <row r="257" customFormat="false" ht="12.75" hidden="false" customHeight="false" outlineLevel="0" collapsed="false">
      <c r="D257" s="1194"/>
      <c r="G257" s="1194"/>
      <c r="K257" s="1194"/>
    </row>
    <row r="258" customFormat="false" ht="12.75" hidden="false" customHeight="false" outlineLevel="0" collapsed="false">
      <c r="D258" s="1194"/>
      <c r="G258" s="1194"/>
      <c r="K258" s="1194"/>
    </row>
    <row r="259" customFormat="false" ht="12.75" hidden="false" customHeight="false" outlineLevel="0" collapsed="false">
      <c r="D259" s="1194"/>
      <c r="G259" s="1194"/>
      <c r="K259" s="1194"/>
    </row>
    <row r="260" customFormat="false" ht="12.75" hidden="false" customHeight="false" outlineLevel="0" collapsed="false">
      <c r="D260" s="1194"/>
      <c r="G260" s="1194"/>
      <c r="K260" s="1194"/>
    </row>
    <row r="261" customFormat="false" ht="12.75" hidden="false" customHeight="false" outlineLevel="0" collapsed="false">
      <c r="D261" s="1194"/>
      <c r="G261" s="1194"/>
      <c r="K261" s="1194"/>
    </row>
    <row r="262" customFormat="false" ht="12.75" hidden="false" customHeight="false" outlineLevel="0" collapsed="false">
      <c r="D262" s="1194"/>
      <c r="G262" s="1194"/>
      <c r="K262" s="1194"/>
    </row>
    <row r="263" customFormat="false" ht="12.75" hidden="false" customHeight="false" outlineLevel="0" collapsed="false">
      <c r="D263" s="1194"/>
      <c r="G263" s="1194"/>
      <c r="K263" s="1194"/>
    </row>
    <row r="264" customFormat="false" ht="12.75" hidden="false" customHeight="false" outlineLevel="0" collapsed="false">
      <c r="D264" s="1194"/>
      <c r="G264" s="1194"/>
      <c r="K264" s="1194"/>
    </row>
    <row r="265" customFormat="false" ht="12.75" hidden="false" customHeight="false" outlineLevel="0" collapsed="false">
      <c r="D265" s="1194"/>
      <c r="G265" s="1194"/>
      <c r="K265" s="1194"/>
    </row>
    <row r="266" customFormat="false" ht="12.75" hidden="false" customHeight="false" outlineLevel="0" collapsed="false">
      <c r="D266" s="1194"/>
      <c r="G266" s="1194"/>
      <c r="K266" s="1194"/>
    </row>
    <row r="267" customFormat="false" ht="12.75" hidden="false" customHeight="false" outlineLevel="0" collapsed="false">
      <c r="D267" s="1194"/>
      <c r="G267" s="1194"/>
      <c r="K267" s="1194"/>
    </row>
    <row r="268" customFormat="false" ht="12.75" hidden="false" customHeight="false" outlineLevel="0" collapsed="false">
      <c r="D268" s="1194"/>
      <c r="G268" s="1194"/>
      <c r="K268" s="1194"/>
    </row>
    <row r="269" customFormat="false" ht="12.75" hidden="false" customHeight="false" outlineLevel="0" collapsed="false">
      <c r="D269" s="1194"/>
      <c r="G269" s="1194"/>
      <c r="K269" s="1194"/>
    </row>
    <row r="270" customFormat="false" ht="12.75" hidden="false" customHeight="false" outlineLevel="0" collapsed="false">
      <c r="D270" s="1194"/>
      <c r="G270" s="1194"/>
      <c r="K270" s="1194"/>
    </row>
    <row r="271" customFormat="false" ht="12.75" hidden="false" customHeight="false" outlineLevel="0" collapsed="false">
      <c r="D271" s="1194"/>
      <c r="G271" s="1194"/>
      <c r="K271" s="1194"/>
    </row>
    <row r="272" customFormat="false" ht="12.75" hidden="false" customHeight="false" outlineLevel="0" collapsed="false">
      <c r="D272" s="1194"/>
      <c r="G272" s="1194"/>
      <c r="K272" s="1194"/>
    </row>
    <row r="273" customFormat="false" ht="12.75" hidden="false" customHeight="false" outlineLevel="0" collapsed="false">
      <c r="D273" s="1194"/>
      <c r="G273" s="1194"/>
      <c r="K273" s="1194"/>
    </row>
    <row r="274" customFormat="false" ht="12.75" hidden="false" customHeight="false" outlineLevel="0" collapsed="false">
      <c r="D274" s="1194"/>
      <c r="G274" s="1194"/>
      <c r="K274" s="1194"/>
    </row>
    <row r="275" customFormat="false" ht="12.75" hidden="false" customHeight="false" outlineLevel="0" collapsed="false">
      <c r="D275" s="1194"/>
      <c r="G275" s="1194"/>
      <c r="K275" s="1194"/>
    </row>
    <row r="276" customFormat="false" ht="12.75" hidden="false" customHeight="false" outlineLevel="0" collapsed="false">
      <c r="D276" s="1194"/>
      <c r="G276" s="1194"/>
      <c r="K276" s="1194"/>
    </row>
    <row r="277" customFormat="false" ht="12.75" hidden="false" customHeight="false" outlineLevel="0" collapsed="false">
      <c r="D277" s="1194"/>
      <c r="G277" s="1194"/>
      <c r="K277" s="1194"/>
    </row>
    <row r="278" customFormat="false" ht="12.75" hidden="false" customHeight="false" outlineLevel="0" collapsed="false">
      <c r="D278" s="1194"/>
      <c r="G278" s="1194"/>
      <c r="K278" s="1194"/>
    </row>
    <row r="279" customFormat="false" ht="12.75" hidden="false" customHeight="false" outlineLevel="0" collapsed="false">
      <c r="D279" s="1194"/>
      <c r="G279" s="1194"/>
      <c r="K279" s="1194"/>
    </row>
    <row r="280" customFormat="false" ht="12.75" hidden="false" customHeight="false" outlineLevel="0" collapsed="false">
      <c r="D280" s="1194"/>
      <c r="G280" s="1194"/>
      <c r="K280" s="1194"/>
    </row>
    <row r="281" customFormat="false" ht="12.75" hidden="false" customHeight="false" outlineLevel="0" collapsed="false">
      <c r="D281" s="1194"/>
      <c r="G281" s="1194"/>
      <c r="K281" s="1194"/>
    </row>
    <row r="282" customFormat="false" ht="12.75" hidden="false" customHeight="false" outlineLevel="0" collapsed="false">
      <c r="D282" s="1194"/>
      <c r="G282" s="1194"/>
      <c r="K282" s="1194"/>
    </row>
    <row r="283" customFormat="false" ht="12.75" hidden="false" customHeight="false" outlineLevel="0" collapsed="false">
      <c r="D283" s="1194"/>
      <c r="G283" s="1194"/>
      <c r="K283" s="1194"/>
    </row>
    <row r="284" customFormat="false" ht="12.75" hidden="false" customHeight="false" outlineLevel="0" collapsed="false">
      <c r="D284" s="1194"/>
      <c r="G284" s="1194"/>
      <c r="K284" s="1194"/>
    </row>
    <row r="285" customFormat="false" ht="12.75" hidden="false" customHeight="false" outlineLevel="0" collapsed="false">
      <c r="D285" s="1194"/>
      <c r="G285" s="1194"/>
      <c r="K285" s="1194"/>
    </row>
    <row r="286" customFormat="false" ht="12.75" hidden="false" customHeight="false" outlineLevel="0" collapsed="false">
      <c r="D286" s="1194"/>
      <c r="G286" s="1194"/>
      <c r="K286" s="1194"/>
    </row>
    <row r="287" customFormat="false" ht="12.75" hidden="false" customHeight="false" outlineLevel="0" collapsed="false">
      <c r="D287" s="1194"/>
      <c r="G287" s="1194"/>
      <c r="K287" s="1194"/>
    </row>
    <row r="288" customFormat="false" ht="12.75" hidden="false" customHeight="false" outlineLevel="0" collapsed="false">
      <c r="D288" s="1194"/>
      <c r="G288" s="1194"/>
      <c r="K288" s="1194"/>
    </row>
    <row r="289" customFormat="false" ht="12.75" hidden="false" customHeight="false" outlineLevel="0" collapsed="false">
      <c r="D289" s="1194"/>
      <c r="G289" s="1194"/>
      <c r="K289" s="1194"/>
    </row>
  </sheetData>
  <mergeCells count="2">
    <mergeCell ref="H4:I4"/>
    <mergeCell ref="C6:M6"/>
  </mergeCells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29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O84" activeCellId="0" sqref="O8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1" min="1" style="1254" width="9.14"/>
    <col collapsed="false" customWidth="true" hidden="false" outlineLevel="0" max="12" min="12" style="1254" width="4.7"/>
    <col collapsed="false" customWidth="false" hidden="false" outlineLevel="0" max="15" min="13" style="1254" width="9.14"/>
    <col collapsed="false" customWidth="true" hidden="false" outlineLevel="0" max="16" min="16" style="1254" width="2.99"/>
    <col collapsed="false" customWidth="false" hidden="false" outlineLevel="0" max="257" min="17" style="1254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</row>
    <row r="3" customFormat="false" ht="15" hidden="false" customHeight="false" outlineLevel="0" collapsed="false">
      <c r="A3" s="420" t="str">
        <f aca="false">Assm!A3</f>
        <v>ENRON INTERNATIONAL</v>
      </c>
    </row>
    <row r="4" customFormat="false" ht="15" hidden="false" customHeight="false" outlineLevel="0" collapsed="false">
      <c r="A4" s="1255" t="s">
        <v>1164</v>
      </c>
      <c r="B4" s="1256"/>
      <c r="C4" s="1256"/>
    </row>
    <row r="11" customFormat="false" ht="13.5" hidden="false" customHeight="false" outlineLevel="0" collapsed="false">
      <c r="U11" s="1254" t="s">
        <v>1165</v>
      </c>
    </row>
    <row r="12" customFormat="false" ht="12.75" hidden="false" customHeight="false" outlineLevel="0" collapsed="false">
      <c r="A12" s="1257"/>
      <c r="B12" s="1258"/>
      <c r="C12" s="1259"/>
      <c r="D12" s="1259"/>
      <c r="E12" s="1259"/>
      <c r="F12" s="1259"/>
      <c r="G12" s="1258"/>
      <c r="H12" s="1259"/>
      <c r="I12" s="1259"/>
      <c r="J12" s="1259"/>
      <c r="K12" s="1260"/>
      <c r="M12" s="1261" t="s">
        <v>1166</v>
      </c>
      <c r="N12" s="1261"/>
      <c r="O12" s="1261"/>
      <c r="Q12" s="1261" t="s">
        <v>1167</v>
      </c>
      <c r="R12" s="1261"/>
      <c r="S12" s="1261"/>
    </row>
    <row r="13" customFormat="false" ht="12.75" hidden="false" customHeight="false" outlineLevel="0" collapsed="false">
      <c r="A13" s="1262"/>
      <c r="B13" s="1263" t="n">
        <v>1</v>
      </c>
      <c r="C13" s="1264" t="n">
        <f aca="false">B13+1</f>
        <v>2</v>
      </c>
      <c r="D13" s="1264" t="n">
        <f aca="false">C13+1</f>
        <v>3</v>
      </c>
      <c r="E13" s="1264" t="n">
        <f aca="false">D13+1</f>
        <v>4</v>
      </c>
      <c r="F13" s="1264" t="n">
        <f aca="false">E13+1</f>
        <v>5</v>
      </c>
      <c r="G13" s="1263" t="n">
        <v>1</v>
      </c>
      <c r="H13" s="1264" t="n">
        <f aca="false">G13+1</f>
        <v>2</v>
      </c>
      <c r="I13" s="1264" t="n">
        <f aca="false">H13+1</f>
        <v>3</v>
      </c>
      <c r="J13" s="1264" t="n">
        <f aca="false">I13+1</f>
        <v>4</v>
      </c>
      <c r="K13" s="1265" t="n">
        <f aca="false">J13+1</f>
        <v>5</v>
      </c>
      <c r="L13" s="1266" t="n">
        <v>1</v>
      </c>
      <c r="M13" s="1267" t="s">
        <v>1168</v>
      </c>
      <c r="N13" s="1268"/>
      <c r="O13" s="1269"/>
      <c r="Q13" s="1267" t="s">
        <v>1168</v>
      </c>
      <c r="R13" s="1268"/>
      <c r="S13" s="1269"/>
    </row>
    <row r="14" customFormat="false" ht="12.75" hidden="false" customHeight="false" outlineLevel="0" collapsed="false">
      <c r="A14" s="1262"/>
      <c r="B14" s="1270"/>
      <c r="C14" s="1268"/>
      <c r="D14" s="1268"/>
      <c r="E14" s="1268"/>
      <c r="F14" s="1268"/>
      <c r="G14" s="1271" t="s">
        <v>1169</v>
      </c>
      <c r="H14" s="1271"/>
      <c r="I14" s="1271"/>
      <c r="J14" s="1271"/>
      <c r="K14" s="1271"/>
      <c r="L14" s="1266" t="n">
        <f aca="false">L13+1</f>
        <v>2</v>
      </c>
      <c r="M14" s="1272" t="n">
        <v>2</v>
      </c>
      <c r="N14" s="1273" t="str">
        <f aca="false">M17</f>
        <v>US</v>
      </c>
      <c r="O14" s="1274" t="str">
        <f aca="false">M18</f>
        <v>CPI</v>
      </c>
      <c r="Q14" s="1272" t="n">
        <v>2</v>
      </c>
      <c r="R14" s="1273" t="str">
        <f aca="false">Q17</f>
        <v>US</v>
      </c>
      <c r="S14" s="1274" t="str">
        <f aca="false">Q18</f>
        <v>CPI</v>
      </c>
    </row>
    <row r="15" customFormat="false" ht="12.75" hidden="false" customHeight="false" outlineLevel="0" collapsed="false">
      <c r="A15" s="1262"/>
      <c r="B15" s="1275" t="str">
        <f aca="false">IF(Assm!$L$55=1,"9/98 BANK CURVES","ALTERNATIVE CURVES")</f>
        <v>ALTERNATIVE CURVES</v>
      </c>
      <c r="F15" s="1268"/>
      <c r="G15" s="1270"/>
      <c r="K15" s="1269"/>
      <c r="L15" s="1266" t="n">
        <f aca="false">L14+1</f>
        <v>3</v>
      </c>
      <c r="M15" s="1276"/>
      <c r="N15" s="1264" t="s">
        <v>1170</v>
      </c>
      <c r="O15" s="1277" t="n">
        <v>1.005</v>
      </c>
      <c r="Q15" s="1276"/>
      <c r="R15" s="1264" t="s">
        <v>1170</v>
      </c>
      <c r="S15" s="1277" t="n">
        <v>0</v>
      </c>
    </row>
    <row r="16" customFormat="false" ht="12.75" hidden="false" customHeight="false" outlineLevel="0" collapsed="false">
      <c r="A16" s="1262"/>
      <c r="B16" s="1270"/>
      <c r="C16" s="1268"/>
      <c r="D16" s="1268"/>
      <c r="E16" s="1268"/>
      <c r="F16" s="1268"/>
      <c r="G16" s="1278" t="n">
        <v>35551</v>
      </c>
      <c r="H16" s="1279" t="n">
        <v>35551</v>
      </c>
      <c r="I16" s="1279" t="n">
        <v>35551</v>
      </c>
      <c r="J16" s="1279" t="n">
        <v>35796</v>
      </c>
      <c r="K16" s="1280" t="n">
        <v>35796</v>
      </c>
      <c r="L16" s="1266" t="n">
        <f aca="false">L15+1</f>
        <v>4</v>
      </c>
      <c r="M16" s="1281" t="s">
        <v>1171</v>
      </c>
      <c r="N16" s="1282"/>
      <c r="O16" s="1283" t="n">
        <v>35916</v>
      </c>
      <c r="Q16" s="1281" t="s">
        <v>1171</v>
      </c>
      <c r="R16" s="1282"/>
      <c r="S16" s="1283" t="n">
        <v>37043</v>
      </c>
    </row>
    <row r="17" customFormat="false" ht="12.75" hidden="false" customHeight="false" outlineLevel="0" collapsed="false">
      <c r="A17" s="1262"/>
      <c r="B17" s="1284" t="s">
        <v>1172</v>
      </c>
      <c r="C17" s="1285" t="s">
        <v>1173</v>
      </c>
      <c r="D17" s="1285" t="s">
        <v>1173</v>
      </c>
      <c r="E17" s="1285" t="s">
        <v>1174</v>
      </c>
      <c r="F17" s="1286" t="s">
        <v>1175</v>
      </c>
      <c r="G17" s="1284" t="s">
        <v>1172</v>
      </c>
      <c r="H17" s="1285" t="s">
        <v>1173</v>
      </c>
      <c r="I17" s="1285" t="s">
        <v>1176</v>
      </c>
      <c r="J17" s="1285" t="s">
        <v>1173</v>
      </c>
      <c r="K17" s="1287" t="s">
        <v>437</v>
      </c>
      <c r="L17" s="1266" t="n">
        <f aca="false">L16+1</f>
        <v>5</v>
      </c>
      <c r="M17" s="1288" t="str">
        <f aca="false">HLOOKUP(M$14,Dec_Change,$L17)</f>
        <v>US</v>
      </c>
      <c r="N17" s="1273"/>
      <c r="O17" s="1287" t="s">
        <v>1177</v>
      </c>
      <c r="Q17" s="1288" t="str">
        <f aca="false">HLOOKUP(Q$14,Dec_Change,$L17)</f>
        <v>US</v>
      </c>
      <c r="R17" s="1273"/>
      <c r="S17" s="1287" t="s">
        <v>1177</v>
      </c>
    </row>
    <row r="18" customFormat="false" ht="12.75" hidden="false" customHeight="false" outlineLevel="0" collapsed="false">
      <c r="A18" s="1289" t="s">
        <v>1157</v>
      </c>
      <c r="B18" s="1290" t="s">
        <v>1178</v>
      </c>
      <c r="C18" s="1291" t="s">
        <v>1179</v>
      </c>
      <c r="D18" s="1291" t="s">
        <v>1180</v>
      </c>
      <c r="E18" s="1291" t="s">
        <v>1181</v>
      </c>
      <c r="F18" s="1291" t="s">
        <v>1182</v>
      </c>
      <c r="G18" s="1290" t="s">
        <v>1178</v>
      </c>
      <c r="H18" s="1291" t="s">
        <v>1179</v>
      </c>
      <c r="I18" s="1292" t="n">
        <v>0.0025</v>
      </c>
      <c r="J18" s="1291" t="s">
        <v>1180</v>
      </c>
      <c r="K18" s="1293" t="s">
        <v>1181</v>
      </c>
      <c r="L18" s="1266" t="n">
        <f aca="false">L17+1</f>
        <v>6</v>
      </c>
      <c r="M18" s="1294" t="str">
        <f aca="false">HLOOKUP(M$14,Dec_Change,$L18)</f>
        <v>CPI</v>
      </c>
      <c r="N18" s="1295" t="n">
        <f aca="false">O15</f>
        <v>1.005</v>
      </c>
      <c r="O18" s="1293" t="s">
        <v>1183</v>
      </c>
      <c r="Q18" s="1294" t="str">
        <f aca="false">HLOOKUP(Q$14,Dec_Change,$L18)</f>
        <v>CPI</v>
      </c>
      <c r="R18" s="1295" t="n">
        <f aca="false">S15</f>
        <v>0</v>
      </c>
      <c r="S18" s="1293" t="s">
        <v>1183</v>
      </c>
    </row>
    <row r="19" customFormat="false" ht="12.75" hidden="false" customHeight="false" outlineLevel="0" collapsed="false">
      <c r="A19" s="1296" t="n">
        <v>35400</v>
      </c>
      <c r="B19" s="1297" t="n">
        <f aca="false">'[3]Monthly Curve Calc.'!B22</f>
        <v>134.689</v>
      </c>
      <c r="C19" s="1298" t="n">
        <f aca="false">'[3]Monthly Curve Calc.'!C22</f>
        <v>159.1</v>
      </c>
      <c r="D19" s="1298" t="n">
        <f aca="false">'[3]Monthly Curve Calc.'!D22</f>
        <v>133</v>
      </c>
      <c r="E19" s="1298" t="n">
        <f aca="false">'[3]Monthly Curve Calc.'!E22</f>
        <v>25.92</v>
      </c>
      <c r="F19" s="1299" t="n">
        <f aca="false">'[3]Monthly Curve Calc.'!F22</f>
        <v>1.0385</v>
      </c>
      <c r="G19" s="1300" t="n">
        <v>1</v>
      </c>
      <c r="H19" s="1301" t="n">
        <v>1</v>
      </c>
      <c r="I19" s="1301" t="n">
        <v>1</v>
      </c>
      <c r="J19" s="1301" t="n">
        <v>1</v>
      </c>
      <c r="K19" s="1302" t="n">
        <f aca="false">E19</f>
        <v>25.92</v>
      </c>
      <c r="L19" s="1266" t="n">
        <f aca="false">L18+1</f>
        <v>7</v>
      </c>
      <c r="M19" s="1303" t="n">
        <f aca="false">HLOOKUP(M$14,Dec_Change,$L19)</f>
        <v>1</v>
      </c>
      <c r="N19" s="1304" t="n">
        <f aca="false">N18</f>
        <v>1.005</v>
      </c>
      <c r="O19" s="1277" t="n">
        <v>1</v>
      </c>
      <c r="Q19" s="1303" t="n">
        <f aca="false">HLOOKUP(Q$14,Dec_Change,$L19)</f>
        <v>1</v>
      </c>
      <c r="R19" s="1304" t="n">
        <f aca="false">R18</f>
        <v>0</v>
      </c>
      <c r="S19" s="1277" t="n">
        <v>1</v>
      </c>
    </row>
    <row r="20" customFormat="false" ht="12.75" hidden="false" customHeight="false" outlineLevel="0" collapsed="false">
      <c r="A20" s="1305" t="n">
        <f aca="false">EDATE(A19,1)</f>
        <v>35431</v>
      </c>
      <c r="B20" s="1297" t="n">
        <f aca="false">'[3]Monthly Curve Calc.'!B23</f>
        <v>136.814</v>
      </c>
      <c r="C20" s="1298" t="n">
        <f aca="false">'[3]Monthly Curve Calc.'!C23</f>
        <v>159.1</v>
      </c>
      <c r="D20" s="1298" t="n">
        <f aca="false">'[3]Monthly Curve Calc.'!D23</f>
        <v>133</v>
      </c>
      <c r="E20" s="1298" t="n">
        <f aca="false">'[3]Monthly Curve Calc.'!E23</f>
        <v>24.15</v>
      </c>
      <c r="F20" s="1299" t="n">
        <f aca="false">'[3]Monthly Curve Calc.'!F23</f>
        <v>1.0456</v>
      </c>
      <c r="G20" s="1306" t="n">
        <f aca="false">IF(AND($A20&gt;G$16,MONTH($A20)=MONTH(G$16)),B19/B7,G19)</f>
        <v>1</v>
      </c>
      <c r="H20" s="1304" t="n">
        <f aca="false">IF(AND($A20&gt;H$16,MONTH($A20)=MONTH(H$16)),C19/C7,H19)</f>
        <v>1</v>
      </c>
      <c r="I20" s="1304" t="n">
        <f aca="false">IF(AND($A20&gt;I$16,MONTH($A20)=MONTH(I$16)),C19/C7-I$18,I19)</f>
        <v>1</v>
      </c>
      <c r="J20" s="1304" t="n">
        <f aca="false">IF(AND($A20&gt;J$16,MONTH($A20)=MONTH(J$16)),D19/D7,J19)</f>
        <v>1</v>
      </c>
      <c r="K20" s="1307" t="n">
        <f aca="false">IF($A20&gt;=K$16,IF(MONTH($A20)=MONTH(K$16),AVERAGE(E8:E19),K19),K19)</f>
        <v>25.92</v>
      </c>
      <c r="L20" s="1266" t="n">
        <f aca="false">L19+1</f>
        <v>8</v>
      </c>
      <c r="M20" s="1303" t="n">
        <f aca="false">HLOOKUP(M$14,Dec_Change,$L20)</f>
        <v>1</v>
      </c>
      <c r="N20" s="1304" t="n">
        <f aca="false">N19</f>
        <v>1.005</v>
      </c>
      <c r="O20" s="1307" t="n">
        <f aca="false">IF(AND($A20&gt;=O$16,MONTH($A20)=MONTH(O$16)),MAX(M20,N20)*O19,O19)</f>
        <v>1</v>
      </c>
      <c r="Q20" s="1303" t="n">
        <f aca="false">HLOOKUP(Q$14,Dec_Change,$L20)</f>
        <v>1</v>
      </c>
      <c r="R20" s="1304" t="n">
        <f aca="false">R19</f>
        <v>0</v>
      </c>
      <c r="S20" s="1307" t="n">
        <f aca="false">IF(AND($A20&gt;=S$16,MONTH($A20)=MONTH(S$16)),MAX(Q20,R20)*S19,S19)</f>
        <v>1</v>
      </c>
    </row>
    <row r="21" customFormat="false" ht="12.75" hidden="false" customHeight="false" outlineLevel="0" collapsed="false">
      <c r="A21" s="1305" t="n">
        <f aca="false">EDATE(A20,1)</f>
        <v>35462</v>
      </c>
      <c r="B21" s="1297" t="n">
        <f aca="false">'[3]Monthly Curve Calc.'!B24</f>
        <v>137.39</v>
      </c>
      <c r="C21" s="1298" t="n">
        <f aca="false">'[3]Monthly Curve Calc.'!C24</f>
        <v>159.6</v>
      </c>
      <c r="D21" s="1298" t="n">
        <f aca="false">'[3]Monthly Curve Calc.'!D24</f>
        <v>132.7</v>
      </c>
      <c r="E21" s="1298" t="n">
        <f aca="false">'[3]Monthly Curve Calc.'!E24</f>
        <v>20.3</v>
      </c>
      <c r="F21" s="1299" t="n">
        <f aca="false">'[3]Monthly Curve Calc.'!F24</f>
        <v>1.051</v>
      </c>
      <c r="G21" s="1306" t="n">
        <f aca="false">IF(AND($A21&gt;G$16,MONTH($A21)=MONTH(G$16)),B20/B8,G20)</f>
        <v>1</v>
      </c>
      <c r="H21" s="1304" t="n">
        <f aca="false">IF(AND($A21&gt;H$16,MONTH($A21)=MONTH(H$16)),C20/C8,H20)</f>
        <v>1</v>
      </c>
      <c r="I21" s="1304" t="n">
        <f aca="false">IF(AND($A21&gt;I$16,MONTH($A21)=MONTH(I$16)),C20/C8-I$18,I20)</f>
        <v>1</v>
      </c>
      <c r="J21" s="1304" t="n">
        <f aca="false">IF(AND($A21&gt;J$16,MONTH($A21)=MONTH(J$16)),D20/D8,J20)</f>
        <v>1</v>
      </c>
      <c r="K21" s="1307" t="n">
        <f aca="false">IF($A21&gt;=K$16,IF(MONTH($A21)=MONTH(K$16),AVERAGE(E9:E20),K20),K20)</f>
        <v>25.92</v>
      </c>
      <c r="L21" s="1266" t="n">
        <f aca="false">L20+1</f>
        <v>9</v>
      </c>
      <c r="M21" s="1303" t="n">
        <f aca="false">HLOOKUP(M$14,Dec_Change,$L21)</f>
        <v>1</v>
      </c>
      <c r="N21" s="1304" t="n">
        <f aca="false">N20</f>
        <v>1.005</v>
      </c>
      <c r="O21" s="1307" t="n">
        <f aca="false">IF(AND($A21&gt;=O$16,MONTH($A21)=MONTH(O$16)),MAX(M21,N21)*O20,O20)</f>
        <v>1</v>
      </c>
      <c r="Q21" s="1303" t="n">
        <f aca="false">HLOOKUP(Q$14,Dec_Change,$L21)</f>
        <v>1</v>
      </c>
      <c r="R21" s="1304" t="n">
        <f aca="false">R20</f>
        <v>0</v>
      </c>
      <c r="S21" s="1307" t="n">
        <f aca="false">IF(AND($A21&gt;=S$16,MONTH($A21)=MONTH(S$16)),MAX(Q21,R21)*S20,S20)</f>
        <v>1</v>
      </c>
    </row>
    <row r="22" customFormat="false" ht="12.75" hidden="false" customHeight="false" outlineLevel="0" collapsed="false">
      <c r="A22" s="1305" t="n">
        <f aca="false">EDATE(A21,1)</f>
        <v>35490</v>
      </c>
      <c r="B22" s="1297" t="n">
        <f aca="false">'[3]Monthly Curve Calc.'!B25</f>
        <v>138.99</v>
      </c>
      <c r="C22" s="1298" t="n">
        <f aca="false">'[3]Monthly Curve Calc.'!C25</f>
        <v>160</v>
      </c>
      <c r="D22" s="1298" t="n">
        <f aca="false">'[3]Monthly Curve Calc.'!D25</f>
        <v>132.5</v>
      </c>
      <c r="E22" s="1298" t="n">
        <f aca="false">'[3]Monthly Curve Calc.'!E25</f>
        <v>20.41</v>
      </c>
      <c r="F22" s="1299" t="n">
        <f aca="false">'[3]Monthly Curve Calc.'!F25</f>
        <v>1.0594</v>
      </c>
      <c r="G22" s="1306" t="n">
        <f aca="false">IF(AND($A22&gt;G$16,MONTH($A22)=MONTH(G$16)),B21/B9,G21)</f>
        <v>1</v>
      </c>
      <c r="H22" s="1304" t="n">
        <f aca="false">IF(AND($A22&gt;H$16,MONTH($A22)=MONTH(H$16)),C21/C9,H21)</f>
        <v>1</v>
      </c>
      <c r="I22" s="1304" t="n">
        <f aca="false">IF(AND($A22&gt;I$16,MONTH($A22)=MONTH(I$16)),C21/C9-I$18,I21)</f>
        <v>1</v>
      </c>
      <c r="J22" s="1304" t="n">
        <f aca="false">IF(AND($A22&gt;J$16,MONTH($A22)=MONTH(J$16)),D21/D9,J21)</f>
        <v>1</v>
      </c>
      <c r="K22" s="1307" t="n">
        <f aca="false">IF($A22&gt;=K$16,IF(MONTH($A22)=MONTH(K$16),AVERAGE(E10:E21),K21),K21)</f>
        <v>25.92</v>
      </c>
      <c r="L22" s="1266" t="n">
        <f aca="false">L21+1</f>
        <v>10</v>
      </c>
      <c r="M22" s="1303" t="n">
        <f aca="false">HLOOKUP(M$14,Dec_Change,$L22)</f>
        <v>1</v>
      </c>
      <c r="N22" s="1304" t="n">
        <f aca="false">N21</f>
        <v>1.005</v>
      </c>
      <c r="O22" s="1307" t="n">
        <f aca="false">IF(AND($A22&gt;=O$16,MONTH($A22)=MONTH(O$16)),MAX(M22,N22)*O21,O21)</f>
        <v>1</v>
      </c>
      <c r="Q22" s="1303" t="n">
        <f aca="false">HLOOKUP(Q$14,Dec_Change,$L22)</f>
        <v>1</v>
      </c>
      <c r="R22" s="1304" t="n">
        <f aca="false">R21</f>
        <v>0</v>
      </c>
      <c r="S22" s="1307" t="n">
        <f aca="false">IF(AND($A22&gt;=S$16,MONTH($A22)=MONTH(S$16)),MAX(Q22,R22)*S21,S21)</f>
        <v>1</v>
      </c>
    </row>
    <row r="23" customFormat="false" ht="12.75" hidden="false" customHeight="false" outlineLevel="0" collapsed="false">
      <c r="A23" s="1305" t="n">
        <f aca="false">EDATE(A22,1)</f>
        <v>35521</v>
      </c>
      <c r="B23" s="1297" t="n">
        <f aca="false">'[3]Monthly Curve Calc.'!B26</f>
        <v>139.807</v>
      </c>
      <c r="C23" s="1298" t="n">
        <f aca="false">'[3]Monthly Curve Calc.'!C26</f>
        <v>160.2</v>
      </c>
      <c r="D23" s="1298" t="n">
        <f aca="false">'[3]Monthly Curve Calc.'!D26</f>
        <v>131.9</v>
      </c>
      <c r="E23" s="1298" t="n">
        <f aca="false">'[3]Monthly Curve Calc.'!E26</f>
        <v>19.74773</v>
      </c>
      <c r="F23" s="1299" t="n">
        <f aca="false">'[3]Monthly Curve Calc.'!F26</f>
        <v>1.0635</v>
      </c>
      <c r="G23" s="1306" t="n">
        <f aca="false">IF(AND($A23&gt;G$16,MONTH($A23)=MONTH(G$16)),B22/B10,G22)</f>
        <v>1</v>
      </c>
      <c r="H23" s="1304" t="n">
        <f aca="false">IF(AND($A23&gt;H$16,MONTH($A23)=MONTH(H$16)),C22/C10,H22)</f>
        <v>1</v>
      </c>
      <c r="I23" s="1304" t="n">
        <f aca="false">IF(AND($A23&gt;I$16,MONTH($A23)=MONTH(I$16)),C22/C10-I$18,I22)</f>
        <v>1</v>
      </c>
      <c r="J23" s="1304" t="n">
        <f aca="false">IF(AND($A23&gt;J$16,MONTH($A23)=MONTH(J$16)),D22/D10,J22)</f>
        <v>1</v>
      </c>
      <c r="K23" s="1307" t="n">
        <f aca="false">IF($A23&gt;=K$16,IF(MONTH($A23)=MONTH(K$16),AVERAGE(E11:E22),K22),K22)</f>
        <v>25.92</v>
      </c>
      <c r="L23" s="1266" t="n">
        <f aca="false">L22+1</f>
        <v>11</v>
      </c>
      <c r="M23" s="1303" t="n">
        <f aca="false">HLOOKUP(M$14,Dec_Change,$L23)</f>
        <v>1</v>
      </c>
      <c r="N23" s="1304" t="n">
        <f aca="false">N22</f>
        <v>1.005</v>
      </c>
      <c r="O23" s="1307" t="n">
        <f aca="false">IF(AND($A23&gt;=O$16,MONTH($A23)=MONTH(O$16)),MAX(M23,N23)*O22,O22)</f>
        <v>1</v>
      </c>
      <c r="Q23" s="1303" t="n">
        <f aca="false">HLOOKUP(Q$14,Dec_Change,$L23)</f>
        <v>1</v>
      </c>
      <c r="R23" s="1304" t="n">
        <f aca="false">R22</f>
        <v>0</v>
      </c>
      <c r="S23" s="1307" t="n">
        <f aca="false">IF(AND($A23&gt;=S$16,MONTH($A23)=MONTH(S$16)),MAX(Q23,R23)*S22,S22)</f>
        <v>1</v>
      </c>
    </row>
    <row r="24" customFormat="false" ht="12.75" hidden="false" customHeight="false" outlineLevel="0" collapsed="false">
      <c r="A24" s="1305" t="n">
        <f aca="false">EDATE(A23,1)</f>
        <v>35551</v>
      </c>
      <c r="B24" s="1297" t="n">
        <f aca="false">'[3]Monthly Curve Calc.'!B27</f>
        <v>140.22</v>
      </c>
      <c r="C24" s="1298" t="n">
        <f aca="false">'[3]Monthly Curve Calc.'!C27</f>
        <v>160.1</v>
      </c>
      <c r="D24" s="1298" t="n">
        <f aca="false">'[3]Monthly Curve Calc.'!D27</f>
        <v>131.6</v>
      </c>
      <c r="E24" s="1298" t="n">
        <f aca="false">'[3]Monthly Curve Calc.'!E27</f>
        <v>20.91</v>
      </c>
      <c r="F24" s="1299" t="n">
        <f aca="false">'[3]Monthly Curve Calc.'!F27</f>
        <v>1.0703</v>
      </c>
      <c r="G24" s="1306" t="n">
        <f aca="false">IF(AND($A24&gt;G$16,MONTH($A24)=MONTH(G$16)),B23/B11,G23)</f>
        <v>1</v>
      </c>
      <c r="H24" s="1304" t="n">
        <f aca="false">IF(AND($A24&gt;H$16,MONTH($A24)=MONTH(H$16)),C23/C11,H23)</f>
        <v>1</v>
      </c>
      <c r="I24" s="1304" t="n">
        <f aca="false">IF(AND($A24&gt;I$16,MONTH($A24)=MONTH(I$16)),C23/C11-I$18,I23)</f>
        <v>1</v>
      </c>
      <c r="J24" s="1304" t="n">
        <f aca="false">IF(AND($A24&gt;J$16,MONTH($A24)=MONTH(J$16)),D23/D11,J23)</f>
        <v>1</v>
      </c>
      <c r="K24" s="1307" t="n">
        <f aca="false">IF($A24&gt;=K$16,IF(MONTH($A24)=MONTH(K$16),AVERAGE(E12:E23),K23),K23)</f>
        <v>25.92</v>
      </c>
      <c r="L24" s="1266" t="n">
        <f aca="false">L23+1</f>
        <v>12</v>
      </c>
      <c r="M24" s="1303" t="n">
        <f aca="false">HLOOKUP(M$14,Dec_Change,$L24)</f>
        <v>1</v>
      </c>
      <c r="N24" s="1304" t="n">
        <f aca="false">N23</f>
        <v>1.005</v>
      </c>
      <c r="O24" s="1307" t="n">
        <f aca="false">IF(AND($A24&gt;=O$16,MONTH($A24)=MONTH(O$16)),MAX(M24,N24)*O23,O23)</f>
        <v>1</v>
      </c>
      <c r="Q24" s="1303" t="n">
        <f aca="false">HLOOKUP(Q$14,Dec_Change,$L24)</f>
        <v>1</v>
      </c>
      <c r="R24" s="1304" t="n">
        <f aca="false">R23</f>
        <v>0</v>
      </c>
      <c r="S24" s="1307" t="n">
        <f aca="false">IF(AND($A24&gt;=S$16,MONTH($A24)=MONTH(S$16)),MAX(Q24,R24)*S23,S23)</f>
        <v>1</v>
      </c>
    </row>
    <row r="25" customFormat="false" ht="12.75" hidden="false" customHeight="false" outlineLevel="0" collapsed="false">
      <c r="A25" s="1305" t="n">
        <f aca="false">EDATE(A24,1)</f>
        <v>35582</v>
      </c>
      <c r="B25" s="1297" t="n">
        <f aca="false">'[3]Monthly Curve Calc.'!B28</f>
        <v>141.207</v>
      </c>
      <c r="C25" s="1298" t="n">
        <f aca="false">'[3]Monthly Curve Calc.'!C28</f>
        <v>160.3</v>
      </c>
      <c r="D25" s="1298" t="n">
        <f aca="false">'[3]Monthly Curve Calc.'!D28</f>
        <v>131.3</v>
      </c>
      <c r="E25" s="1298" t="n">
        <f aca="false">'[3]Monthly Curve Calc.'!E28</f>
        <v>19.27738</v>
      </c>
      <c r="F25" s="1299" t="n">
        <f aca="false">'[3]Monthly Curve Calc.'!F28</f>
        <v>1.0766</v>
      </c>
      <c r="G25" s="1306" t="n">
        <f aca="false">IF(AND($A25&gt;G$16,MONTH($A25)=MONTH(G$16)),B24/B12,G24)</f>
        <v>1</v>
      </c>
      <c r="H25" s="1304" t="n">
        <f aca="false">IF(AND($A25&gt;H$16,MONTH($A25)=MONTH(H$16)),C24/C12,H24)</f>
        <v>1</v>
      </c>
      <c r="I25" s="1304" t="n">
        <f aca="false">IF(AND($A25&gt;I$16,MONTH($A25)=MONTH(I$16)),C24/C12-I$18,I24)</f>
        <v>1</v>
      </c>
      <c r="J25" s="1304" t="n">
        <f aca="false">IF(AND($A25&gt;J$16,MONTH($A25)=MONTH(J$16)),D24/D12,J24)</f>
        <v>1</v>
      </c>
      <c r="K25" s="1307" t="n">
        <f aca="false">IF($A25&gt;=K$16,IF(MONTH($A25)=MONTH(K$16),AVERAGE(E13:E24),K24),K24)</f>
        <v>25.92</v>
      </c>
      <c r="L25" s="1266" t="n">
        <f aca="false">L24+1</f>
        <v>13</v>
      </c>
      <c r="M25" s="1303" t="n">
        <f aca="false">HLOOKUP(M$14,Dec_Change,$L25)</f>
        <v>1</v>
      </c>
      <c r="N25" s="1304" t="n">
        <f aca="false">N24</f>
        <v>1.005</v>
      </c>
      <c r="O25" s="1307" t="n">
        <f aca="false">IF(AND($A25&gt;=O$16,MONTH($A25)=MONTH(O$16)),MAX(M25,N25)*O24,O24)</f>
        <v>1</v>
      </c>
      <c r="Q25" s="1303" t="n">
        <f aca="false">HLOOKUP(Q$14,Dec_Change,$L25)</f>
        <v>1</v>
      </c>
      <c r="R25" s="1304" t="n">
        <f aca="false">R24</f>
        <v>0</v>
      </c>
      <c r="S25" s="1307" t="n">
        <f aca="false">IF(AND($A25&gt;=S$16,MONTH($A25)=MONTH(S$16)),MAX(Q25,R25)*S24,S24)</f>
        <v>1</v>
      </c>
    </row>
    <row r="26" customFormat="false" ht="12.75" hidden="false" customHeight="false" outlineLevel="0" collapsed="false">
      <c r="A26" s="1305" t="n">
        <f aca="false">EDATE(A25,1)</f>
        <v>35612</v>
      </c>
      <c r="B26" s="1297" t="n">
        <f aca="false">'[3]Monthly Curve Calc.'!B29</f>
        <v>141.33</v>
      </c>
      <c r="C26" s="1298" t="n">
        <f aca="false">'[3]Monthly Curve Calc.'!C29</f>
        <v>160.5</v>
      </c>
      <c r="D26" s="1298" t="n">
        <f aca="false">'[3]Monthly Curve Calc.'!D29</f>
        <v>131</v>
      </c>
      <c r="E26" s="1298" t="n">
        <f aca="false">'[3]Monthly Curve Calc.'!E29</f>
        <v>19.63409</v>
      </c>
      <c r="F26" s="1299" t="n">
        <f aca="false">'[3]Monthly Curve Calc.'!F29</f>
        <v>1.0829</v>
      </c>
      <c r="G26" s="1306" t="n">
        <f aca="false">IF(AND($A26&gt;G$16,MONTH($A26)=MONTH(G$16)),B25/B13,G25)</f>
        <v>1</v>
      </c>
      <c r="H26" s="1304" t="n">
        <f aca="false">IF(AND($A26&gt;H$16,MONTH($A26)=MONTH(H$16)),C25/C13,H25)</f>
        <v>1</v>
      </c>
      <c r="I26" s="1304" t="n">
        <f aca="false">IF(AND($A26&gt;I$16,MONTH($A26)=MONTH(I$16)),C25/C13-I$18,I25)</f>
        <v>1</v>
      </c>
      <c r="J26" s="1304" t="n">
        <f aca="false">IF(AND($A26&gt;J$16,MONTH($A26)=MONTH(J$16)),D25/D13,J25)</f>
        <v>1</v>
      </c>
      <c r="K26" s="1307" t="n">
        <f aca="false">IF($A26&gt;=K$16,IF(MONTH($A26)=MONTH(K$16),AVERAGE(E14:E25),K25),K25)</f>
        <v>25.92</v>
      </c>
      <c r="L26" s="1266" t="n">
        <f aca="false">L25+1</f>
        <v>14</v>
      </c>
      <c r="M26" s="1303" t="n">
        <f aca="false">HLOOKUP(M$14,Dec_Change,$L26)</f>
        <v>1</v>
      </c>
      <c r="N26" s="1304" t="n">
        <f aca="false">N25</f>
        <v>1.005</v>
      </c>
      <c r="O26" s="1307" t="n">
        <f aca="false">IF(AND($A26&gt;=O$16,MONTH($A26)=MONTH(O$16)),MAX(M26,N26)*O25,O25)</f>
        <v>1</v>
      </c>
      <c r="Q26" s="1303" t="n">
        <f aca="false">HLOOKUP(Q$14,Dec_Change,$L26)</f>
        <v>1</v>
      </c>
      <c r="R26" s="1304" t="n">
        <f aca="false">R25</f>
        <v>0</v>
      </c>
      <c r="S26" s="1307" t="n">
        <f aca="false">IF(AND($A26&gt;=S$16,MONTH($A26)=MONTH(S$16)),MAX(Q26,R26)*S25,S25)</f>
        <v>1</v>
      </c>
    </row>
    <row r="27" customFormat="false" ht="12.75" hidden="false" customHeight="false" outlineLevel="0" collapsed="false">
      <c r="A27" s="1305" t="n">
        <f aca="false">EDATE(A26,1)</f>
        <v>35643</v>
      </c>
      <c r="B27" s="1297" t="n">
        <f aca="false">'[3]Monthly Curve Calc.'!B30</f>
        <v>141.26</v>
      </c>
      <c r="C27" s="1298" t="n">
        <f aca="false">'[3]Monthly Curve Calc.'!C30</f>
        <v>160.8</v>
      </c>
      <c r="D27" s="1298" t="n">
        <f aca="false">'[3]Monthly Curve Calc.'!D30</f>
        <v>131.3</v>
      </c>
      <c r="E27" s="1298" t="n">
        <f aca="false">'[3]Monthly Curve Calc.'!E30</f>
        <v>19.93286</v>
      </c>
      <c r="F27" s="1299" t="n">
        <f aca="false">'[3]Monthly Curve Calc.'!F30</f>
        <v>1.0913</v>
      </c>
      <c r="G27" s="1306" t="n">
        <f aca="false">IF(AND($A27&gt;G$16,MONTH($A27)=MONTH(G$16)),B26/B14,G26)</f>
        <v>1</v>
      </c>
      <c r="H27" s="1304" t="n">
        <f aca="false">IF(AND($A27&gt;H$16,MONTH($A27)=MONTH(H$16)),C26/C14,H26)</f>
        <v>1</v>
      </c>
      <c r="I27" s="1304" t="n">
        <f aca="false">IF(AND($A27&gt;I$16,MONTH($A27)=MONTH(I$16)),C26/C14-I$18,I26)</f>
        <v>1</v>
      </c>
      <c r="J27" s="1304" t="n">
        <f aca="false">IF(AND($A27&gt;J$16,MONTH($A27)=MONTH(J$16)),D26/D14,J26)</f>
        <v>1</v>
      </c>
      <c r="K27" s="1307" t="n">
        <f aca="false">IF($A27&gt;=K$16,IF(MONTH($A27)=MONTH(K$16),AVERAGE(E15:E26),K26),K26)</f>
        <v>25.92</v>
      </c>
      <c r="L27" s="1266" t="n">
        <f aca="false">L26+1</f>
        <v>15</v>
      </c>
      <c r="M27" s="1303" t="n">
        <f aca="false">HLOOKUP(M$14,Dec_Change,$L27)</f>
        <v>1</v>
      </c>
      <c r="N27" s="1304" t="n">
        <f aca="false">N26</f>
        <v>1.005</v>
      </c>
      <c r="O27" s="1307" t="n">
        <f aca="false">IF(AND($A27&gt;=O$16,MONTH($A27)=MONTH(O$16)),MAX(M27,N27)*O26,O26)</f>
        <v>1</v>
      </c>
      <c r="Q27" s="1303" t="n">
        <f aca="false">HLOOKUP(Q$14,Dec_Change,$L27)</f>
        <v>1</v>
      </c>
      <c r="R27" s="1304" t="n">
        <f aca="false">R26</f>
        <v>0</v>
      </c>
      <c r="S27" s="1307" t="n">
        <f aca="false">IF(AND($A27&gt;=S$16,MONTH($A27)=MONTH(S$16)),MAX(Q27,R27)*S26,S26)</f>
        <v>1</v>
      </c>
    </row>
    <row r="28" customFormat="false" ht="12.75" hidden="false" customHeight="false" outlineLevel="0" collapsed="false">
      <c r="A28" s="1305" t="n">
        <f aca="false">EDATE(A27,1)</f>
        <v>35674</v>
      </c>
      <c r="B28" s="1297" t="n">
        <f aca="false">'[3]Monthly Curve Calc.'!B31</f>
        <v>142.101</v>
      </c>
      <c r="C28" s="1298" t="n">
        <f aca="false">'[3]Monthly Curve Calc.'!C31</f>
        <v>161.2</v>
      </c>
      <c r="D28" s="1298" t="n">
        <f aca="false">'[3]Monthly Curve Calc.'!D31</f>
        <v>131.7</v>
      </c>
      <c r="E28" s="1298" t="n">
        <f aca="false">'[3]Monthly Curve Calc.'!E31</f>
        <v>19.775955</v>
      </c>
      <c r="F28" s="1299" t="n">
        <f aca="false">'[3]Monthly Curve Calc.'!F31</f>
        <v>1.096</v>
      </c>
      <c r="G28" s="1306" t="n">
        <f aca="false">IF(AND($A28&gt;G$16,MONTH($A28)=MONTH(G$16)),B27/B15,G27)</f>
        <v>1</v>
      </c>
      <c r="H28" s="1304" t="n">
        <f aca="false">IF(AND($A28&gt;H$16,MONTH($A28)=MONTH(H$16)),C27/C15,H27)</f>
        <v>1</v>
      </c>
      <c r="I28" s="1304" t="n">
        <f aca="false">IF(AND($A28&gt;I$16,MONTH($A28)=MONTH(I$16)),C27/C15-I$18,I27)</f>
        <v>1</v>
      </c>
      <c r="J28" s="1304" t="n">
        <f aca="false">IF(AND($A28&gt;J$16,MONTH($A28)=MONTH(J$16)),D27/D15,J27)</f>
        <v>1</v>
      </c>
      <c r="K28" s="1307" t="n">
        <f aca="false">IF($A28&gt;=K$16,IF(MONTH($A28)=MONTH(K$16),AVERAGE(E16:E27),K27),K27)</f>
        <v>25.92</v>
      </c>
      <c r="L28" s="1266" t="n">
        <f aca="false">L27+1</f>
        <v>16</v>
      </c>
      <c r="M28" s="1303" t="n">
        <f aca="false">HLOOKUP(M$14,Dec_Change,$L28)</f>
        <v>1</v>
      </c>
      <c r="N28" s="1304" t="n">
        <f aca="false">N27</f>
        <v>1.005</v>
      </c>
      <c r="O28" s="1307" t="n">
        <f aca="false">IF(AND($A28&gt;=O$16,MONTH($A28)=MONTH(O$16)),MAX(M28,N28)*O27,O27)</f>
        <v>1</v>
      </c>
      <c r="Q28" s="1303" t="n">
        <f aca="false">HLOOKUP(Q$14,Dec_Change,$L28)</f>
        <v>1</v>
      </c>
      <c r="R28" s="1304" t="n">
        <f aca="false">R27</f>
        <v>0</v>
      </c>
      <c r="S28" s="1307" t="n">
        <f aca="false">IF(AND($A28&gt;=S$16,MONTH($A28)=MONTH(S$16)),MAX(Q28,R28)*S27,S27)</f>
        <v>1</v>
      </c>
    </row>
    <row r="29" customFormat="false" ht="12.75" hidden="false" customHeight="false" outlineLevel="0" collapsed="false">
      <c r="A29" s="1305" t="n">
        <f aca="false">EDATE(A28,1)</f>
        <v>35704</v>
      </c>
      <c r="B29" s="1297" t="n">
        <f aca="false">'[3]Monthly Curve Calc.'!B32</f>
        <v>142.587</v>
      </c>
      <c r="C29" s="1298" t="n">
        <f aca="false">'[3]Monthly Curve Calc.'!C32</f>
        <v>161.6</v>
      </c>
      <c r="D29" s="1298" t="n">
        <f aca="false">'[3]Monthly Curve Calc.'!D32</f>
        <v>131.8</v>
      </c>
      <c r="E29" s="1298" t="n">
        <f aca="false">'[3]Monthly Curve Calc.'!E32</f>
        <v>21.271305</v>
      </c>
      <c r="F29" s="1299" t="n">
        <f aca="false">'[3]Monthly Curve Calc.'!F32</f>
        <v>1.1027</v>
      </c>
      <c r="G29" s="1306" t="n">
        <f aca="false">IF(AND($A29&gt;G$16,MONTH($A29)=MONTH(G$16)),B28/B16,G28)</f>
        <v>1</v>
      </c>
      <c r="H29" s="1304" t="n">
        <f aca="false">IF(AND($A29&gt;H$16,MONTH($A29)=MONTH(H$16)),C28/C16,H28)</f>
        <v>1</v>
      </c>
      <c r="I29" s="1304" t="n">
        <f aca="false">IF(AND($A29&gt;I$16,MONTH($A29)=MONTH(I$16)),C28/C16-I$18,I28)</f>
        <v>1</v>
      </c>
      <c r="J29" s="1304" t="n">
        <f aca="false">IF(AND($A29&gt;J$16,MONTH($A29)=MONTH(J$16)),D28/D16,J28)</f>
        <v>1</v>
      </c>
      <c r="K29" s="1307" t="n">
        <f aca="false">IF($A29&gt;=K$16,IF(MONTH($A29)=MONTH(K$16),AVERAGE(E17:E28),K28),K28)</f>
        <v>25.92</v>
      </c>
      <c r="L29" s="1266" t="n">
        <f aca="false">L28+1</f>
        <v>17</v>
      </c>
      <c r="M29" s="1303" t="n">
        <f aca="false">HLOOKUP(M$14,Dec_Change,$L29)</f>
        <v>1</v>
      </c>
      <c r="N29" s="1304" t="n">
        <f aca="false">N28</f>
        <v>1.005</v>
      </c>
      <c r="O29" s="1307" t="n">
        <f aca="false">IF(AND($A29&gt;=O$16,MONTH($A29)=MONTH(O$16)),MAX(M29,N29)*O28,O28)</f>
        <v>1</v>
      </c>
      <c r="Q29" s="1303" t="n">
        <f aca="false">HLOOKUP(Q$14,Dec_Change,$L29)</f>
        <v>1</v>
      </c>
      <c r="R29" s="1304" t="n">
        <f aca="false">R28</f>
        <v>0</v>
      </c>
      <c r="S29" s="1307" t="n">
        <f aca="false">IF(AND($A29&gt;=S$16,MONTH($A29)=MONTH(S$16)),MAX(Q29,R29)*S28,S28)</f>
        <v>1</v>
      </c>
    </row>
    <row r="30" customFormat="false" ht="12.75" hidden="false" customHeight="false" outlineLevel="0" collapsed="false">
      <c r="A30" s="1305" t="n">
        <f aca="false">EDATE(A29,1)</f>
        <v>35735</v>
      </c>
      <c r="B30" s="1297" t="n">
        <f aca="false">'[3]Monthly Curve Calc.'!B33</f>
        <v>143.771</v>
      </c>
      <c r="C30" s="1298" t="n">
        <f aca="false">'[3]Monthly Curve Calc.'!C33</f>
        <v>161.5</v>
      </c>
      <c r="D30" s="1298" t="n">
        <f aca="false">'[3]Monthly Curve Calc.'!D33</f>
        <v>131.5</v>
      </c>
      <c r="E30" s="1298" t="n">
        <f aca="false">'[3]Monthly Curve Calc.'!E33</f>
        <v>20.176945</v>
      </c>
      <c r="F30" s="1299" t="n">
        <f aca="false">'[3]Monthly Curve Calc.'!F33</f>
        <v>1.1095</v>
      </c>
      <c r="G30" s="1306" t="n">
        <f aca="false">IF(AND($A30&gt;G$16,MONTH($A30)=MONTH(G$16)),B29/B17,G29)</f>
        <v>1</v>
      </c>
      <c r="H30" s="1304" t="n">
        <f aca="false">IF(AND($A30&gt;H$16,MONTH($A30)=MONTH(H$16)),C29/C17,H29)</f>
        <v>1</v>
      </c>
      <c r="I30" s="1304" t="n">
        <f aca="false">IF(AND($A30&gt;I$16,MONTH($A30)=MONTH(I$16)),C29/C17-I$18,I29)</f>
        <v>1</v>
      </c>
      <c r="J30" s="1304" t="n">
        <f aca="false">IF(AND($A30&gt;J$16,MONTH($A30)=MONTH(J$16)),D29/D17,J29)</f>
        <v>1</v>
      </c>
      <c r="K30" s="1307" t="n">
        <f aca="false">IF($A30&gt;=K$16,IF(MONTH($A30)=MONTH(K$16),AVERAGE(E18:E29),K29),K29)</f>
        <v>25.92</v>
      </c>
      <c r="L30" s="1266" t="n">
        <f aca="false">L29+1</f>
        <v>18</v>
      </c>
      <c r="M30" s="1303" t="n">
        <f aca="false">HLOOKUP(M$14,Dec_Change,$L30)</f>
        <v>1</v>
      </c>
      <c r="N30" s="1304" t="n">
        <f aca="false">N29</f>
        <v>1.005</v>
      </c>
      <c r="O30" s="1307" t="n">
        <f aca="false">IF(AND($A30&gt;=O$16,MONTH($A30)=MONTH(O$16)),MAX(M30,N30)*O29,O29)</f>
        <v>1</v>
      </c>
      <c r="Q30" s="1303" t="n">
        <f aca="false">HLOOKUP(Q$14,Dec_Change,$L30)</f>
        <v>1</v>
      </c>
      <c r="R30" s="1304" t="n">
        <f aca="false">R29</f>
        <v>0</v>
      </c>
      <c r="S30" s="1307" t="n">
        <f aca="false">IF(AND($A30&gt;=S$16,MONTH($A30)=MONTH(S$16)),MAX(Q30,R30)*S29,S29)</f>
        <v>1</v>
      </c>
    </row>
    <row r="31" customFormat="false" ht="12.75" hidden="false" customHeight="false" outlineLevel="0" collapsed="false">
      <c r="A31" s="1305" t="n">
        <f aca="false">EDATE(A30,1)</f>
        <v>35765</v>
      </c>
      <c r="B31" s="1297" t="n">
        <f aca="false">'[3]Monthly Curve Calc.'!B34</f>
        <v>144.765</v>
      </c>
      <c r="C31" s="1298" t="n">
        <f aca="false">'[3]Monthly Curve Calc.'!C34</f>
        <v>161.3</v>
      </c>
      <c r="D31" s="1298" t="n">
        <f aca="false">'[3]Monthly Curve Calc.'!D34</f>
        <v>131.4</v>
      </c>
      <c r="E31" s="1298" t="n">
        <f aca="false">'[3]Monthly Curve Calc.'!E34</f>
        <v>18.299775</v>
      </c>
      <c r="F31" s="1299" t="n">
        <f aca="false">'[3]Monthly Curve Calc.'!F34</f>
        <v>1.116</v>
      </c>
      <c r="G31" s="1306" t="n">
        <f aca="false">IF(AND($A31&gt;G$16,MONTH($A31)=MONTH(G$16)),B30/B18,G30)</f>
        <v>1</v>
      </c>
      <c r="H31" s="1304" t="n">
        <f aca="false">IF(AND($A31&gt;H$16,MONTH($A31)=MONTH(H$16)),C30/C18,H30)</f>
        <v>1</v>
      </c>
      <c r="I31" s="1304" t="n">
        <f aca="false">IF(AND($A31&gt;I$16,MONTH($A31)=MONTH(I$16)),C30/C18-I$18,I30)</f>
        <v>1</v>
      </c>
      <c r="J31" s="1304" t="n">
        <f aca="false">IF(AND($A31&gt;J$16,MONTH($A31)=MONTH(J$16)),D30/D18,J30)</f>
        <v>1</v>
      </c>
      <c r="K31" s="1307" t="n">
        <f aca="false">IF($A31&gt;=K$16,IF(MONTH($A31)=MONTH(K$16),AVERAGE(E19:E30),K30),K30)</f>
        <v>25.92</v>
      </c>
      <c r="L31" s="1266" t="n">
        <f aca="false">L30+1</f>
        <v>19</v>
      </c>
      <c r="M31" s="1303" t="n">
        <f aca="false">HLOOKUP(M$14,Dec_Change,$L31)</f>
        <v>1</v>
      </c>
      <c r="N31" s="1304" t="n">
        <f aca="false">N30</f>
        <v>1.005</v>
      </c>
      <c r="O31" s="1307" t="n">
        <f aca="false">IF(AND($A31&gt;=O$16,MONTH($A31)=MONTH(O$16)),MAX(M31,N31)*O30,O30)</f>
        <v>1</v>
      </c>
      <c r="Q31" s="1303" t="n">
        <f aca="false">HLOOKUP(Q$14,Dec_Change,$L31)</f>
        <v>1</v>
      </c>
      <c r="R31" s="1304" t="n">
        <f aca="false">R30</f>
        <v>0</v>
      </c>
      <c r="S31" s="1307" t="n">
        <f aca="false">IF(AND($A31&gt;=S$16,MONTH($A31)=MONTH(S$16)),MAX(Q31,R31)*S30,S30)</f>
        <v>1</v>
      </c>
    </row>
    <row r="32" customFormat="false" ht="12.75" hidden="false" customHeight="false" outlineLevel="0" collapsed="false">
      <c r="A32" s="1305" t="n">
        <f aca="false">EDATE(A31,1)</f>
        <v>35796</v>
      </c>
      <c r="B32" s="1297" t="n">
        <f aca="false">'[3]Monthly Curve Calc.'!B35</f>
        <v>146.038</v>
      </c>
      <c r="C32" s="1298" t="n">
        <f aca="false">'[3]Monthly Curve Calc.'!C35</f>
        <v>161.6</v>
      </c>
      <c r="D32" s="1298" t="n">
        <f aca="false">'[3]Monthly Curve Calc.'!D35</f>
        <v>130.6</v>
      </c>
      <c r="E32" s="1298" t="n">
        <f aca="false">'[3]Monthly Curve Calc.'!E35</f>
        <v>16.6885</v>
      </c>
      <c r="F32" s="1299" t="n">
        <f aca="false">'[3]Monthly Curve Calc.'!F35</f>
        <v>1.1234</v>
      </c>
      <c r="G32" s="1306" t="n">
        <f aca="false">IF(AND($A32&gt;G$16,MONTH($A32)=MONTH(G$16)),B31/B19,G31)</f>
        <v>1</v>
      </c>
      <c r="H32" s="1304" t="n">
        <f aca="false">IF(AND($A32&gt;H$16,MONTH($A32)=MONTH(H$16)),C31/C19,H31)</f>
        <v>1</v>
      </c>
      <c r="I32" s="1304" t="n">
        <f aca="false">IF(AND($A32&gt;I$16,MONTH($A32)=MONTH(I$16)),C31/C19-I$18,I31)</f>
        <v>1</v>
      </c>
      <c r="J32" s="1304" t="n">
        <f aca="false">IF(AND($A32&gt;J$16,MONTH($A32)=MONTH(J$16)),D31/D19,J31)</f>
        <v>1</v>
      </c>
      <c r="K32" s="1307" t="n">
        <f aca="false">IF($A32&gt;=K$16,IF(MONTH($A32)=MONTH(K$16),AVERAGE(E20:E31),K31),K31)</f>
        <v>20.3238366666667</v>
      </c>
      <c r="L32" s="1266" t="n">
        <f aca="false">L31+1</f>
        <v>20</v>
      </c>
      <c r="M32" s="1303" t="n">
        <f aca="false">HLOOKUP(M$14,Dec_Change,$L32)</f>
        <v>1</v>
      </c>
      <c r="N32" s="1304" t="n">
        <f aca="false">N31</f>
        <v>1.005</v>
      </c>
      <c r="O32" s="1307" t="n">
        <f aca="false">IF(AND($A32&gt;=O$16,MONTH($A32)=MONTH(O$16)),MAX(M32,N32)*O31,O31)</f>
        <v>1</v>
      </c>
      <c r="Q32" s="1303" t="n">
        <f aca="false">HLOOKUP(Q$14,Dec_Change,$L32)</f>
        <v>1</v>
      </c>
      <c r="R32" s="1304" t="n">
        <f aca="false">R31</f>
        <v>0</v>
      </c>
      <c r="S32" s="1307" t="n">
        <f aca="false">IF(AND($A32&gt;=S$16,MONTH($A32)=MONTH(S$16)),MAX(Q32,R32)*S31,S31)</f>
        <v>1</v>
      </c>
    </row>
    <row r="33" customFormat="false" ht="12.75" hidden="false" customHeight="false" outlineLevel="0" collapsed="false">
      <c r="A33" s="1305" t="n">
        <f aca="false">EDATE(A32,1)</f>
        <v>35827</v>
      </c>
      <c r="B33" s="1297" t="n">
        <f aca="false">'[3]Monthly Curve Calc.'!B36</f>
        <v>146.067</v>
      </c>
      <c r="C33" s="1298" t="n">
        <f aca="false">'[3]Monthly Curve Calc.'!C36</f>
        <v>161.9</v>
      </c>
      <c r="D33" s="1298" t="n">
        <f aca="false">'[3]Monthly Curve Calc.'!D36</f>
        <v>130.5</v>
      </c>
      <c r="E33" s="1298" t="n">
        <f aca="false">'[3]Monthly Curve Calc.'!E36</f>
        <v>16.072895</v>
      </c>
      <c r="F33" s="1299" t="n">
        <f aca="false">'[3]Monthly Curve Calc.'!F36</f>
        <v>1.13</v>
      </c>
      <c r="G33" s="1306" t="n">
        <f aca="false">IF(AND($A33&gt;G$16,MONTH($A33)=MONTH(G$16)),B32/B20,G32)</f>
        <v>1</v>
      </c>
      <c r="H33" s="1304" t="n">
        <f aca="false">IF(AND($A33&gt;H$16,MONTH($A33)=MONTH(H$16)),C32/C20,H32)</f>
        <v>1</v>
      </c>
      <c r="I33" s="1304" t="n">
        <f aca="false">IF(AND($A33&gt;I$16,MONTH($A33)=MONTH(I$16)),C32/C20-I$18,I32)</f>
        <v>1</v>
      </c>
      <c r="J33" s="1304" t="n">
        <f aca="false">IF(AND($A33&gt;J$16,MONTH($A33)=MONTH(J$16)),D32/D20,J32)</f>
        <v>1</v>
      </c>
      <c r="K33" s="1307" t="n">
        <f aca="false">IF($A33&gt;=K$16,IF(MONTH($A33)=MONTH(K$16),AVERAGE(E21:E32),K32),K32)</f>
        <v>20.3238366666667</v>
      </c>
      <c r="L33" s="1266" t="n">
        <f aca="false">L32+1</f>
        <v>21</v>
      </c>
      <c r="M33" s="1303" t="n">
        <f aca="false">HLOOKUP(M$14,Dec_Change,$L33)</f>
        <v>1</v>
      </c>
      <c r="N33" s="1304" t="n">
        <f aca="false">N32</f>
        <v>1.005</v>
      </c>
      <c r="O33" s="1307" t="n">
        <f aca="false">IF(AND($A33&gt;=O$16,MONTH($A33)=MONTH(O$16)),MAX(M33,N33)*O32,O32)</f>
        <v>1</v>
      </c>
      <c r="Q33" s="1303" t="n">
        <f aca="false">HLOOKUP(Q$14,Dec_Change,$L33)</f>
        <v>1</v>
      </c>
      <c r="R33" s="1304" t="n">
        <f aca="false">R32</f>
        <v>0</v>
      </c>
      <c r="S33" s="1307" t="n">
        <f aca="false">IF(AND($A33&gt;=S$16,MONTH($A33)=MONTH(S$16)),MAX(Q33,R33)*S32,S32)</f>
        <v>1</v>
      </c>
    </row>
    <row r="34" customFormat="false" ht="12.75" hidden="false" customHeight="false" outlineLevel="0" collapsed="false">
      <c r="A34" s="1305" t="n">
        <f aca="false">EDATE(A33,1)</f>
        <v>35855</v>
      </c>
      <c r="B34" s="1297" t="n">
        <f aca="false">'[3]Monthly Curve Calc.'!B37</f>
        <v>146.406</v>
      </c>
      <c r="C34" s="1298" t="n">
        <f aca="false">'[3]Monthly Curve Calc.'!C37</f>
        <v>162.2</v>
      </c>
      <c r="D34" s="1298" t="n">
        <f aca="false">'[3]Monthly Curve Calc.'!D37</f>
        <v>130.5</v>
      </c>
      <c r="E34" s="1298" t="n">
        <f aca="false">'[3]Monthly Curve Calc.'!E37</f>
        <v>15.098635</v>
      </c>
      <c r="F34" s="1299" t="n">
        <f aca="false">'[3]Monthly Curve Calc.'!F37</f>
        <v>1.137</v>
      </c>
      <c r="G34" s="1306" t="n">
        <f aca="false">IF(AND($A34&gt;G$16,MONTH($A34)=MONTH(G$16)),B33/B21,G33)</f>
        <v>1</v>
      </c>
      <c r="H34" s="1304" t="n">
        <f aca="false">IF(AND($A34&gt;H$16,MONTH($A34)=MONTH(H$16)),C33/C21,H33)</f>
        <v>1</v>
      </c>
      <c r="I34" s="1304" t="n">
        <f aca="false">IF(AND($A34&gt;I$16,MONTH($A34)=MONTH(I$16)),C33/C21-I$18,I33)</f>
        <v>1</v>
      </c>
      <c r="J34" s="1304" t="n">
        <f aca="false">IF(AND($A34&gt;J$16,MONTH($A34)=MONTH(J$16)),D33/D21,J33)</f>
        <v>1</v>
      </c>
      <c r="K34" s="1307" t="n">
        <f aca="false">IF($A34&gt;=K$16,IF(MONTH($A34)=MONTH(K$16),AVERAGE(E22:E33),K33),K33)</f>
        <v>20.3238366666667</v>
      </c>
      <c r="L34" s="1266" t="n">
        <f aca="false">L33+1</f>
        <v>22</v>
      </c>
      <c r="M34" s="1303" t="n">
        <f aca="false">HLOOKUP(M$14,Dec_Change,$L34)</f>
        <v>1</v>
      </c>
      <c r="N34" s="1304" t="n">
        <f aca="false">N33</f>
        <v>1.005</v>
      </c>
      <c r="O34" s="1307" t="n">
        <f aca="false">IF(AND($A34&gt;=O$16,MONTH($A34)=MONTH(O$16)),MAX(M34,N34)*O33,O33)</f>
        <v>1</v>
      </c>
      <c r="Q34" s="1303" t="n">
        <f aca="false">HLOOKUP(Q$14,Dec_Change,$L34)</f>
        <v>1</v>
      </c>
      <c r="R34" s="1304" t="n">
        <f aca="false">R33</f>
        <v>0</v>
      </c>
      <c r="S34" s="1307" t="n">
        <f aca="false">IF(AND($A34&gt;=S$16,MONTH($A34)=MONTH(S$16)),MAX(Q34,R34)*S33,S33)</f>
        <v>1</v>
      </c>
    </row>
    <row r="35" customFormat="false" ht="12.75" hidden="false" customHeight="false" outlineLevel="0" collapsed="false">
      <c r="A35" s="1305" t="n">
        <f aca="false">EDATE(A34,1)</f>
        <v>35886</v>
      </c>
      <c r="B35" s="1297" t="n">
        <f aca="false">'[3]Monthly Curve Calc.'!B38</f>
        <v>146.211</v>
      </c>
      <c r="C35" s="1298" t="n">
        <f aca="false">'[3]Monthly Curve Calc.'!C38</f>
        <v>162.5</v>
      </c>
      <c r="D35" s="1298" t="n">
        <f aca="false">'[3]Monthly Curve Calc.'!D38</f>
        <v>130.7</v>
      </c>
      <c r="E35" s="1298" t="n">
        <f aca="false">'[3]Monthly Curve Calc.'!E38</f>
        <v>15.31643</v>
      </c>
      <c r="F35" s="1299" t="n">
        <f aca="false">'[3]Monthly Curve Calc.'!F38</f>
        <v>1.1443</v>
      </c>
      <c r="G35" s="1306" t="n">
        <f aca="false">IF(AND($A35&gt;G$16,MONTH($A35)=MONTH(G$16)),B34/B22,G34)</f>
        <v>1</v>
      </c>
      <c r="H35" s="1304" t="n">
        <f aca="false">IF(AND($A35&gt;H$16,MONTH($A35)=MONTH(H$16)),C34/C22,H34)</f>
        <v>1</v>
      </c>
      <c r="I35" s="1304" t="n">
        <f aca="false">IF(AND($A35&gt;I$16,MONTH($A35)=MONTH(I$16)),C34/C22-I$18,I34)</f>
        <v>1</v>
      </c>
      <c r="J35" s="1304" t="n">
        <f aca="false">IF(AND($A35&gt;J$16,MONTH($A35)=MONTH(J$16)),D34/D22,J34)</f>
        <v>1</v>
      </c>
      <c r="K35" s="1307" t="n">
        <f aca="false">IF($A35&gt;=K$16,IF(MONTH($A35)=MONTH(K$16),AVERAGE(E23:E34),K34),K34)</f>
        <v>20.3238366666667</v>
      </c>
      <c r="L35" s="1266" t="n">
        <f aca="false">L34+1</f>
        <v>23</v>
      </c>
      <c r="M35" s="1303" t="n">
        <f aca="false">HLOOKUP(M$14,Dec_Change,$L35)</f>
        <v>1</v>
      </c>
      <c r="N35" s="1304" t="n">
        <f aca="false">N34</f>
        <v>1.005</v>
      </c>
      <c r="O35" s="1307" t="n">
        <f aca="false">IF(AND($A35&gt;=O$16,MONTH($A35)=MONTH(O$16)),MAX(M35,N35)*O34,O34)</f>
        <v>1</v>
      </c>
      <c r="Q35" s="1303" t="n">
        <f aca="false">HLOOKUP(Q$14,Dec_Change,$L35)</f>
        <v>1</v>
      </c>
      <c r="R35" s="1304" t="n">
        <f aca="false">R34</f>
        <v>0</v>
      </c>
      <c r="S35" s="1307" t="n">
        <f aca="false">IF(AND($A35&gt;=S$16,MONTH($A35)=MONTH(S$16)),MAX(Q35,R35)*S34,S34)</f>
        <v>1</v>
      </c>
    </row>
    <row r="36" customFormat="false" ht="12.75" hidden="false" customHeight="false" outlineLevel="0" collapsed="false">
      <c r="A36" s="1305" t="n">
        <f aca="false">EDATE(A35,1)</f>
        <v>35916</v>
      </c>
      <c r="B36" s="1297" t="n">
        <f aca="false">'[3]Monthly Curve Calc.'!B39</f>
        <v>146.544</v>
      </c>
      <c r="C36" s="1298" t="n">
        <f aca="false">'[3]Monthly Curve Calc.'!C39</f>
        <v>162.8</v>
      </c>
      <c r="D36" s="1298" t="n">
        <f aca="false">'[3]Monthly Curve Calc.'!D39</f>
        <v>130.6</v>
      </c>
      <c r="E36" s="1298" t="n">
        <f aca="false">'[3]Monthly Curve Calc.'!E39</f>
        <v>14.92775</v>
      </c>
      <c r="F36" s="1299" t="n">
        <f aca="false">'[3]Monthly Curve Calc.'!F39</f>
        <v>1.1501</v>
      </c>
      <c r="G36" s="1306" t="n">
        <f aca="false">IF(AND($A36&gt;G$16,MONTH($A36)=MONTH(G$16)),B35/B23,G35)</f>
        <v>1.04580600399122</v>
      </c>
      <c r="H36" s="1304" t="n">
        <f aca="false">IF(AND($A36&gt;H$16,MONTH($A36)=MONTH(H$16)),C35/C23,H35)</f>
        <v>1.0143570536829</v>
      </c>
      <c r="I36" s="1304" t="n">
        <f aca="false">IF(AND($A36&gt;I$16,MONTH($A36)=MONTH(I$16)),C35/C23-I$18,I35)</f>
        <v>1.0118570536829</v>
      </c>
      <c r="J36" s="1304" t="n">
        <f aca="false">IF(AND($A36&gt;J$16,MONTH($A36)=MONTH(J$16)),D35/D23,J35)</f>
        <v>1</v>
      </c>
      <c r="K36" s="1307" t="n">
        <f aca="false">IF($A36&gt;=K$16,IF(MONTH($A36)=MONTH(K$16),AVERAGE(E24:E35),K35),K35)</f>
        <v>20.3238366666667</v>
      </c>
      <c r="L36" s="1266" t="n">
        <f aca="false">L35+1</f>
        <v>24</v>
      </c>
      <c r="M36" s="1303" t="n">
        <f aca="false">HLOOKUP(M$14,Dec_Change,$L36)</f>
        <v>1.0143570536829</v>
      </c>
      <c r="N36" s="1304" t="n">
        <f aca="false">N35</f>
        <v>1.005</v>
      </c>
      <c r="O36" s="1307" t="n">
        <f aca="false">IF(AND($A36&gt;=O$16,MONTH($A36)=MONTH(O$16)),MAX(M36,N36)*O35,O35)</f>
        <v>1.0143570536829</v>
      </c>
      <c r="Q36" s="1303" t="n">
        <f aca="false">HLOOKUP(Q$14,Dec_Change,$L36)</f>
        <v>1.0143570536829</v>
      </c>
      <c r="R36" s="1304" t="n">
        <f aca="false">R35</f>
        <v>0</v>
      </c>
      <c r="S36" s="1307" t="n">
        <f aca="false">IF(AND($A36&gt;=S$16,MONTH($A36)=MONTH(S$16)),MAX(Q36,R36)*S35,S35)</f>
        <v>1</v>
      </c>
    </row>
    <row r="37" customFormat="false" ht="12.75" hidden="false" customHeight="false" outlineLevel="0" collapsed="false">
      <c r="A37" s="1305" t="n">
        <f aca="false">EDATE(A36,1)</f>
        <v>35947</v>
      </c>
      <c r="B37" s="1297" t="n">
        <f aca="false">'[3]Monthly Curve Calc.'!B40</f>
        <v>146.951</v>
      </c>
      <c r="C37" s="1298" t="n">
        <f aca="false">'[3]Monthly Curve Calc.'!C40</f>
        <v>163</v>
      </c>
      <c r="D37" s="1298" t="n">
        <f aca="false">'[3]Monthly Curve Calc.'!D40</f>
        <v>130.4</v>
      </c>
      <c r="E37" s="1298" t="n">
        <f aca="false">'[3]Monthly Curve Calc.'!E40</f>
        <v>13.68614</v>
      </c>
      <c r="F37" s="1299" t="n">
        <f aca="false">'[3]Monthly Curve Calc.'!F40</f>
        <v>1.1565</v>
      </c>
      <c r="G37" s="1306" t="n">
        <f aca="false">IF(AND($A37&gt;G$16,MONTH($A37)=MONTH(G$16)),B36/B24,G36)</f>
        <v>1.04580600399122</v>
      </c>
      <c r="H37" s="1304" t="n">
        <f aca="false">IF(AND($A37&gt;H$16,MONTH($A37)=MONTH(H$16)),C36/C24,H36)</f>
        <v>1.0143570536829</v>
      </c>
      <c r="I37" s="1304" t="n">
        <f aca="false">IF(AND($A37&gt;I$16,MONTH($A37)=MONTH(I$16)),C36/C24-I$18,I36)</f>
        <v>1.0118570536829</v>
      </c>
      <c r="J37" s="1304" t="n">
        <f aca="false">IF(AND($A37&gt;J$16,MONTH($A37)=MONTH(J$16)),D36/D24,J36)</f>
        <v>1</v>
      </c>
      <c r="K37" s="1307" t="n">
        <f aca="false">IF($A37&gt;=K$16,IF(MONTH($A37)=MONTH(K$16),AVERAGE(E25:E36),K36),K36)</f>
        <v>20.3238366666667</v>
      </c>
      <c r="L37" s="1266" t="n">
        <f aca="false">L36+1</f>
        <v>25</v>
      </c>
      <c r="M37" s="1303" t="n">
        <f aca="false">HLOOKUP(M$14,Dec_Change,$L37)</f>
        <v>1.0143570536829</v>
      </c>
      <c r="N37" s="1304" t="n">
        <f aca="false">N36</f>
        <v>1.005</v>
      </c>
      <c r="O37" s="1307" t="n">
        <f aca="false">IF(AND($A37&gt;=O$16,MONTH($A37)=MONTH(O$16)),MAX(M37,N37)*O36,O36)</f>
        <v>1.0143570536829</v>
      </c>
      <c r="Q37" s="1303" t="n">
        <f aca="false">HLOOKUP(Q$14,Dec_Change,$L37)</f>
        <v>1.0143570536829</v>
      </c>
      <c r="R37" s="1304" t="n">
        <f aca="false">R36</f>
        <v>0</v>
      </c>
      <c r="S37" s="1307" t="n">
        <f aca="false">IF(AND($A37&gt;=S$16,MONTH($A37)=MONTH(S$16)),MAX(Q37,R37)*S36,S36)</f>
        <v>1</v>
      </c>
    </row>
    <row r="38" customFormat="false" ht="12.75" hidden="false" customHeight="false" outlineLevel="0" collapsed="false">
      <c r="A38" s="1305" t="n">
        <f aca="false">EDATE(A37,1)</f>
        <v>35977</v>
      </c>
      <c r="B38" s="1297" t="n">
        <f aca="false">'[3]Monthly Curve Calc.'!B41</f>
        <v>146.39</v>
      </c>
      <c r="C38" s="1298" t="n">
        <f aca="false">'[3]Monthly Curve Calc.'!C41</f>
        <v>163.2</v>
      </c>
      <c r="D38" s="1298" t="n">
        <f aca="false">'[3]Monthly Curve Calc.'!D41</f>
        <v>130.7</v>
      </c>
      <c r="E38" s="1298" t="n">
        <f aca="false">'[3]Monthly Curve Calc.'!E41</f>
        <v>14.26</v>
      </c>
      <c r="F38" s="1299" t="n">
        <f aca="false">'[3]Monthly Curve Calc.'!F41</f>
        <v>1.163</v>
      </c>
      <c r="G38" s="1306" t="n">
        <f aca="false">IF(AND($A38&gt;G$16,MONTH($A38)=MONTH(G$16)),B37/B25,G37)</f>
        <v>1.04580600399122</v>
      </c>
      <c r="H38" s="1304" t="n">
        <f aca="false">IF(AND($A38&gt;H$16,MONTH($A38)=MONTH(H$16)),C37/C25,H37)</f>
        <v>1.0143570536829</v>
      </c>
      <c r="I38" s="1304" t="n">
        <f aca="false">IF(AND($A38&gt;I$16,MONTH($A38)=MONTH(I$16)),C37/C25-I$18,I37)</f>
        <v>1.0118570536829</v>
      </c>
      <c r="J38" s="1304" t="n">
        <f aca="false">IF(AND($A38&gt;J$16,MONTH($A38)=MONTH(J$16)),D37/D25,J37)</f>
        <v>1</v>
      </c>
      <c r="K38" s="1307" t="n">
        <f aca="false">IF($A38&gt;=K$16,IF(MONTH($A38)=MONTH(K$16),AVERAGE(E26:E37),K37),K37)</f>
        <v>20.3238366666667</v>
      </c>
      <c r="L38" s="1266" t="n">
        <f aca="false">L37+1</f>
        <v>26</v>
      </c>
      <c r="M38" s="1303" t="n">
        <f aca="false">HLOOKUP(M$14,Dec_Change,$L38)</f>
        <v>1.0143570536829</v>
      </c>
      <c r="N38" s="1304" t="n">
        <f aca="false">N37</f>
        <v>1.005</v>
      </c>
      <c r="O38" s="1307" t="n">
        <f aca="false">IF(AND($A38&gt;=O$16,MONTH($A38)=MONTH(O$16)),MAX(M38,N38)*O37,O37)</f>
        <v>1.0143570536829</v>
      </c>
      <c r="Q38" s="1303" t="n">
        <f aca="false">HLOOKUP(Q$14,Dec_Change,$L38)</f>
        <v>1.0143570536829</v>
      </c>
      <c r="R38" s="1304" t="n">
        <f aca="false">R37</f>
        <v>0</v>
      </c>
      <c r="S38" s="1307" t="n">
        <f aca="false">IF(AND($A38&gt;=S$16,MONTH($A38)=MONTH(S$16)),MAX(Q38,R38)*S37,S37)</f>
        <v>1</v>
      </c>
    </row>
    <row r="39" customFormat="false" ht="12.75" hidden="false" customHeight="false" outlineLevel="0" collapsed="false">
      <c r="A39" s="1305" t="n">
        <f aca="false">EDATE(A38,1)</f>
        <v>36008</v>
      </c>
      <c r="B39" s="1297" t="n">
        <f aca="false">'[3]Monthly Curve Calc.'!B42</f>
        <v>146.144</v>
      </c>
      <c r="C39" s="1298" t="n">
        <f aca="false">'[3]Monthly Curve Calc.'!C42</f>
        <v>163.4</v>
      </c>
      <c r="D39" s="1298" t="n">
        <f aca="false">'[3]Monthly Curve Calc.'!D42</f>
        <v>130.3</v>
      </c>
      <c r="E39" s="1298" t="n">
        <f aca="false">'[3]Monthly Curve Calc.'!E42</f>
        <v>13.38</v>
      </c>
      <c r="F39" s="1299" t="n">
        <f aca="false">'[3]Monthly Curve Calc.'!F42</f>
        <v>1.1765</v>
      </c>
      <c r="G39" s="1306" t="n">
        <f aca="false">IF(AND($A39&gt;G$16,MONTH($A39)=MONTH(G$16)),B38/B26,G38)</f>
        <v>1.04580600399122</v>
      </c>
      <c r="H39" s="1304" t="n">
        <f aca="false">IF(AND($A39&gt;H$16,MONTH($A39)=MONTH(H$16)),C38/C26,H38)</f>
        <v>1.0143570536829</v>
      </c>
      <c r="I39" s="1304" t="n">
        <f aca="false">IF(AND($A39&gt;I$16,MONTH($A39)=MONTH(I$16)),C38/C26-I$18,I38)</f>
        <v>1.0118570536829</v>
      </c>
      <c r="J39" s="1304" t="n">
        <f aca="false">IF(AND($A39&gt;J$16,MONTH($A39)=MONTH(J$16)),D38/D26,J38)</f>
        <v>1</v>
      </c>
      <c r="K39" s="1307" t="n">
        <f aca="false">IF($A39&gt;=K$16,IF(MONTH($A39)=MONTH(K$16),AVERAGE(E27:E38),K38),K38)</f>
        <v>20.3238366666667</v>
      </c>
      <c r="L39" s="1266" t="n">
        <f aca="false">L38+1</f>
        <v>27</v>
      </c>
      <c r="M39" s="1303" t="n">
        <f aca="false">HLOOKUP(M$14,Dec_Change,$L39)</f>
        <v>1.0143570536829</v>
      </c>
      <c r="N39" s="1304" t="n">
        <f aca="false">N38</f>
        <v>1.005</v>
      </c>
      <c r="O39" s="1307" t="n">
        <f aca="false">IF(AND($A39&gt;=O$16,MONTH($A39)=MONTH(O$16)),MAX(M39,N39)*O38,O38)</f>
        <v>1.0143570536829</v>
      </c>
      <c r="Q39" s="1303" t="n">
        <f aca="false">HLOOKUP(Q$14,Dec_Change,$L39)</f>
        <v>1.0143570536829</v>
      </c>
      <c r="R39" s="1304" t="n">
        <f aca="false">R38</f>
        <v>0</v>
      </c>
      <c r="S39" s="1307" t="n">
        <f aca="false">IF(AND($A39&gt;=S$16,MONTH($A39)=MONTH(S$16)),MAX(Q39,R39)*S38,S38)</f>
        <v>1</v>
      </c>
    </row>
    <row r="40" customFormat="false" ht="12.75" hidden="false" customHeight="false" outlineLevel="0" collapsed="false">
      <c r="A40" s="1305" t="n">
        <f aca="false">EDATE(A39,1)</f>
        <v>36039</v>
      </c>
      <c r="B40" s="1297" t="n">
        <f aca="false">'[3]Monthly Curve Calc.'!B43</f>
        <v>146.111</v>
      </c>
      <c r="C40" s="1298" t="n">
        <f aca="false">'[3]Monthly Curve Calc.'!C43</f>
        <v>163.6</v>
      </c>
      <c r="D40" s="1298" t="n">
        <f aca="false">'[3]Monthly Curve Calc.'!D43</f>
        <v>130.6</v>
      </c>
      <c r="E40" s="1298" t="n">
        <f aca="false">'[3]Monthly Curve Calc.'!E43</f>
        <v>16.17</v>
      </c>
      <c r="F40" s="1299" t="n">
        <f aca="false">'[3]Monthly Curve Calc.'!F43</f>
        <v>1.1856</v>
      </c>
      <c r="G40" s="1306" t="n">
        <f aca="false">IF(AND($A40&gt;G$16,MONTH($A40)=MONTH(G$16)),B39/B27,G39)</f>
        <v>1.04580600399122</v>
      </c>
      <c r="H40" s="1304" t="n">
        <f aca="false">IF(AND($A40&gt;H$16,MONTH($A40)=MONTH(H$16)),C39/C27,H39)</f>
        <v>1.0143570536829</v>
      </c>
      <c r="I40" s="1304" t="n">
        <f aca="false">IF(AND($A40&gt;I$16,MONTH($A40)=MONTH(I$16)),C39/C27-I$18,I39)</f>
        <v>1.0118570536829</v>
      </c>
      <c r="J40" s="1304" t="n">
        <f aca="false">IF(AND($A40&gt;J$16,MONTH($A40)=MONTH(J$16)),D39/D27,J39)</f>
        <v>1</v>
      </c>
      <c r="K40" s="1307" t="n">
        <f aca="false">IF($A40&gt;=K$16,IF(MONTH($A40)=MONTH(K$16),AVERAGE(E28:E39),K39),K39)</f>
        <v>20.3238366666667</v>
      </c>
      <c r="L40" s="1266" t="n">
        <f aca="false">L39+1</f>
        <v>28</v>
      </c>
      <c r="M40" s="1303" t="n">
        <f aca="false">HLOOKUP(M$14,Dec_Change,$L40)</f>
        <v>1.0143570536829</v>
      </c>
      <c r="N40" s="1304" t="n">
        <f aca="false">N39</f>
        <v>1.005</v>
      </c>
      <c r="O40" s="1307" t="n">
        <f aca="false">IF(AND($A40&gt;=O$16,MONTH($A40)=MONTH(O$16)),MAX(M40,N40)*O39,O39)</f>
        <v>1.0143570536829</v>
      </c>
      <c r="Q40" s="1303" t="n">
        <f aca="false">HLOOKUP(Q$14,Dec_Change,$L40)</f>
        <v>1.0143570536829</v>
      </c>
      <c r="R40" s="1304" t="n">
        <f aca="false">R39</f>
        <v>0</v>
      </c>
      <c r="S40" s="1307" t="n">
        <f aca="false">IF(AND($A40&gt;=S$16,MONTH($A40)=MONTH(S$16)),MAX(Q40,R40)*S39,S39)</f>
        <v>1</v>
      </c>
    </row>
    <row r="41" customFormat="false" ht="12.75" hidden="false" customHeight="false" outlineLevel="0" collapsed="false">
      <c r="A41" s="1305" t="n">
        <f aca="false">EDATE(A40,1)</f>
        <v>36069</v>
      </c>
      <c r="B41" s="1297" t="n">
        <f aca="false">'[3]Monthly Curve Calc.'!B44</f>
        <v>146.063</v>
      </c>
      <c r="C41" s="1298" t="n">
        <f aca="false">'[3]Monthly Curve Calc.'!C44</f>
        <v>164</v>
      </c>
      <c r="D41" s="1298" t="n">
        <f aca="false">'[3]Monthly Curve Calc.'!D44</f>
        <v>131</v>
      </c>
      <c r="E41" s="1298" t="n">
        <f aca="false">'[3]Monthly Curve Calc.'!E44</f>
        <v>14.45</v>
      </c>
      <c r="F41" s="1299" t="n">
        <f aca="false">'[3]Monthly Curve Calc.'!F44</f>
        <v>1.1928</v>
      </c>
      <c r="G41" s="1306" t="n">
        <f aca="false">IF(AND($A41&gt;G$16,MONTH($A41)=MONTH(G$16)),B40/B28,G40)</f>
        <v>1.04580600399122</v>
      </c>
      <c r="H41" s="1304" t="n">
        <f aca="false">IF(AND($A41&gt;H$16,MONTH($A41)=MONTH(H$16)),C40/C28,H40)</f>
        <v>1.0143570536829</v>
      </c>
      <c r="I41" s="1304" t="n">
        <f aca="false">IF(AND($A41&gt;I$16,MONTH($A41)=MONTH(I$16)),C40/C28-I$18,I40)</f>
        <v>1.0118570536829</v>
      </c>
      <c r="J41" s="1304" t="n">
        <f aca="false">IF(AND($A41&gt;J$16,MONTH($A41)=MONTH(J$16)),D40/D28,J40)</f>
        <v>1</v>
      </c>
      <c r="K41" s="1307" t="n">
        <f aca="false">IF($A41&gt;=K$16,IF(MONTH($A41)=MONTH(K$16),AVERAGE(E29:E40),K40),K40)</f>
        <v>20.3238366666667</v>
      </c>
      <c r="L41" s="1266" t="n">
        <f aca="false">L40+1</f>
        <v>29</v>
      </c>
      <c r="M41" s="1303" t="n">
        <f aca="false">HLOOKUP(M$14,Dec_Change,$L41)</f>
        <v>1.0143570536829</v>
      </c>
      <c r="N41" s="1304" t="n">
        <f aca="false">N40</f>
        <v>1.005</v>
      </c>
      <c r="O41" s="1307" t="n">
        <f aca="false">IF(AND($A41&gt;=O$16,MONTH($A41)=MONTH(O$16)),MAX(M41,N41)*O40,O40)</f>
        <v>1.0143570536829</v>
      </c>
      <c r="Q41" s="1303" t="n">
        <f aca="false">HLOOKUP(Q$14,Dec_Change,$L41)</f>
        <v>1.0143570536829</v>
      </c>
      <c r="R41" s="1304" t="n">
        <f aca="false">R40</f>
        <v>0</v>
      </c>
      <c r="S41" s="1307" t="n">
        <f aca="false">IF(AND($A41&gt;=S$16,MONTH($A41)=MONTH(S$16)),MAX(Q41,R41)*S40,S40)</f>
        <v>1</v>
      </c>
    </row>
    <row r="42" customFormat="false" ht="12.75" hidden="false" customHeight="false" outlineLevel="0" collapsed="false">
      <c r="A42" s="1305" t="n">
        <f aca="false">EDATE(A41,1)</f>
        <v>36100</v>
      </c>
      <c r="B42" s="1297" t="n">
        <f aca="false">'[3]Monthly Curve Calc.'!B45</f>
        <v>145.797</v>
      </c>
      <c r="C42" s="1298" t="n">
        <f aca="false">'[3]Monthly Curve Calc.'!C45</f>
        <v>164</v>
      </c>
      <c r="D42" s="1298" t="n">
        <f aca="false">'[3]Monthly Curve Calc.'!D45</f>
        <v>130.7</v>
      </c>
      <c r="E42" s="1298" t="n">
        <f aca="false">'[3]Monthly Curve Calc.'!E45</f>
        <v>11.26</v>
      </c>
      <c r="F42" s="1299" t="n">
        <f aca="false">'[3]Monthly Curve Calc.'!F45</f>
        <v>1.2008</v>
      </c>
      <c r="G42" s="1306" t="n">
        <f aca="false">IF(AND($A42&gt;G$16,MONTH($A42)=MONTH(G$16)),B41/B29,G41)</f>
        <v>1.04580600399122</v>
      </c>
      <c r="H42" s="1304" t="n">
        <f aca="false">IF(AND($A42&gt;H$16,MONTH($A42)=MONTH(H$16)),C41/C29,H41)</f>
        <v>1.0143570536829</v>
      </c>
      <c r="I42" s="1304" t="n">
        <f aca="false">IF(AND($A42&gt;I$16,MONTH($A42)=MONTH(I$16)),C41/C29-I$18,I41)</f>
        <v>1.0118570536829</v>
      </c>
      <c r="J42" s="1304" t="n">
        <f aca="false">IF(AND($A42&gt;J$16,MONTH($A42)=MONTH(J$16)),D41/D29,J41)</f>
        <v>1</v>
      </c>
      <c r="K42" s="1307" t="n">
        <f aca="false">IF($A42&gt;=K$16,IF(MONTH($A42)=MONTH(K$16),AVERAGE(E30:E41),K41),K41)</f>
        <v>20.3238366666667</v>
      </c>
      <c r="L42" s="1266" t="n">
        <f aca="false">L41+1</f>
        <v>30</v>
      </c>
      <c r="M42" s="1303" t="n">
        <f aca="false">HLOOKUP(M$14,Dec_Change,$L42)</f>
        <v>1.0143570536829</v>
      </c>
      <c r="N42" s="1304" t="n">
        <f aca="false">N41</f>
        <v>1.005</v>
      </c>
      <c r="O42" s="1307" t="n">
        <f aca="false">IF(AND($A42&gt;=O$16,MONTH($A42)=MONTH(O$16)),MAX(M42,N42)*O41,O41)</f>
        <v>1.0143570536829</v>
      </c>
      <c r="Q42" s="1303" t="n">
        <f aca="false">HLOOKUP(Q$14,Dec_Change,$L42)</f>
        <v>1.0143570536829</v>
      </c>
      <c r="R42" s="1304" t="n">
        <f aca="false">R41</f>
        <v>0</v>
      </c>
      <c r="S42" s="1307" t="n">
        <f aca="false">IF(AND($A42&gt;=S$16,MONTH($A42)=MONTH(S$16)),MAX(Q42,R42)*S41,S41)</f>
        <v>1</v>
      </c>
    </row>
    <row r="43" customFormat="false" ht="12.75" hidden="false" customHeight="false" outlineLevel="0" collapsed="false">
      <c r="A43" s="1305" t="n">
        <f aca="false">EDATE(A42,1)</f>
        <v>36130</v>
      </c>
      <c r="B43" s="1297" t="n">
        <f aca="false">'[3]Monthly Curve Calc.'!B46</f>
        <v>147.23</v>
      </c>
      <c r="C43" s="1298" t="n">
        <f aca="false">'[3]Monthly Curve Calc.'!C46</f>
        <v>163.9</v>
      </c>
      <c r="D43" s="1298" t="n">
        <f aca="false">'[3]Monthly Curve Calc.'!D46</f>
        <v>131.3</v>
      </c>
      <c r="E43" s="1298" t="n">
        <f aca="false">'[3]Monthly Curve Calc.'!E46</f>
        <v>12.09</v>
      </c>
      <c r="F43" s="1299" t="n">
        <f aca="false">'[3]Monthly Curve Calc.'!F46</f>
        <v>1.2083</v>
      </c>
      <c r="G43" s="1306" t="n">
        <f aca="false">IF(AND($A43&gt;G$16,MONTH($A43)=MONTH(G$16)),B42/B30,G42)</f>
        <v>1.04580600399122</v>
      </c>
      <c r="H43" s="1304" t="n">
        <f aca="false">IF(AND($A43&gt;H$16,MONTH($A43)=MONTH(H$16)),C42/C30,H42)</f>
        <v>1.0143570536829</v>
      </c>
      <c r="I43" s="1304" t="n">
        <f aca="false">IF(AND($A43&gt;I$16,MONTH($A43)=MONTH(I$16)),C42/C30-I$18,I42)</f>
        <v>1.0118570536829</v>
      </c>
      <c r="J43" s="1304" t="n">
        <f aca="false">IF(AND($A43&gt;J$16,MONTH($A43)=MONTH(J$16)),D42/D30,J42)</f>
        <v>1</v>
      </c>
      <c r="K43" s="1307" t="n">
        <f aca="false">IF($A43&gt;=K$16,IF(MONTH($A43)=MONTH(K$16),AVERAGE(E31:E42),K42),K42)</f>
        <v>20.3238366666667</v>
      </c>
      <c r="L43" s="1266" t="n">
        <f aca="false">L42+1</f>
        <v>31</v>
      </c>
      <c r="M43" s="1303" t="n">
        <f aca="false">HLOOKUP(M$14,Dec_Change,$L43)</f>
        <v>1.0143570536829</v>
      </c>
      <c r="N43" s="1304" t="n">
        <f aca="false">N42</f>
        <v>1.005</v>
      </c>
      <c r="O43" s="1307" t="n">
        <f aca="false">IF(AND($A43&gt;=O$16,MONTH($A43)=MONTH(O$16)),MAX(M43,N43)*O42,O42)</f>
        <v>1.0143570536829</v>
      </c>
      <c r="Q43" s="1303" t="n">
        <f aca="false">HLOOKUP(Q$14,Dec_Change,$L43)</f>
        <v>1.0143570536829</v>
      </c>
      <c r="R43" s="1304" t="n">
        <f aca="false">R42</f>
        <v>0</v>
      </c>
      <c r="S43" s="1307" t="n">
        <f aca="false">IF(AND($A43&gt;=S$16,MONTH($A43)=MONTH(S$16)),MAX(Q43,R43)*S42,S42)</f>
        <v>1</v>
      </c>
    </row>
    <row r="44" customFormat="false" ht="12.75" hidden="false" customHeight="false" outlineLevel="0" collapsed="false">
      <c r="A44" s="1305" t="n">
        <f aca="false">EDATE(A43,1)</f>
        <v>36161</v>
      </c>
      <c r="B44" s="1297" t="n">
        <f aca="false">'[3]Monthly Curve Calc.'!B47</f>
        <v>148.92</v>
      </c>
      <c r="C44" s="1298" t="n">
        <f aca="false">'[3]Monthly Curve Calc.'!C47</f>
        <v>164.3</v>
      </c>
      <c r="D44" s="1298" t="n">
        <f aca="false">'[3]Monthly Curve Calc.'!D47</f>
        <v>131.7</v>
      </c>
      <c r="E44" s="1298" t="n">
        <f aca="false">'[3]Monthly Curve Calc.'!E47</f>
        <v>12.76</v>
      </c>
      <c r="F44" s="1299" t="n">
        <f aca="false">'[3]Monthly Curve Calc.'!F47</f>
        <v>2.05</v>
      </c>
      <c r="G44" s="1306" t="n">
        <f aca="false">IF(AND($A44&gt;G$16,MONTH($A44)=MONTH(G$16)),B43/B31,G43)</f>
        <v>1.04580600399122</v>
      </c>
      <c r="H44" s="1304" t="n">
        <f aca="false">IF(AND($A44&gt;H$16,MONTH($A44)=MONTH(H$16)),C43/C31,H43)</f>
        <v>1.0143570536829</v>
      </c>
      <c r="I44" s="1304" t="n">
        <f aca="false">IF(AND($A44&gt;I$16,MONTH($A44)=MONTH(I$16)),C43/C31-I$18,I43)</f>
        <v>1.0118570536829</v>
      </c>
      <c r="J44" s="1304" t="n">
        <f aca="false">IF(AND($A44&gt;J$16,MONTH($A44)=MONTH(J$16)),D43/D31,J43)</f>
        <v>0.99923896499239</v>
      </c>
      <c r="K44" s="1307" t="n">
        <f aca="false">IF($A44&gt;=K$16,IF(MONTH($A44)=MONTH(K$16),AVERAGE(E32:E43),K43),K43)</f>
        <v>14.4500291666667</v>
      </c>
      <c r="L44" s="1266" t="n">
        <f aca="false">L43+1</f>
        <v>32</v>
      </c>
      <c r="M44" s="1303" t="n">
        <f aca="false">HLOOKUP(M$14,Dec_Change,$L44)</f>
        <v>1.0143570536829</v>
      </c>
      <c r="N44" s="1304" t="n">
        <f aca="false">N43</f>
        <v>1.005</v>
      </c>
      <c r="O44" s="1307" t="n">
        <f aca="false">IF(AND($A44&gt;=O$16,MONTH($A44)=MONTH(O$16)),MAX(M44,N44)*O43,O43)</f>
        <v>1.0143570536829</v>
      </c>
      <c r="Q44" s="1303" t="n">
        <f aca="false">HLOOKUP(Q$14,Dec_Change,$L44)</f>
        <v>1.0143570536829</v>
      </c>
      <c r="R44" s="1304" t="n">
        <f aca="false">R43</f>
        <v>0</v>
      </c>
      <c r="S44" s="1307" t="n">
        <f aca="false">IF(AND($A44&gt;=S$16,MONTH($A44)=MONTH(S$16)),MAX(Q44,R44)*S43,S43)</f>
        <v>1</v>
      </c>
    </row>
    <row r="45" customFormat="false" ht="12.75" hidden="false" customHeight="false" outlineLevel="0" collapsed="false">
      <c r="A45" s="1305" t="n">
        <f aca="false">EDATE(A44,1)</f>
        <v>36192</v>
      </c>
      <c r="B45" s="1297" t="n">
        <f aca="false">'[3]Monthly Curve Calc.'!B48</f>
        <v>155.53</v>
      </c>
      <c r="C45" s="1298" t="n">
        <f aca="false">'[3]Monthly Curve Calc.'!C48</f>
        <v>164.5</v>
      </c>
      <c r="D45" s="1298" t="n">
        <f aca="false">'[3]Monthly Curve Calc.'!D48</f>
        <v>131.1</v>
      </c>
      <c r="E45" s="1298" t="n">
        <f aca="false">'[3]Monthly Curve Calc.'!E48</f>
        <v>12.28</v>
      </c>
      <c r="F45" s="1299" t="n">
        <f aca="false">'[3]Monthly Curve Calc.'!F48</f>
        <v>2.035</v>
      </c>
      <c r="G45" s="1306" t="n">
        <f aca="false">IF(AND($A45&gt;G$16,MONTH($A45)=MONTH(G$16)),B44/B32,G44)</f>
        <v>1.04580600399122</v>
      </c>
      <c r="H45" s="1304" t="n">
        <f aca="false">IF(AND($A45&gt;H$16,MONTH($A45)=MONTH(H$16)),C44/C32,H44)</f>
        <v>1.0143570536829</v>
      </c>
      <c r="I45" s="1304" t="n">
        <f aca="false">IF(AND($A45&gt;I$16,MONTH($A45)=MONTH(I$16)),C44/C32-I$18,I44)</f>
        <v>1.0118570536829</v>
      </c>
      <c r="J45" s="1304" t="n">
        <f aca="false">IF(AND($A45&gt;J$16,MONTH($A45)=MONTH(J$16)),D44/D32,J44)</f>
        <v>0.99923896499239</v>
      </c>
      <c r="K45" s="1307" t="n">
        <f aca="false">IF($A45&gt;=K$16,IF(MONTH($A45)=MONTH(K$16),AVERAGE(E33:E44),K44),K44)</f>
        <v>14.4500291666667</v>
      </c>
      <c r="L45" s="1266" t="n">
        <f aca="false">L44+1</f>
        <v>33</v>
      </c>
      <c r="M45" s="1303" t="n">
        <f aca="false">HLOOKUP(M$14,Dec_Change,$L45)</f>
        <v>1.0143570536829</v>
      </c>
      <c r="N45" s="1304" t="n">
        <f aca="false">N44</f>
        <v>1.005</v>
      </c>
      <c r="O45" s="1307" t="n">
        <f aca="false">IF(AND($A45&gt;=O$16,MONTH($A45)=MONTH(O$16)),MAX(M45,N45)*O44,O44)</f>
        <v>1.0143570536829</v>
      </c>
      <c r="Q45" s="1303" t="n">
        <f aca="false">HLOOKUP(Q$14,Dec_Change,$L45)</f>
        <v>1.0143570536829</v>
      </c>
      <c r="R45" s="1304" t="n">
        <f aca="false">R44</f>
        <v>0</v>
      </c>
      <c r="S45" s="1307" t="n">
        <f aca="false">IF(AND($A45&gt;=S$16,MONTH($A45)=MONTH(S$16)),MAX(Q45,R45)*S44,S44)</f>
        <v>1</v>
      </c>
    </row>
    <row r="46" customFormat="false" ht="12.75" hidden="false" customHeight="false" outlineLevel="0" collapsed="false">
      <c r="A46" s="1305" t="n">
        <f aca="false">EDATE(A45,1)</f>
        <v>36220</v>
      </c>
      <c r="B46" s="1297" t="n">
        <f aca="false">'[3]Monthly Curve Calc.'!B49</f>
        <v>158.6</v>
      </c>
      <c r="C46" s="1298" t="n">
        <f aca="false">'[3]Monthly Curve Calc.'!C49</f>
        <v>165</v>
      </c>
      <c r="D46" s="1298" t="n">
        <f aca="false">'[3]Monthly Curve Calc.'!D49</f>
        <v>131.5</v>
      </c>
      <c r="E46" s="1298" t="n">
        <f aca="false">'[3]Monthly Curve Calc.'!E49</f>
        <v>16.76</v>
      </c>
      <c r="F46" s="1299" t="n">
        <f aca="false">'[3]Monthly Curve Calc.'!F49</f>
        <v>1.7175</v>
      </c>
      <c r="G46" s="1306" t="n">
        <f aca="false">IF(AND($A46&gt;G$16,MONTH($A46)=MONTH(G$16)),B45/B33,G45)</f>
        <v>1.04580600399122</v>
      </c>
      <c r="H46" s="1304" t="n">
        <f aca="false">IF(AND($A46&gt;H$16,MONTH($A46)=MONTH(H$16)),C45/C33,H45)</f>
        <v>1.0143570536829</v>
      </c>
      <c r="I46" s="1304" t="n">
        <f aca="false">IF(AND($A46&gt;I$16,MONTH($A46)=MONTH(I$16)),C45/C33-I$18,I45)</f>
        <v>1.0118570536829</v>
      </c>
      <c r="J46" s="1304" t="n">
        <f aca="false">IF(AND($A46&gt;J$16,MONTH($A46)=MONTH(J$16)),D45/D33,J45)</f>
        <v>0.99923896499239</v>
      </c>
      <c r="K46" s="1307" t="n">
        <f aca="false">IF($A46&gt;=K$16,IF(MONTH($A46)=MONTH(K$16),AVERAGE(E34:E45),K45),K45)</f>
        <v>14.4500291666667</v>
      </c>
      <c r="L46" s="1266" t="n">
        <f aca="false">L45+1</f>
        <v>34</v>
      </c>
      <c r="M46" s="1303" t="n">
        <f aca="false">HLOOKUP(M$14,Dec_Change,$L46)</f>
        <v>1.0143570536829</v>
      </c>
      <c r="N46" s="1304" t="n">
        <f aca="false">N45</f>
        <v>1.005</v>
      </c>
      <c r="O46" s="1307" t="n">
        <f aca="false">IF(AND($A46&gt;=O$16,MONTH($A46)=MONTH(O$16)),MAX(M46,N46)*O45,O45)</f>
        <v>1.0143570536829</v>
      </c>
      <c r="Q46" s="1303" t="n">
        <f aca="false">HLOOKUP(Q$14,Dec_Change,$L46)</f>
        <v>1.0143570536829</v>
      </c>
      <c r="R46" s="1304" t="n">
        <f aca="false">R45</f>
        <v>0</v>
      </c>
      <c r="S46" s="1307" t="n">
        <f aca="false">IF(AND($A46&gt;=S$16,MONTH($A46)=MONTH(S$16)),MAX(Q46,R46)*S45,S45)</f>
        <v>1</v>
      </c>
    </row>
    <row r="47" customFormat="false" ht="12.75" hidden="false" customHeight="false" outlineLevel="0" collapsed="false">
      <c r="A47" s="1305" t="n">
        <f aca="false">EDATE(A46,1)</f>
        <v>36251</v>
      </c>
      <c r="B47" s="1297" t="n">
        <f aca="false">'[3]Monthly Curve Calc.'!B50</f>
        <v>158.65</v>
      </c>
      <c r="C47" s="1298" t="n">
        <f aca="false">'[3]Monthly Curve Calc.'!C50</f>
        <v>166.2</v>
      </c>
      <c r="D47" s="1298" t="n">
        <f aca="false">'[3]Monthly Curve Calc.'!D50</f>
        <v>132.2</v>
      </c>
      <c r="E47" s="1298" t="n">
        <f aca="false">'[3]Monthly Curve Calc.'!E50</f>
        <v>18.66</v>
      </c>
      <c r="F47" s="1299" t="n">
        <f aca="false">'[3]Monthly Curve Calc.'!F50</f>
        <v>1.665</v>
      </c>
      <c r="G47" s="1306" t="n">
        <f aca="false">IF(AND($A47&gt;G$16,MONTH($A47)=MONTH(G$16)),B46/B34,G46)</f>
        <v>1.04580600399122</v>
      </c>
      <c r="H47" s="1304" t="n">
        <f aca="false">IF(AND($A47&gt;H$16,MONTH($A47)=MONTH(H$16)),C46/C34,H46)</f>
        <v>1.0143570536829</v>
      </c>
      <c r="I47" s="1304" t="n">
        <f aca="false">IF(AND($A47&gt;I$16,MONTH($A47)=MONTH(I$16)),C46/C34-I$18,I46)</f>
        <v>1.0118570536829</v>
      </c>
      <c r="J47" s="1304" t="n">
        <f aca="false">IF(AND($A47&gt;J$16,MONTH($A47)=MONTH(J$16)),D46/D34,J46)</f>
        <v>0.99923896499239</v>
      </c>
      <c r="K47" s="1307" t="n">
        <f aca="false">IF($A47&gt;=K$16,IF(MONTH($A47)=MONTH(K$16),AVERAGE(E35:E46),K46),K46)</f>
        <v>14.4500291666667</v>
      </c>
      <c r="L47" s="1266" t="n">
        <f aca="false">L46+1</f>
        <v>35</v>
      </c>
      <c r="M47" s="1303" t="n">
        <f aca="false">HLOOKUP(M$14,Dec_Change,$L47)</f>
        <v>1.0143570536829</v>
      </c>
      <c r="N47" s="1304" t="n">
        <f aca="false">N46</f>
        <v>1.005</v>
      </c>
      <c r="O47" s="1307" t="n">
        <f aca="false">IF(AND($A47&gt;=O$16,MONTH($A47)=MONTH(O$16)),MAX(M47,N47)*O46,O46)</f>
        <v>1.0143570536829</v>
      </c>
      <c r="Q47" s="1303" t="n">
        <f aca="false">HLOOKUP(Q$14,Dec_Change,$L47)</f>
        <v>1.0143570536829</v>
      </c>
      <c r="R47" s="1304" t="n">
        <f aca="false">R46</f>
        <v>0</v>
      </c>
      <c r="S47" s="1307" t="n">
        <f aca="false">IF(AND($A47&gt;=S$16,MONTH($A47)=MONTH(S$16)),MAX(Q47,R47)*S46,S46)</f>
        <v>1</v>
      </c>
    </row>
    <row r="48" customFormat="false" ht="12.75" hidden="false" customHeight="false" outlineLevel="0" collapsed="false">
      <c r="A48" s="1305" t="n">
        <f aca="false">EDATE(A47,1)</f>
        <v>36281</v>
      </c>
      <c r="B48" s="1297" t="n">
        <f aca="false">'[3]Monthly Curve Calc.'!B51</f>
        <v>158.1</v>
      </c>
      <c r="C48" s="1298" t="n">
        <f aca="false">'[3]Monthly Curve Calc.'!C51</f>
        <v>166.2</v>
      </c>
      <c r="D48" s="1298" t="n">
        <f aca="false">'[3]Monthly Curve Calc.'!D51</f>
        <v>132.4</v>
      </c>
      <c r="E48" s="1298" t="n">
        <f aca="false">'[3]Monthly Curve Calc.'!E51</f>
        <v>16.84</v>
      </c>
      <c r="F48" s="1299" t="n">
        <f aca="false">'[3]Monthly Curve Calc.'!F51</f>
        <v>1.721</v>
      </c>
      <c r="G48" s="1306" t="n">
        <f aca="false">IF(AND($A48&gt;G$16,MONTH($A48)=MONTH(G$16)),B47/B35,G47)</f>
        <v>1.08507567830054</v>
      </c>
      <c r="H48" s="1304" t="n">
        <f aca="false">IF(AND($A48&gt;H$16,MONTH($A48)=MONTH(H$16)),C47/C35,H47)</f>
        <v>1.02276923076923</v>
      </c>
      <c r="I48" s="1304" t="n">
        <f aca="false">IF(AND($A48&gt;I$16,MONTH($A48)=MONTH(I$16)),C47/C35-I$18,I47)</f>
        <v>1.02026923076923</v>
      </c>
      <c r="J48" s="1304" t="n">
        <f aca="false">IF(AND($A48&gt;J$16,MONTH($A48)=MONTH(J$16)),D47/D35,J47)</f>
        <v>0.99923896499239</v>
      </c>
      <c r="K48" s="1307" t="n">
        <f aca="false">IF($A48&gt;=K$16,IF(MONTH($A48)=MONTH(K$16),AVERAGE(E36:E47),K47),K47)</f>
        <v>14.4500291666667</v>
      </c>
      <c r="L48" s="1266" t="n">
        <f aca="false">L47+1</f>
        <v>36</v>
      </c>
      <c r="M48" s="1303" t="n">
        <f aca="false">HLOOKUP(M$14,Dec_Change,$L48)</f>
        <v>1.02276923076923</v>
      </c>
      <c r="N48" s="1304" t="n">
        <f aca="false">N47</f>
        <v>1.005</v>
      </c>
      <c r="O48" s="1307" t="n">
        <f aca="false">IF(AND($A48&gt;=O$16,MONTH($A48)=MONTH(O$16)),MAX(M48,N48)*O47,O47)</f>
        <v>1.0374531835206</v>
      </c>
      <c r="Q48" s="1303" t="n">
        <f aca="false">HLOOKUP(Q$14,Dec_Change,$L48)</f>
        <v>1.02276923076923</v>
      </c>
      <c r="R48" s="1304" t="n">
        <f aca="false">R47</f>
        <v>0</v>
      </c>
      <c r="S48" s="1307" t="n">
        <f aca="false">IF(AND($A48&gt;=S$16,MONTH($A48)=MONTH(S$16)),MAX(Q48,R48)*S47,S47)</f>
        <v>1</v>
      </c>
    </row>
    <row r="49" customFormat="false" ht="12.75" hidden="false" customHeight="false" outlineLevel="0" collapsed="false">
      <c r="A49" s="1305" t="n">
        <f aca="false">EDATE(A48,1)</f>
        <v>36312</v>
      </c>
      <c r="B49" s="1297" t="n">
        <f aca="false">'[3]Monthly Curve Calc.'!B52</f>
        <v>159.71</v>
      </c>
      <c r="C49" s="1298" t="n">
        <f aca="false">'[3]Monthly Curve Calc.'!C52</f>
        <v>166.2</v>
      </c>
      <c r="D49" s="1298" t="n">
        <f aca="false">'[3]Monthly Curve Calc.'!D52</f>
        <v>132.3</v>
      </c>
      <c r="E49" s="1298" t="n">
        <f aca="false">'[3]Monthly Curve Calc.'!E52</f>
        <v>19.29</v>
      </c>
      <c r="F49" s="1299" t="n">
        <f aca="false">'[3]Monthly Curve Calc.'!F52</f>
        <v>1.7525</v>
      </c>
      <c r="G49" s="1306" t="n">
        <f aca="false">IF(AND($A49&gt;G$16,MONTH($A49)=MONTH(G$16)),B48/B36,G48)</f>
        <v>1.08507567830054</v>
      </c>
      <c r="H49" s="1304" t="n">
        <f aca="false">IF(AND($A49&gt;H$16,MONTH($A49)=MONTH(H$16)),C48/C36,H48)</f>
        <v>1.02276923076923</v>
      </c>
      <c r="I49" s="1304" t="n">
        <f aca="false">IF(AND($A49&gt;I$16,MONTH($A49)=MONTH(I$16)),C48/C36-I$18,I48)</f>
        <v>1.02026923076923</v>
      </c>
      <c r="J49" s="1304" t="n">
        <f aca="false">IF(AND($A49&gt;J$16,MONTH($A49)=MONTH(J$16)),D48/D36,J48)</f>
        <v>0.99923896499239</v>
      </c>
      <c r="K49" s="1307" t="n">
        <f aca="false">IF($A49&gt;=K$16,IF(MONTH($A49)=MONTH(K$16),AVERAGE(E37:E48),K48),K48)</f>
        <v>14.4500291666667</v>
      </c>
      <c r="L49" s="1266" t="n">
        <f aca="false">L48+1</f>
        <v>37</v>
      </c>
      <c r="M49" s="1303" t="n">
        <f aca="false">HLOOKUP(M$14,Dec_Change,$L49)</f>
        <v>1.02276923076923</v>
      </c>
      <c r="N49" s="1304" t="n">
        <f aca="false">N48</f>
        <v>1.005</v>
      </c>
      <c r="O49" s="1307" t="n">
        <f aca="false">IF(AND($A49&gt;=O$16,MONTH($A49)=MONTH(O$16)),MAX(M49,N49)*O48,O48)</f>
        <v>1.0374531835206</v>
      </c>
      <c r="Q49" s="1303" t="n">
        <f aca="false">HLOOKUP(Q$14,Dec_Change,$L49)</f>
        <v>1.02276923076923</v>
      </c>
      <c r="R49" s="1304" t="n">
        <f aca="false">R48</f>
        <v>0</v>
      </c>
      <c r="S49" s="1307" t="n">
        <f aca="false">IF(AND($A49&gt;=S$16,MONTH($A49)=MONTH(S$16)),MAX(Q49,R49)*S48,S48)</f>
        <v>1</v>
      </c>
    </row>
    <row r="50" customFormat="false" ht="12.75" hidden="false" customHeight="false" outlineLevel="0" collapsed="false">
      <c r="A50" s="1305" t="n">
        <f aca="false">EDATE(A49,1)</f>
        <v>36342</v>
      </c>
      <c r="B50" s="1297" t="n">
        <f aca="false">'[3]Monthly Curve Calc.'!B53</f>
        <v>162.25</v>
      </c>
      <c r="C50" s="1298" t="n">
        <f aca="false">'[3]Monthly Curve Calc.'!C53</f>
        <v>166.7</v>
      </c>
      <c r="D50" s="1298" t="n">
        <f aca="false">'[3]Monthly Curve Calc.'!D53</f>
        <v>132.6</v>
      </c>
      <c r="E50" s="1298" t="n">
        <f aca="false">'[3]Monthly Curve Calc.'!E53</f>
        <v>20.53</v>
      </c>
      <c r="F50" s="1299" t="n">
        <f aca="false">'[3]Monthly Curve Calc.'!F53</f>
        <v>1.801</v>
      </c>
      <c r="G50" s="1306" t="n">
        <f aca="false">IF(AND($A50&gt;G$16,MONTH($A50)=MONTH(G$16)),B49/B37,G49)</f>
        <v>1.08507567830054</v>
      </c>
      <c r="H50" s="1304" t="n">
        <f aca="false">IF(AND($A50&gt;H$16,MONTH($A50)=MONTH(H$16)),C49/C37,H49)</f>
        <v>1.02276923076923</v>
      </c>
      <c r="I50" s="1304" t="n">
        <f aca="false">IF(AND($A50&gt;I$16,MONTH($A50)=MONTH(I$16)),C49/C37-I$18,I49)</f>
        <v>1.02026923076923</v>
      </c>
      <c r="J50" s="1304" t="n">
        <f aca="false">IF(AND($A50&gt;J$16,MONTH($A50)=MONTH(J$16)),D49/D37,J49)</f>
        <v>0.99923896499239</v>
      </c>
      <c r="K50" s="1307" t="n">
        <f aca="false">IF($A50&gt;=K$16,IF(MONTH($A50)=MONTH(K$16),AVERAGE(E38:E49),K49),K49)</f>
        <v>14.4500291666667</v>
      </c>
      <c r="L50" s="1266" t="n">
        <f aca="false">L49+1</f>
        <v>38</v>
      </c>
      <c r="M50" s="1303" t="n">
        <f aca="false">HLOOKUP(M$14,Dec_Change,$L50)</f>
        <v>1.02276923076923</v>
      </c>
      <c r="N50" s="1304" t="n">
        <f aca="false">N49</f>
        <v>1.005</v>
      </c>
      <c r="O50" s="1307" t="n">
        <f aca="false">IF(AND($A50&gt;=O$16,MONTH($A50)=MONTH(O$16)),MAX(M50,N50)*O49,O49)</f>
        <v>1.0374531835206</v>
      </c>
      <c r="Q50" s="1303" t="n">
        <f aca="false">HLOOKUP(Q$14,Dec_Change,$L50)</f>
        <v>1.02276923076923</v>
      </c>
      <c r="R50" s="1304" t="n">
        <f aca="false">R49</f>
        <v>0</v>
      </c>
      <c r="S50" s="1307" t="n">
        <f aca="false">IF(AND($A50&gt;=S$16,MONTH($A50)=MONTH(S$16)),MAX(Q50,R50)*S49,S49)</f>
        <v>1</v>
      </c>
    </row>
    <row r="51" customFormat="false" ht="12.75" hidden="false" customHeight="false" outlineLevel="0" collapsed="false">
      <c r="A51" s="1305" t="n">
        <f aca="false">EDATE(A50,1)</f>
        <v>36373</v>
      </c>
      <c r="B51" s="1297" t="n">
        <f aca="false">'[3]Monthly Curve Calc.'!B54</f>
        <v>164.61</v>
      </c>
      <c r="C51" s="1298" t="n">
        <f aca="false">'[3]Monthly Curve Calc.'!C54</f>
        <v>167.1</v>
      </c>
      <c r="D51" s="1298" t="n">
        <f aca="false">'[3]Monthly Curve Calc.'!D54</f>
        <v>133.4</v>
      </c>
      <c r="E51" s="1298" t="n">
        <f aca="false">'[3]Monthly Curve Calc.'!E54</f>
        <v>22.11</v>
      </c>
      <c r="F51" s="1299" t="n">
        <f aca="false">'[3]Monthly Curve Calc.'!F54</f>
        <v>1.919</v>
      </c>
      <c r="G51" s="1306" t="n">
        <f aca="false">IF(AND($A51&gt;G$16,MONTH($A51)=MONTH(G$16)),B50/B38,G50)</f>
        <v>1.08507567830054</v>
      </c>
      <c r="H51" s="1304" t="n">
        <f aca="false">IF(AND($A51&gt;H$16,MONTH($A51)=MONTH(H$16)),C50/C38,H50)</f>
        <v>1.02276923076923</v>
      </c>
      <c r="I51" s="1304" t="n">
        <f aca="false">IF(AND($A51&gt;I$16,MONTH($A51)=MONTH(I$16)),C50/C38-I$18,I50)</f>
        <v>1.02026923076923</v>
      </c>
      <c r="J51" s="1304" t="n">
        <f aca="false">IF(AND($A51&gt;J$16,MONTH($A51)=MONTH(J$16)),D50/D38,J50)</f>
        <v>0.99923896499239</v>
      </c>
      <c r="K51" s="1307" t="n">
        <f aca="false">IF($A51&gt;=K$16,IF(MONTH($A51)=MONTH(K$16),AVERAGE(E39:E50),K50),K50)</f>
        <v>14.4500291666667</v>
      </c>
      <c r="L51" s="1266" t="n">
        <f aca="false">L50+1</f>
        <v>39</v>
      </c>
      <c r="M51" s="1303" t="n">
        <f aca="false">HLOOKUP(M$14,Dec_Change,$L51)</f>
        <v>1.02276923076923</v>
      </c>
      <c r="N51" s="1304" t="n">
        <f aca="false">N50</f>
        <v>1.005</v>
      </c>
      <c r="O51" s="1307" t="n">
        <f aca="false">IF(AND($A51&gt;=O$16,MONTH($A51)=MONTH(O$16)),MAX(M51,N51)*O50,O50)</f>
        <v>1.0374531835206</v>
      </c>
      <c r="Q51" s="1303" t="n">
        <f aca="false">HLOOKUP(Q$14,Dec_Change,$L51)</f>
        <v>1.02276923076923</v>
      </c>
      <c r="R51" s="1304" t="n">
        <f aca="false">R50</f>
        <v>0</v>
      </c>
      <c r="S51" s="1307" t="n">
        <f aca="false">IF(AND($A51&gt;=S$16,MONTH($A51)=MONTH(S$16)),MAX(Q51,R51)*S50,S50)</f>
        <v>1</v>
      </c>
    </row>
    <row r="52" customFormat="false" ht="12.75" hidden="false" customHeight="false" outlineLevel="0" collapsed="false">
      <c r="A52" s="1305" t="n">
        <f aca="false">EDATE(A51,1)</f>
        <v>36404</v>
      </c>
      <c r="B52" s="1297" t="n">
        <f aca="false">'[3]Monthly Curve Calc.'!B55</f>
        <v>167.03</v>
      </c>
      <c r="C52" s="1298" t="n">
        <f aca="false">'[3]Monthly Curve Calc.'!C55</f>
        <v>167.9</v>
      </c>
      <c r="D52" s="1298" t="n">
        <f aca="false">'[3]Monthly Curve Calc.'!D55</f>
        <v>134.7</v>
      </c>
      <c r="E52" s="1298" t="n">
        <f aca="false">'[3]Monthly Curve Calc.'!E55</f>
        <v>24.51</v>
      </c>
      <c r="F52" s="1299" t="n">
        <f aca="false">'[3]Monthly Curve Calc.'!F55</f>
        <v>1.9375</v>
      </c>
      <c r="G52" s="1306" t="n">
        <f aca="false">IF(AND($A52&gt;G$16,MONTH($A52)=MONTH(G$16)),B51/B39,G51)</f>
        <v>1.08507567830054</v>
      </c>
      <c r="H52" s="1304" t="n">
        <f aca="false">IF(AND($A52&gt;H$16,MONTH($A52)=MONTH(H$16)),C51/C39,H51)</f>
        <v>1.02276923076923</v>
      </c>
      <c r="I52" s="1304" t="n">
        <f aca="false">IF(AND($A52&gt;I$16,MONTH($A52)=MONTH(I$16)),C51/C39-I$18,I51)</f>
        <v>1.02026923076923</v>
      </c>
      <c r="J52" s="1304" t="n">
        <f aca="false">IF(AND($A52&gt;J$16,MONTH($A52)=MONTH(J$16)),D51/D39,J51)</f>
        <v>0.99923896499239</v>
      </c>
      <c r="K52" s="1307" t="n">
        <f aca="false">IF($A52&gt;=K$16,IF(MONTH($A52)=MONTH(K$16),AVERAGE(E40:E51),K51),K51)</f>
        <v>14.4500291666667</v>
      </c>
      <c r="L52" s="1266" t="n">
        <f aca="false">L51+1</f>
        <v>40</v>
      </c>
      <c r="M52" s="1303" t="n">
        <f aca="false">HLOOKUP(M$14,Dec_Change,$L52)</f>
        <v>1.02276923076923</v>
      </c>
      <c r="N52" s="1304" t="n">
        <f aca="false">N51</f>
        <v>1.005</v>
      </c>
      <c r="O52" s="1307" t="n">
        <f aca="false">IF(AND($A52&gt;=O$16,MONTH($A52)=MONTH(O$16)),MAX(M52,N52)*O51,O51)</f>
        <v>1.0374531835206</v>
      </c>
      <c r="Q52" s="1303" t="n">
        <f aca="false">HLOOKUP(Q$14,Dec_Change,$L52)</f>
        <v>1.02276923076923</v>
      </c>
      <c r="R52" s="1304" t="n">
        <f aca="false">R51</f>
        <v>0</v>
      </c>
      <c r="S52" s="1307" t="n">
        <f aca="false">IF(AND($A52&gt;=S$16,MONTH($A52)=MONTH(S$16)),MAX(Q52,R52)*S51,S51)</f>
        <v>1</v>
      </c>
    </row>
    <row r="53" customFormat="false" ht="12.75" hidden="false" customHeight="false" outlineLevel="0" collapsed="false">
      <c r="A53" s="1305" t="n">
        <f aca="false">EDATE(A52,1)</f>
        <v>36434</v>
      </c>
      <c r="B53" s="1297" t="n">
        <f aca="false">'[3]Monthly Curve Calc.'!B56</f>
        <v>170.18</v>
      </c>
      <c r="C53" s="1298" t="n">
        <f aca="false">'[3]Monthly Curve Calc.'!C56</f>
        <v>168.2</v>
      </c>
      <c r="D53" s="1298" t="n">
        <f aca="false">'[3]Monthly Curve Calc.'!D56</f>
        <v>134.5</v>
      </c>
      <c r="E53" s="1298" t="n">
        <f aca="false">'[3]Monthly Curve Calc.'!E56</f>
        <v>21.75</v>
      </c>
      <c r="F53" s="1299" t="n">
        <f aca="false">'[3]Monthly Curve Calc.'!F56</f>
        <v>1.949</v>
      </c>
      <c r="G53" s="1306" t="n">
        <f aca="false">IF(AND($A53&gt;G$16,MONTH($A53)=MONTH(G$16)),B52/B40,G52)</f>
        <v>1.08507567830054</v>
      </c>
      <c r="H53" s="1304" t="n">
        <f aca="false">IF(AND($A53&gt;H$16,MONTH($A53)=MONTH(H$16)),C52/C40,H52)</f>
        <v>1.02276923076923</v>
      </c>
      <c r="I53" s="1304" t="n">
        <f aca="false">IF(AND($A53&gt;I$16,MONTH($A53)=MONTH(I$16)),C52/C40-I$18,I52)</f>
        <v>1.02026923076923</v>
      </c>
      <c r="J53" s="1304" t="n">
        <f aca="false">IF(AND($A53&gt;J$16,MONTH($A53)=MONTH(J$16)),D52/D40,J52)</f>
        <v>0.99923896499239</v>
      </c>
      <c r="K53" s="1307" t="n">
        <f aca="false">IF($A53&gt;=K$16,IF(MONTH($A53)=MONTH(K$16),AVERAGE(E41:E52),K52),K52)</f>
        <v>14.4500291666667</v>
      </c>
      <c r="L53" s="1266" t="n">
        <f aca="false">L52+1</f>
        <v>41</v>
      </c>
      <c r="M53" s="1303" t="n">
        <f aca="false">HLOOKUP(M$14,Dec_Change,$L53)</f>
        <v>1.02276923076923</v>
      </c>
      <c r="N53" s="1304" t="n">
        <f aca="false">N52</f>
        <v>1.005</v>
      </c>
      <c r="O53" s="1307" t="n">
        <f aca="false">IF(AND($A53&gt;=O$16,MONTH($A53)=MONTH(O$16)),MAX(M53,N53)*O52,O52)</f>
        <v>1.0374531835206</v>
      </c>
      <c r="Q53" s="1303" t="n">
        <f aca="false">HLOOKUP(Q$14,Dec_Change,$L53)</f>
        <v>1.02276923076923</v>
      </c>
      <c r="R53" s="1304" t="n">
        <f aca="false">R52</f>
        <v>0</v>
      </c>
      <c r="S53" s="1307" t="n">
        <f aca="false">IF(AND($A53&gt;=S$16,MONTH($A53)=MONTH(S$16)),MAX(Q53,R53)*S52,S52)</f>
        <v>1</v>
      </c>
    </row>
    <row r="54" customFormat="false" ht="12.75" hidden="false" customHeight="false" outlineLevel="0" collapsed="false">
      <c r="A54" s="1305" t="n">
        <f aca="false">EDATE(A53,1)</f>
        <v>36465</v>
      </c>
      <c r="B54" s="1297" t="n">
        <f aca="false">'[3]Monthly Curve Calc.'!B57</f>
        <v>174.5</v>
      </c>
      <c r="C54" s="1298" t="n">
        <f aca="false">'[3]Monthly Curve Calc.'!C57</f>
        <v>168.3</v>
      </c>
      <c r="D54" s="1298" t="n">
        <f aca="false">'[3]Monthly Curve Calc.'!D57</f>
        <v>134.8</v>
      </c>
      <c r="E54" s="1298" t="n">
        <f aca="false">'[3]Monthly Curve Calc.'!E57</f>
        <v>24.59</v>
      </c>
      <c r="F54" s="1299" t="n">
        <f aca="false">'[3]Monthly Curve Calc.'!F57</f>
        <v>1.923</v>
      </c>
      <c r="G54" s="1306" t="n">
        <f aca="false">IF(AND($A54&gt;G$16,MONTH($A54)=MONTH(G$16)),B53/B41,G53)</f>
        <v>1.08507567830054</v>
      </c>
      <c r="H54" s="1304" t="n">
        <f aca="false">IF(AND($A54&gt;H$16,MONTH($A54)=MONTH(H$16)),C53/C41,H53)</f>
        <v>1.02276923076923</v>
      </c>
      <c r="I54" s="1304" t="n">
        <f aca="false">IF(AND($A54&gt;I$16,MONTH($A54)=MONTH(I$16)),C53/C41-I$18,I53)</f>
        <v>1.02026923076923</v>
      </c>
      <c r="J54" s="1304" t="n">
        <f aca="false">IF(AND($A54&gt;J$16,MONTH($A54)=MONTH(J$16)),D53/D41,J53)</f>
        <v>0.99923896499239</v>
      </c>
      <c r="K54" s="1307" t="n">
        <f aca="false">IF($A54&gt;=K$16,IF(MONTH($A54)=MONTH(K$16),AVERAGE(E42:E53),K53),K53)</f>
        <v>14.4500291666667</v>
      </c>
      <c r="L54" s="1266" t="n">
        <f aca="false">L53+1</f>
        <v>42</v>
      </c>
      <c r="M54" s="1303" t="n">
        <f aca="false">HLOOKUP(M$14,Dec_Change,$L54)</f>
        <v>1.02276923076923</v>
      </c>
      <c r="N54" s="1304" t="n">
        <f aca="false">N53</f>
        <v>1.005</v>
      </c>
      <c r="O54" s="1307" t="n">
        <f aca="false">IF(AND($A54&gt;=O$16,MONTH($A54)=MONTH(O$16)),MAX(M54,N54)*O53,O53)</f>
        <v>1.0374531835206</v>
      </c>
      <c r="Q54" s="1303" t="n">
        <f aca="false">HLOOKUP(Q$14,Dec_Change,$L54)</f>
        <v>1.02276923076923</v>
      </c>
      <c r="R54" s="1304" t="n">
        <f aca="false">R53</f>
        <v>0</v>
      </c>
      <c r="S54" s="1307" t="n">
        <f aca="false">IF(AND($A54&gt;=S$16,MONTH($A54)=MONTH(S$16)),MAX(Q54,R54)*S53,S53)</f>
        <v>1</v>
      </c>
    </row>
    <row r="55" customFormat="false" ht="12.75" hidden="false" customHeight="false" outlineLevel="0" collapsed="false">
      <c r="A55" s="1305" t="n">
        <f aca="false">EDATE(A54,1)</f>
        <v>36495</v>
      </c>
      <c r="B55" s="1297" t="n">
        <f aca="false">'[3]Monthly Curve Calc.'!B58</f>
        <v>176.65</v>
      </c>
      <c r="C55" s="1298" t="n">
        <f aca="false">'[3]Monthly Curve Calc.'!C58</f>
        <v>168.3</v>
      </c>
      <c r="D55" s="1298" t="n">
        <f aca="false">'[3]Monthly Curve Calc.'!D58</f>
        <v>135.2</v>
      </c>
      <c r="E55" s="1298" t="n">
        <f aca="false">'[3]Monthly Curve Calc.'!E58</f>
        <v>25.6</v>
      </c>
      <c r="F55" s="1299" t="n">
        <f aca="false">'[3]Monthly Curve Calc.'!F58</f>
        <v>1.799</v>
      </c>
      <c r="G55" s="1306" t="n">
        <f aca="false">IF(AND($A55&gt;G$16,MONTH($A55)=MONTH(G$16)),B54/B42,G54)</f>
        <v>1.08507567830054</v>
      </c>
      <c r="H55" s="1304" t="n">
        <f aca="false">IF(AND($A55&gt;H$16,MONTH($A55)=MONTH(H$16)),C54/C42,H54)</f>
        <v>1.02276923076923</v>
      </c>
      <c r="I55" s="1304" t="n">
        <f aca="false">IF(AND($A55&gt;I$16,MONTH($A55)=MONTH(I$16)),C54/C42-I$18,I54)</f>
        <v>1.02026923076923</v>
      </c>
      <c r="J55" s="1304" t="n">
        <f aca="false">IF(AND($A55&gt;J$16,MONTH($A55)=MONTH(J$16)),D54/D42,J54)</f>
        <v>0.99923896499239</v>
      </c>
      <c r="K55" s="1307" t="n">
        <f aca="false">IF($A55&gt;=K$16,IF(MONTH($A55)=MONTH(K$16),AVERAGE(E43:E54),K54),K54)</f>
        <v>14.4500291666667</v>
      </c>
      <c r="L55" s="1266" t="n">
        <f aca="false">L54+1</f>
        <v>43</v>
      </c>
      <c r="M55" s="1303" t="n">
        <f aca="false">HLOOKUP(M$14,Dec_Change,$L55)</f>
        <v>1.02276923076923</v>
      </c>
      <c r="N55" s="1304" t="n">
        <f aca="false">N54</f>
        <v>1.005</v>
      </c>
      <c r="O55" s="1307" t="n">
        <f aca="false">IF(AND($A55&gt;=O$16,MONTH($A55)=MONTH(O$16)),MAX(M55,N55)*O54,O54)</f>
        <v>1.0374531835206</v>
      </c>
      <c r="Q55" s="1303" t="n">
        <f aca="false">HLOOKUP(Q$14,Dec_Change,$L55)</f>
        <v>1.02276923076923</v>
      </c>
      <c r="R55" s="1304" t="n">
        <f aca="false">R54</f>
        <v>0</v>
      </c>
      <c r="S55" s="1307" t="n">
        <f aca="false">IF(AND($A55&gt;=S$16,MONTH($A55)=MONTH(S$16)),MAX(Q55,R55)*S54,S54)</f>
        <v>1</v>
      </c>
    </row>
    <row r="56" customFormat="false" ht="12.75" hidden="false" customHeight="false" outlineLevel="0" collapsed="false">
      <c r="A56" s="1305" t="n">
        <f aca="false">EDATE(A55,1)</f>
        <v>36526</v>
      </c>
      <c r="B56" s="1297" t="n">
        <f aca="false">'[3]Monthly Curve Calc.'!B59</f>
        <v>177.962667619927</v>
      </c>
      <c r="C56" s="1298" t="n">
        <f aca="false">'[3]Monthly Curve Calc.'!C59</f>
        <v>168.759419216569</v>
      </c>
      <c r="D56" s="1298" t="n">
        <f aca="false">'[3]Monthly Curve Calc.'!D59</f>
        <v>135.639875986202</v>
      </c>
      <c r="E56" s="1298" t="n">
        <f aca="false">'[3]Monthly Curve Calc.'!E59</f>
        <v>26.1920833333333</v>
      </c>
      <c r="F56" s="1299" t="n">
        <f aca="false">'[3]Monthly Curve Calc.'!F59</f>
        <v>1.79475064868979</v>
      </c>
      <c r="G56" s="1306" t="n">
        <f aca="false">IF(AND($A56&gt;G$16,MONTH($A56)=MONTH(G$16)),B55/B43,G55)</f>
        <v>1.08507567830054</v>
      </c>
      <c r="H56" s="1304" t="n">
        <f aca="false">IF(AND($A56&gt;H$16,MONTH($A56)=MONTH(H$16)),C55/C43,H55)</f>
        <v>1.02276923076923</v>
      </c>
      <c r="I56" s="1304" t="n">
        <f aca="false">IF(AND($A56&gt;I$16,MONTH($A56)=MONTH(I$16)),C55/C43-I$18,I55)</f>
        <v>1.02026923076923</v>
      </c>
      <c r="J56" s="1304" t="n">
        <f aca="false">IF(AND($A56&gt;J$16,MONTH($A56)=MONTH(J$16)),D55/D43,J55)</f>
        <v>1.02970297029703</v>
      </c>
      <c r="K56" s="1307" t="n">
        <f aca="false">IF($A56&gt;=K$16,IF(MONTH($A56)=MONTH(K$16),AVERAGE(E44:E55),K55),K55)</f>
        <v>19.64</v>
      </c>
      <c r="L56" s="1266" t="n">
        <f aca="false">L55+1</f>
        <v>44</v>
      </c>
      <c r="M56" s="1303" t="n">
        <f aca="false">HLOOKUP(M$14,Dec_Change,$L56)</f>
        <v>1.02276923076923</v>
      </c>
      <c r="N56" s="1304" t="n">
        <f aca="false">N55</f>
        <v>1.005</v>
      </c>
      <c r="O56" s="1307" t="n">
        <f aca="false">IF(AND($A56&gt;=O$16,MONTH($A56)=MONTH(O$16)),MAX(M56,N56)*O55,O55)</f>
        <v>1.0374531835206</v>
      </c>
      <c r="Q56" s="1303" t="n">
        <f aca="false">HLOOKUP(Q$14,Dec_Change,$L56)</f>
        <v>1.02276923076923</v>
      </c>
      <c r="R56" s="1304" t="n">
        <f aca="false">R55</f>
        <v>0</v>
      </c>
      <c r="S56" s="1307" t="n">
        <f aca="false">IF(AND($A56&gt;=S$16,MONTH($A56)=MONTH(S$16)),MAX(Q56,R56)*S55,S55)</f>
        <v>1</v>
      </c>
    </row>
    <row r="57" customFormat="false" ht="12.75" hidden="false" customHeight="false" outlineLevel="0" collapsed="false">
      <c r="A57" s="1305" t="n">
        <f aca="false">EDATE(A56,1)</f>
        <v>36557</v>
      </c>
      <c r="B57" s="1297" t="n">
        <f aca="false">'[3]Monthly Curve Calc.'!B60</f>
        <v>179.285089535243</v>
      </c>
      <c r="C57" s="1298" t="n">
        <f aca="false">'[3]Monthly Curve Calc.'!C60</f>
        <v>169.220092538999</v>
      </c>
      <c r="D57" s="1298" t="n">
        <f aca="false">'[3]Monthly Curve Calc.'!D60</f>
        <v>136.081183117991</v>
      </c>
      <c r="E57" s="1298" t="n">
        <f aca="false">'[3]Monthly Curve Calc.'!E60</f>
        <v>26.7841666666667</v>
      </c>
      <c r="F57" s="1299" t="n">
        <f aca="false">'[3]Monthly Curve Calc.'!F60</f>
        <v>1.79051133461502</v>
      </c>
      <c r="G57" s="1306" t="n">
        <f aca="false">IF(AND($A57&gt;G$16,MONTH($A57)=MONTH(G$16)),B56/B44,G56)</f>
        <v>1.08507567830054</v>
      </c>
      <c r="H57" s="1304" t="n">
        <f aca="false">IF(AND($A57&gt;H$16,MONTH($A57)=MONTH(H$16)),C56/C44,H56)</f>
        <v>1.02276923076923</v>
      </c>
      <c r="I57" s="1304" t="n">
        <f aca="false">IF(AND($A57&gt;I$16,MONTH($A57)=MONTH(I$16)),C56/C44-I$18,I56)</f>
        <v>1.02026923076923</v>
      </c>
      <c r="J57" s="1304" t="n">
        <f aca="false">IF(AND($A57&gt;J$16,MONTH($A57)=MONTH(J$16)),D56/D44,J56)</f>
        <v>1.02970297029703</v>
      </c>
      <c r="K57" s="1307" t="n">
        <f aca="false">IF($A57&gt;=K$16,IF(MONTH($A57)=MONTH(K$16),AVERAGE(E45:E56),K56),K56)</f>
        <v>19.64</v>
      </c>
      <c r="L57" s="1266" t="n">
        <f aca="false">L56+1</f>
        <v>45</v>
      </c>
      <c r="M57" s="1303" t="n">
        <f aca="false">HLOOKUP(M$14,Dec_Change,$L57)</f>
        <v>1.02276923076923</v>
      </c>
      <c r="N57" s="1304" t="n">
        <f aca="false">N56</f>
        <v>1.005</v>
      </c>
      <c r="O57" s="1307" t="n">
        <f aca="false">IF(AND($A57&gt;=O$16,MONTH($A57)=MONTH(O$16)),MAX(M57,N57)*O56,O56)</f>
        <v>1.0374531835206</v>
      </c>
      <c r="Q57" s="1303" t="n">
        <f aca="false">HLOOKUP(Q$14,Dec_Change,$L57)</f>
        <v>1.02276923076923</v>
      </c>
      <c r="R57" s="1304" t="n">
        <f aca="false">R56</f>
        <v>0</v>
      </c>
      <c r="S57" s="1307" t="n">
        <f aca="false">IF(AND($A57&gt;=S$16,MONTH($A57)=MONTH(S$16)),MAX(Q57,R57)*S56,S56)</f>
        <v>1</v>
      </c>
    </row>
    <row r="58" customFormat="false" ht="12.75" hidden="false" customHeight="false" outlineLevel="0" collapsed="false">
      <c r="A58" s="1305" t="n">
        <f aca="false">EDATE(A57,1)</f>
        <v>36586</v>
      </c>
      <c r="B58" s="1297" t="n">
        <f aca="false">'[3]Monthly Curve Calc.'!B61</f>
        <v>180.617338229093</v>
      </c>
      <c r="C58" s="1298" t="n">
        <f aca="false">'[3]Monthly Curve Calc.'!C61</f>
        <v>169.682023390704</v>
      </c>
      <c r="D58" s="1298" t="n">
        <f aca="false">'[3]Monthly Curve Calc.'!D61</f>
        <v>136.523926051627</v>
      </c>
      <c r="E58" s="1298" t="n">
        <f aca="false">'[3]Monthly Curve Calc.'!E61</f>
        <v>27.37625</v>
      </c>
      <c r="F58" s="1299" t="n">
        <f aca="false">'[3]Monthly Curve Calc.'!F61</f>
        <v>1.78628203406711</v>
      </c>
      <c r="G58" s="1306" t="n">
        <f aca="false">IF(AND($A58&gt;G$16,MONTH($A58)=MONTH(G$16)),B57/B45,G57)</f>
        <v>1.08507567830054</v>
      </c>
      <c r="H58" s="1304" t="n">
        <f aca="false">IF(AND($A58&gt;H$16,MONTH($A58)=MONTH(H$16)),C57/C45,H57)</f>
        <v>1.02276923076923</v>
      </c>
      <c r="I58" s="1304" t="n">
        <f aca="false">IF(AND($A58&gt;I$16,MONTH($A58)=MONTH(I$16)),C57/C45-I$18,I57)</f>
        <v>1.02026923076923</v>
      </c>
      <c r="J58" s="1304" t="n">
        <f aca="false">IF(AND($A58&gt;J$16,MONTH($A58)=MONTH(J$16)),D57/D45,J57)</f>
        <v>1.02970297029703</v>
      </c>
      <c r="K58" s="1307" t="n">
        <f aca="false">IF($A58&gt;=K$16,IF(MONTH($A58)=MONTH(K$16),AVERAGE(E46:E57),K57),K57)</f>
        <v>19.64</v>
      </c>
      <c r="L58" s="1266" t="n">
        <f aca="false">L57+1</f>
        <v>46</v>
      </c>
      <c r="M58" s="1303" t="n">
        <f aca="false">HLOOKUP(M$14,Dec_Change,$L58)</f>
        <v>1.02276923076923</v>
      </c>
      <c r="N58" s="1304" t="n">
        <f aca="false">N57</f>
        <v>1.005</v>
      </c>
      <c r="O58" s="1307" t="n">
        <f aca="false">IF(AND($A58&gt;=O$16,MONTH($A58)=MONTH(O$16)),MAX(M58,N58)*O57,O57)</f>
        <v>1.0374531835206</v>
      </c>
      <c r="Q58" s="1303" t="n">
        <f aca="false">HLOOKUP(Q$14,Dec_Change,$L58)</f>
        <v>1.02276923076923</v>
      </c>
      <c r="R58" s="1304" t="n">
        <f aca="false">R57</f>
        <v>0</v>
      </c>
      <c r="S58" s="1307" t="n">
        <f aca="false">IF(AND($A58&gt;=S$16,MONTH($A58)=MONTH(S$16)),MAX(Q58,R58)*S57,S57)</f>
        <v>1</v>
      </c>
    </row>
    <row r="59" customFormat="false" ht="12.75" hidden="false" customHeight="false" outlineLevel="0" collapsed="false">
      <c r="A59" s="1305" t="n">
        <f aca="false">EDATE(A58,1)</f>
        <v>36617</v>
      </c>
      <c r="B59" s="1297" t="n">
        <f aca="false">'[3]Monthly Curve Calc.'!B62</f>
        <v>181.959486723239</v>
      </c>
      <c r="C59" s="1298" t="n">
        <f aca="false">'[3]Monthly Curve Calc.'!C62</f>
        <v>170.145215204442</v>
      </c>
      <c r="D59" s="1298" t="n">
        <f aca="false">'[3]Monthly Curve Calc.'!D62</f>
        <v>136.968109458522</v>
      </c>
      <c r="E59" s="1298" t="n">
        <f aca="false">'[3]Monthly Curve Calc.'!E62</f>
        <v>27.9683333333333</v>
      </c>
      <c r="F59" s="1299" t="n">
        <f aca="false">'[3]Monthly Curve Calc.'!F62</f>
        <v>1.78206272339347</v>
      </c>
      <c r="G59" s="1306" t="n">
        <f aca="false">IF(AND($A59&gt;G$16,MONTH($A59)=MONTH(G$16)),B58/B46,G58)</f>
        <v>1.08507567830054</v>
      </c>
      <c r="H59" s="1304" t="n">
        <f aca="false">IF(AND($A59&gt;H$16,MONTH($A59)=MONTH(H$16)),C58/C46,H58)</f>
        <v>1.02276923076923</v>
      </c>
      <c r="I59" s="1304" t="n">
        <f aca="false">IF(AND($A59&gt;I$16,MONTH($A59)=MONTH(I$16)),C58/C46-I$18,I58)</f>
        <v>1.02026923076923</v>
      </c>
      <c r="J59" s="1304" t="n">
        <f aca="false">IF(AND($A59&gt;J$16,MONTH($A59)=MONTH(J$16)),D58/D46,J58)</f>
        <v>1.02970297029703</v>
      </c>
      <c r="K59" s="1307" t="n">
        <f aca="false">IF($A59&gt;=K$16,IF(MONTH($A59)=MONTH(K$16),AVERAGE(E47:E58),K58),K58)</f>
        <v>19.64</v>
      </c>
      <c r="L59" s="1266" t="n">
        <f aca="false">L58+1</f>
        <v>47</v>
      </c>
      <c r="M59" s="1303" t="n">
        <f aca="false">HLOOKUP(M$14,Dec_Change,$L59)</f>
        <v>1.02276923076923</v>
      </c>
      <c r="N59" s="1304" t="n">
        <f aca="false">N58</f>
        <v>1.005</v>
      </c>
      <c r="O59" s="1307" t="n">
        <f aca="false">IF(AND($A59&gt;=O$16,MONTH($A59)=MONTH(O$16)),MAX(M59,N59)*O58,O58)</f>
        <v>1.0374531835206</v>
      </c>
      <c r="Q59" s="1303" t="n">
        <f aca="false">HLOOKUP(Q$14,Dec_Change,$L59)</f>
        <v>1.02276923076923</v>
      </c>
      <c r="R59" s="1304" t="n">
        <f aca="false">R58</f>
        <v>0</v>
      </c>
      <c r="S59" s="1307" t="n">
        <f aca="false">IF(AND($A59&gt;=S$16,MONTH($A59)=MONTH(S$16)),MAX(Q59,R59)*S58,S58)</f>
        <v>1</v>
      </c>
    </row>
    <row r="60" customFormat="false" ht="12.75" hidden="false" customHeight="false" outlineLevel="0" collapsed="false">
      <c r="A60" s="1305" t="n">
        <f aca="false">EDATE(A59,1)</f>
        <v>36647</v>
      </c>
      <c r="B60" s="1297" t="n">
        <f aca="false">'[3]Monthly Curve Calc.'!B63</f>
        <v>183.311608582057</v>
      </c>
      <c r="C60" s="1298" t="n">
        <f aca="false">'[3]Monthly Curve Calc.'!C63</f>
        <v>170.609671422339</v>
      </c>
      <c r="D60" s="1298" t="n">
        <f aca="false">'[3]Monthly Curve Calc.'!D63</f>
        <v>137.413738025284</v>
      </c>
      <c r="E60" s="1298" t="n">
        <f aca="false">'[3]Monthly Curve Calc.'!E63</f>
        <v>28.5604166666667</v>
      </c>
      <c r="F60" s="1299" t="n">
        <f aca="false">'[3]Monthly Curve Calc.'!F63</f>
        <v>1.7778533789974</v>
      </c>
      <c r="G60" s="1306" t="n">
        <f aca="false">IF(AND($A60&gt;G$16,MONTH($A60)=MONTH(G$16)),B59/B47,G59)</f>
        <v>1.1469239629577</v>
      </c>
      <c r="H60" s="1304" t="n">
        <f aca="false">IF(AND($A60&gt;H$16,MONTH($A60)=MONTH(H$16)),C59/C47,H59)</f>
        <v>1.0237377569461</v>
      </c>
      <c r="I60" s="1304" t="n">
        <f aca="false">IF(AND($A60&gt;I$16,MONTH($A60)=MONTH(I$16)),C59/C47-I$18,I59)</f>
        <v>1.0212377569461</v>
      </c>
      <c r="J60" s="1304" t="n">
        <f aca="false">IF(AND($A60&gt;J$16,MONTH($A60)=MONTH(J$16)),D59/D47,J59)</f>
        <v>1.02970297029703</v>
      </c>
      <c r="K60" s="1307" t="n">
        <f aca="false">IF($A60&gt;=K$16,IF(MONTH($A60)=MONTH(K$16),AVERAGE(E48:E59),K59),K59)</f>
        <v>19.64</v>
      </c>
      <c r="L60" s="1266" t="n">
        <f aca="false">L59+1</f>
        <v>48</v>
      </c>
      <c r="M60" s="1303" t="n">
        <f aca="false">HLOOKUP(M$14,Dec_Change,$L60)</f>
        <v>1.0237377569461</v>
      </c>
      <c r="N60" s="1304" t="n">
        <f aca="false">N59</f>
        <v>1.005</v>
      </c>
      <c r="O60" s="1307" t="n">
        <f aca="false">IF(AND($A60&gt;=O$16,MONTH($A60)=MONTH(O$16)),MAX(M60,N60)*O59,O59)</f>
        <v>1.06207999503397</v>
      </c>
      <c r="Q60" s="1303" t="n">
        <f aca="false">HLOOKUP(Q$14,Dec_Change,$L60)</f>
        <v>1.0237377569461</v>
      </c>
      <c r="R60" s="1304" t="n">
        <f aca="false">R59</f>
        <v>0</v>
      </c>
      <c r="S60" s="1307" t="n">
        <f aca="false">IF(AND($A60&gt;=S$16,MONTH($A60)=MONTH(S$16)),MAX(Q60,R60)*S59,S59)</f>
        <v>1</v>
      </c>
    </row>
    <row r="61" customFormat="false" ht="12.75" hidden="false" customHeight="false" outlineLevel="0" collapsed="false">
      <c r="A61" s="1305" t="n">
        <f aca="false">EDATE(A60,1)</f>
        <v>36678</v>
      </c>
      <c r="B61" s="1297" t="n">
        <f aca="false">'[3]Monthly Curve Calc.'!B64</f>
        <v>184.673777916574</v>
      </c>
      <c r="C61" s="1298" t="n">
        <f aca="false">'[3]Monthly Curve Calc.'!C64</f>
        <v>171.075395495921</v>
      </c>
      <c r="D61" s="1298" t="n">
        <f aca="false">'[3]Monthly Curve Calc.'!D64</f>
        <v>137.860816453773</v>
      </c>
      <c r="E61" s="1298" t="n">
        <f aca="false">'[3]Monthly Curve Calc.'!E64</f>
        <v>29.1525</v>
      </c>
      <c r="F61" s="1299" t="n">
        <f aca="false">'[3]Monthly Curve Calc.'!F64</f>
        <v>1.77365397733792</v>
      </c>
      <c r="G61" s="1306" t="n">
        <f aca="false">IF(AND($A61&gt;G$16,MONTH($A61)=MONTH(G$16)),B60/B48,G60)</f>
        <v>1.1469239629577</v>
      </c>
      <c r="H61" s="1304" t="n">
        <f aca="false">IF(AND($A61&gt;H$16,MONTH($A61)=MONTH(H$16)),C60/C48,H60)</f>
        <v>1.0237377569461</v>
      </c>
      <c r="I61" s="1304" t="n">
        <f aca="false">IF(AND($A61&gt;I$16,MONTH($A61)=MONTH(I$16)),C60/C48-I$18,I60)</f>
        <v>1.0212377569461</v>
      </c>
      <c r="J61" s="1304" t="n">
        <f aca="false">IF(AND($A61&gt;J$16,MONTH($A61)=MONTH(J$16)),D60/D48,J60)</f>
        <v>1.02970297029703</v>
      </c>
      <c r="K61" s="1307" t="n">
        <f aca="false">IF($A61&gt;=K$16,IF(MONTH($A61)=MONTH(K$16),AVERAGE(E49:E60),K60),K60)</f>
        <v>19.64</v>
      </c>
      <c r="L61" s="1266" t="n">
        <f aca="false">L60+1</f>
        <v>49</v>
      </c>
      <c r="M61" s="1303" t="n">
        <f aca="false">HLOOKUP(M$14,Dec_Change,$L61)</f>
        <v>1.0237377569461</v>
      </c>
      <c r="N61" s="1304" t="n">
        <f aca="false">N60</f>
        <v>1.005</v>
      </c>
      <c r="O61" s="1307" t="n">
        <f aca="false">IF(AND($A61&gt;=O$16,MONTH($A61)=MONTH(O$16)),MAX(M61,N61)*O60,O60)</f>
        <v>1.06207999503397</v>
      </c>
      <c r="Q61" s="1303" t="n">
        <f aca="false">HLOOKUP(Q$14,Dec_Change,$L61)</f>
        <v>1.0237377569461</v>
      </c>
      <c r="R61" s="1304" t="n">
        <f aca="false">R60</f>
        <v>0</v>
      </c>
      <c r="S61" s="1307" t="n">
        <f aca="false">IF(AND($A61&gt;=S$16,MONTH($A61)=MONTH(S$16)),MAX(Q61,R61)*S60,S60)</f>
        <v>1</v>
      </c>
    </row>
    <row r="62" customFormat="false" ht="12.75" hidden="false" customHeight="false" outlineLevel="0" collapsed="false">
      <c r="A62" s="1305" t="n">
        <f aca="false">EDATE(A61,1)</f>
        <v>36708</v>
      </c>
      <c r="B62" s="1297" t="n">
        <f aca="false">'[3]Monthly Curve Calc.'!B65</f>
        <v>186.046069388528</v>
      </c>
      <c r="C62" s="1298" t="n">
        <f aca="false">'[3]Monthly Curve Calc.'!C65</f>
        <v>171.542390886135</v>
      </c>
      <c r="D62" s="1298" t="n">
        <f aca="false">'[3]Monthly Curve Calc.'!D65</f>
        <v>138.309349461142</v>
      </c>
      <c r="E62" s="1298" t="n">
        <f aca="false">'[3]Monthly Curve Calc.'!E65</f>
        <v>29.7445833333333</v>
      </c>
      <c r="F62" s="1299" t="n">
        <f aca="false">'[3]Monthly Curve Calc.'!F65</f>
        <v>1.76946449492966</v>
      </c>
      <c r="G62" s="1306" t="n">
        <f aca="false">IF(AND($A62&gt;G$16,MONTH($A62)=MONTH(G$16)),B61/B49,G61)</f>
        <v>1.1469239629577</v>
      </c>
      <c r="H62" s="1304" t="n">
        <f aca="false">IF(AND($A62&gt;H$16,MONTH($A62)=MONTH(H$16)),C61/C49,H61)</f>
        <v>1.0237377569461</v>
      </c>
      <c r="I62" s="1304" t="n">
        <f aca="false">IF(AND($A62&gt;I$16,MONTH($A62)=MONTH(I$16)),C61/C49-I$18,I61)</f>
        <v>1.0212377569461</v>
      </c>
      <c r="J62" s="1304" t="n">
        <f aca="false">IF(AND($A62&gt;J$16,MONTH($A62)=MONTH(J$16)),D61/D49,J61)</f>
        <v>1.02970297029703</v>
      </c>
      <c r="K62" s="1307" t="n">
        <f aca="false">IF($A62&gt;=K$16,IF(MONTH($A62)=MONTH(K$16),AVERAGE(E50:E61),K61),K61)</f>
        <v>19.64</v>
      </c>
      <c r="L62" s="1266" t="n">
        <f aca="false">L61+1</f>
        <v>50</v>
      </c>
      <c r="M62" s="1303" t="n">
        <f aca="false">HLOOKUP(M$14,Dec_Change,$L62)</f>
        <v>1.0237377569461</v>
      </c>
      <c r="N62" s="1304" t="n">
        <f aca="false">N61</f>
        <v>1.005</v>
      </c>
      <c r="O62" s="1307" t="n">
        <f aca="false">IF(AND($A62&gt;=O$16,MONTH($A62)=MONTH(O$16)),MAX(M62,N62)*O61,O61)</f>
        <v>1.06207999503397</v>
      </c>
      <c r="Q62" s="1303" t="n">
        <f aca="false">HLOOKUP(Q$14,Dec_Change,$L62)</f>
        <v>1.0237377569461</v>
      </c>
      <c r="R62" s="1304" t="n">
        <f aca="false">R61</f>
        <v>0</v>
      </c>
      <c r="S62" s="1307" t="n">
        <f aca="false">IF(AND($A62&gt;=S$16,MONTH($A62)=MONTH(S$16)),MAX(Q62,R62)*S61,S61)</f>
        <v>1</v>
      </c>
    </row>
    <row r="63" customFormat="false" ht="12.75" hidden="false" customHeight="false" outlineLevel="0" collapsed="false">
      <c r="A63" s="1305" t="n">
        <f aca="false">EDATE(A62,1)</f>
        <v>36739</v>
      </c>
      <c r="B63" s="1297" t="n">
        <f aca="false">'[3]Monthly Curve Calc.'!B66</f>
        <v>187.428558214461</v>
      </c>
      <c r="C63" s="1298" t="n">
        <f aca="false">'[3]Monthly Curve Calc.'!C66</f>
        <v>172.010661063373</v>
      </c>
      <c r="D63" s="1298" t="n">
        <f aca="false">'[3]Monthly Curve Calc.'!D66</f>
        <v>138.759341779893</v>
      </c>
      <c r="E63" s="1298" t="n">
        <f aca="false">'[3]Monthly Curve Calc.'!E66</f>
        <v>30.3366666666667</v>
      </c>
      <c r="F63" s="1299" t="n">
        <f aca="false">'[3]Monthly Curve Calc.'!F66</f>
        <v>1.76528490834273</v>
      </c>
      <c r="G63" s="1306" t="n">
        <f aca="false">IF(AND($A63&gt;G$16,MONTH($A63)=MONTH(G$16)),B62/B50,G62)</f>
        <v>1.1469239629577</v>
      </c>
      <c r="H63" s="1304" t="n">
        <f aca="false">IF(AND($A63&gt;H$16,MONTH($A63)=MONTH(H$16)),C62/C50,H62)</f>
        <v>1.0237377569461</v>
      </c>
      <c r="I63" s="1304" t="n">
        <f aca="false">IF(AND($A63&gt;I$16,MONTH($A63)=MONTH(I$16)),C62/C50-I$18,I62)</f>
        <v>1.0212377569461</v>
      </c>
      <c r="J63" s="1304" t="n">
        <f aca="false">IF(AND($A63&gt;J$16,MONTH($A63)=MONTH(J$16)),D62/D50,J62)</f>
        <v>1.02970297029703</v>
      </c>
      <c r="K63" s="1307" t="n">
        <f aca="false">IF($A63&gt;=K$16,IF(MONTH($A63)=MONTH(K$16),AVERAGE(E51:E62),K62),K62)</f>
        <v>19.64</v>
      </c>
      <c r="L63" s="1266" t="n">
        <f aca="false">L62+1</f>
        <v>51</v>
      </c>
      <c r="M63" s="1303" t="n">
        <f aca="false">HLOOKUP(M$14,Dec_Change,$L63)</f>
        <v>1.0237377569461</v>
      </c>
      <c r="N63" s="1304" t="n">
        <f aca="false">N62</f>
        <v>1.005</v>
      </c>
      <c r="O63" s="1307" t="n">
        <f aca="false">IF(AND($A63&gt;=O$16,MONTH($A63)=MONTH(O$16)),MAX(M63,N63)*O62,O62)</f>
        <v>1.06207999503397</v>
      </c>
      <c r="Q63" s="1303" t="n">
        <f aca="false">HLOOKUP(Q$14,Dec_Change,$L63)</f>
        <v>1.0237377569461</v>
      </c>
      <c r="R63" s="1304" t="n">
        <f aca="false">R62</f>
        <v>0</v>
      </c>
      <c r="S63" s="1307" t="n">
        <f aca="false">IF(AND($A63&gt;=S$16,MONTH($A63)=MONTH(S$16)),MAX(Q63,R63)*S62,S62)</f>
        <v>1</v>
      </c>
    </row>
    <row r="64" customFormat="false" ht="12.75" hidden="false" customHeight="false" outlineLevel="0" collapsed="false">
      <c r="A64" s="1305" t="n">
        <f aca="false">EDATE(A63,1)</f>
        <v>36770</v>
      </c>
      <c r="B64" s="1297" t="n">
        <f aca="false">'[3]Monthly Curve Calc.'!B67</f>
        <v>188.82132016984</v>
      </c>
      <c r="C64" s="1298" t="n">
        <f aca="false">'[3]Monthly Curve Calc.'!C67</f>
        <v>172.480209507504</v>
      </c>
      <c r="D64" s="1298" t="n">
        <f aca="false">'[3]Monthly Curve Calc.'!D67</f>
        <v>139.210798157927</v>
      </c>
      <c r="E64" s="1298" t="n">
        <f aca="false">'[3]Monthly Curve Calc.'!E67</f>
        <v>30.92875</v>
      </c>
      <c r="F64" s="1299" t="n">
        <f aca="false">'[3]Monthly Curve Calc.'!F67</f>
        <v>1.76111519420256</v>
      </c>
      <c r="G64" s="1306" t="n">
        <f aca="false">IF(AND($A64&gt;G$16,MONTH($A64)=MONTH(G$16)),B63/B51,G63)</f>
        <v>1.1469239629577</v>
      </c>
      <c r="H64" s="1304" t="n">
        <f aca="false">IF(AND($A64&gt;H$16,MONTH($A64)=MONTH(H$16)),C63/C51,H63)</f>
        <v>1.0237377569461</v>
      </c>
      <c r="I64" s="1304" t="n">
        <f aca="false">IF(AND($A64&gt;I$16,MONTH($A64)=MONTH(I$16)),C63/C51-I$18,I63)</f>
        <v>1.0212377569461</v>
      </c>
      <c r="J64" s="1304" t="n">
        <f aca="false">IF(AND($A64&gt;J$16,MONTH($A64)=MONTH(J$16)),D63/D51,J63)</f>
        <v>1.02970297029703</v>
      </c>
      <c r="K64" s="1307" t="n">
        <f aca="false">IF($A64&gt;=K$16,IF(MONTH($A64)=MONTH(K$16),AVERAGE(E52:E63),K63),K63)</f>
        <v>19.64</v>
      </c>
      <c r="L64" s="1266" t="n">
        <f aca="false">L63+1</f>
        <v>52</v>
      </c>
      <c r="M64" s="1303" t="n">
        <f aca="false">HLOOKUP(M$14,Dec_Change,$L64)</f>
        <v>1.0237377569461</v>
      </c>
      <c r="N64" s="1304" t="n">
        <f aca="false">N63</f>
        <v>1.005</v>
      </c>
      <c r="O64" s="1307" t="n">
        <f aca="false">IF(AND($A64&gt;=O$16,MONTH($A64)=MONTH(O$16)),MAX(M64,N64)*O63,O63)</f>
        <v>1.06207999503397</v>
      </c>
      <c r="Q64" s="1303" t="n">
        <f aca="false">HLOOKUP(Q$14,Dec_Change,$L64)</f>
        <v>1.0237377569461</v>
      </c>
      <c r="R64" s="1304" t="n">
        <f aca="false">R63</f>
        <v>0</v>
      </c>
      <c r="S64" s="1307" t="n">
        <f aca="false">IF(AND($A64&gt;=S$16,MONTH($A64)=MONTH(S$16)),MAX(Q64,R64)*S63,S63)</f>
        <v>1</v>
      </c>
    </row>
    <row r="65" customFormat="false" ht="12.75" hidden="false" customHeight="false" outlineLevel="0" collapsed="false">
      <c r="A65" s="1305" t="n">
        <f aca="false">EDATE(A64,1)</f>
        <v>36800</v>
      </c>
      <c r="B65" s="1297" t="n">
        <f aca="false">'[3]Monthly Curve Calc.'!B68</f>
        <v>190.224431593213</v>
      </c>
      <c r="C65" s="1298" t="n">
        <f aca="false">'[3]Monthly Curve Calc.'!C68</f>
        <v>172.951039707894</v>
      </c>
      <c r="D65" s="1298" t="n">
        <f aca="false">'[3]Monthly Curve Calc.'!D68</f>
        <v>139.663723358591</v>
      </c>
      <c r="E65" s="1298" t="n">
        <f aca="false">'[3]Monthly Curve Calc.'!E68</f>
        <v>31.5208333333334</v>
      </c>
      <c r="F65" s="1299" t="n">
        <f aca="false">'[3]Monthly Curve Calc.'!F68</f>
        <v>1.75695532918982</v>
      </c>
      <c r="G65" s="1306" t="n">
        <f aca="false">IF(AND($A65&gt;G$16,MONTH($A65)=MONTH(G$16)),B64/B52,G64)</f>
        <v>1.1469239629577</v>
      </c>
      <c r="H65" s="1304" t="n">
        <f aca="false">IF(AND($A65&gt;H$16,MONTH($A65)=MONTH(H$16)),C64/C52,H64)</f>
        <v>1.0237377569461</v>
      </c>
      <c r="I65" s="1304" t="n">
        <f aca="false">IF(AND($A65&gt;I$16,MONTH($A65)=MONTH(I$16)),C64/C52-I$18,I64)</f>
        <v>1.0212377569461</v>
      </c>
      <c r="J65" s="1304" t="n">
        <f aca="false">IF(AND($A65&gt;J$16,MONTH($A65)=MONTH(J$16)),D64/D52,J64)</f>
        <v>1.02970297029703</v>
      </c>
      <c r="K65" s="1307" t="n">
        <f aca="false">IF($A65&gt;=K$16,IF(MONTH($A65)=MONTH(K$16),AVERAGE(E53:E64),K64),K64)</f>
        <v>19.64</v>
      </c>
      <c r="L65" s="1266" t="n">
        <f aca="false">L64+1</f>
        <v>53</v>
      </c>
      <c r="M65" s="1303" t="n">
        <f aca="false">HLOOKUP(M$14,Dec_Change,$L65)</f>
        <v>1.0237377569461</v>
      </c>
      <c r="N65" s="1304" t="n">
        <f aca="false">N64</f>
        <v>1.005</v>
      </c>
      <c r="O65" s="1307" t="n">
        <f aca="false">IF(AND($A65&gt;=O$16,MONTH($A65)=MONTH(O$16)),MAX(M65,N65)*O64,O64)</f>
        <v>1.06207999503397</v>
      </c>
      <c r="Q65" s="1303" t="n">
        <f aca="false">HLOOKUP(Q$14,Dec_Change,$L65)</f>
        <v>1.0237377569461</v>
      </c>
      <c r="R65" s="1304" t="n">
        <f aca="false">R64</f>
        <v>0</v>
      </c>
      <c r="S65" s="1307" t="n">
        <f aca="false">IF(AND($A65&gt;=S$16,MONTH($A65)=MONTH(S$16)),MAX(Q65,R65)*S64,S64)</f>
        <v>1</v>
      </c>
    </row>
    <row r="66" customFormat="false" ht="12.75" hidden="false" customHeight="false" outlineLevel="0" collapsed="false">
      <c r="A66" s="1305" t="n">
        <f aca="false">EDATE(A65,1)</f>
        <v>36831</v>
      </c>
      <c r="B66" s="1297" t="n">
        <f aca="false">'[3]Monthly Curve Calc.'!B69</f>
        <v>191.637969390391</v>
      </c>
      <c r="C66" s="1298" t="n">
        <f aca="false">'[3]Monthly Curve Calc.'!C69</f>
        <v>173.423155163434</v>
      </c>
      <c r="D66" s="1298" t="n">
        <f aca="false">'[3]Monthly Curve Calc.'!D69</f>
        <v>140.118122160729</v>
      </c>
      <c r="E66" s="1298" t="n">
        <f aca="false">'[3]Monthly Curve Calc.'!E69</f>
        <v>32.1129166666667</v>
      </c>
      <c r="F66" s="1299" t="n">
        <f aca="false">'[3]Monthly Curve Calc.'!F69</f>
        <v>1.75280529004025</v>
      </c>
      <c r="G66" s="1306" t="n">
        <f aca="false">IF(AND($A66&gt;G$16,MONTH($A66)=MONTH(G$16)),B65/B53,G65)</f>
        <v>1.1469239629577</v>
      </c>
      <c r="H66" s="1304" t="n">
        <f aca="false">IF(AND($A66&gt;H$16,MONTH($A66)=MONTH(H$16)),C65/C53,H65)</f>
        <v>1.0237377569461</v>
      </c>
      <c r="I66" s="1304" t="n">
        <f aca="false">IF(AND($A66&gt;I$16,MONTH($A66)=MONTH(I$16)),C65/C53-I$18,I65)</f>
        <v>1.0212377569461</v>
      </c>
      <c r="J66" s="1304" t="n">
        <f aca="false">IF(AND($A66&gt;J$16,MONTH($A66)=MONTH(J$16)),D65/D53,J65)</f>
        <v>1.02970297029703</v>
      </c>
      <c r="K66" s="1307" t="n">
        <f aca="false">IF($A66&gt;=K$16,IF(MONTH($A66)=MONTH(K$16),AVERAGE(E54:E65),K65),K65)</f>
        <v>19.64</v>
      </c>
      <c r="L66" s="1266" t="n">
        <f aca="false">L65+1</f>
        <v>54</v>
      </c>
      <c r="M66" s="1303" t="n">
        <f aca="false">HLOOKUP(M$14,Dec_Change,$L66)</f>
        <v>1.0237377569461</v>
      </c>
      <c r="N66" s="1304" t="n">
        <f aca="false">N65</f>
        <v>1.005</v>
      </c>
      <c r="O66" s="1307" t="n">
        <f aca="false">IF(AND($A66&gt;=O$16,MONTH($A66)=MONTH(O$16)),MAX(M66,N66)*O65,O65)</f>
        <v>1.06207999503397</v>
      </c>
      <c r="Q66" s="1303" t="n">
        <f aca="false">HLOOKUP(Q$14,Dec_Change,$L66)</f>
        <v>1.0237377569461</v>
      </c>
      <c r="R66" s="1304" t="n">
        <f aca="false">R65</f>
        <v>0</v>
      </c>
      <c r="S66" s="1307" t="n">
        <f aca="false">IF(AND($A66&gt;=S$16,MONTH($A66)=MONTH(S$16)),MAX(Q66,R66)*S65,S65)</f>
        <v>1</v>
      </c>
    </row>
    <row r="67" customFormat="false" ht="12.75" hidden="false" customHeight="false" outlineLevel="0" collapsed="false">
      <c r="A67" s="1305" t="n">
        <f aca="false">EDATE(A66,1)</f>
        <v>36861</v>
      </c>
      <c r="B67" s="1297" t="n">
        <f aca="false">'[3]Monthly Curve Calc.'!B70</f>
        <v>193.062011038664</v>
      </c>
      <c r="C67" s="1298" t="n">
        <f aca="false">'[3]Monthly Curve Calc.'!C70</f>
        <v>173.896559382566</v>
      </c>
      <c r="D67" s="1298" t="n">
        <f aca="false">'[3]Monthly Curve Calc.'!D70</f>
        <v>140.573999358734</v>
      </c>
      <c r="E67" s="1298" t="n">
        <f aca="false">'[3]Monthly Curve Calc.'!E70</f>
        <v>26.745</v>
      </c>
      <c r="F67" s="1299" t="n">
        <f aca="false">'[3]Monthly Curve Calc.'!F70</f>
        <v>1.80386772326803</v>
      </c>
      <c r="G67" s="1306" t="n">
        <f aca="false">IF(AND($A67&gt;G$16,MONTH($A67)=MONTH(G$16)),B66/B54,G66)</f>
        <v>1.1469239629577</v>
      </c>
      <c r="H67" s="1304" t="n">
        <f aca="false">IF(AND($A67&gt;H$16,MONTH($A67)=MONTH(H$16)),C66/C54,H66)</f>
        <v>1.0237377569461</v>
      </c>
      <c r="I67" s="1304" t="n">
        <f aca="false">IF(AND($A67&gt;I$16,MONTH($A67)=MONTH(I$16)),C66/C54-I$18,I66)</f>
        <v>1.0212377569461</v>
      </c>
      <c r="J67" s="1304" t="n">
        <f aca="false">IF(AND($A67&gt;J$16,MONTH($A67)=MONTH(J$16)),D66/D54,J66)</f>
        <v>1.02970297029703</v>
      </c>
      <c r="K67" s="1307" t="n">
        <f aca="false">IF($A67&gt;=K$16,IF(MONTH($A67)=MONTH(K$16),AVERAGE(E55:E66),K66),K66)</f>
        <v>19.64</v>
      </c>
      <c r="L67" s="1266" t="n">
        <f aca="false">L66+1</f>
        <v>55</v>
      </c>
      <c r="M67" s="1303" t="n">
        <f aca="false">HLOOKUP(M$14,Dec_Change,$L67)</f>
        <v>1.0237377569461</v>
      </c>
      <c r="N67" s="1304" t="n">
        <f aca="false">N66</f>
        <v>1.005</v>
      </c>
      <c r="O67" s="1307" t="n">
        <f aca="false">IF(AND($A67&gt;=O$16,MONTH($A67)=MONTH(O$16)),MAX(M67,N67)*O66,O66)</f>
        <v>1.06207999503397</v>
      </c>
      <c r="Q67" s="1303" t="n">
        <f aca="false">HLOOKUP(Q$14,Dec_Change,$L67)</f>
        <v>1.0237377569461</v>
      </c>
      <c r="R67" s="1304" t="n">
        <f aca="false">R66</f>
        <v>0</v>
      </c>
      <c r="S67" s="1307" t="n">
        <f aca="false">IF(AND($A67&gt;=S$16,MONTH($A67)=MONTH(S$16)),MAX(Q67,R67)*S66,S66)</f>
        <v>1</v>
      </c>
    </row>
    <row r="68" customFormat="false" ht="12.75" hidden="false" customHeight="false" outlineLevel="0" collapsed="false">
      <c r="A68" s="1305" t="n">
        <f aca="false">EDATE(A67,1)</f>
        <v>36892</v>
      </c>
      <c r="B68" s="1297" t="n">
        <f aca="false">'[3]Monthly Curve Calc.'!B71</f>
        <v>194.453471372283</v>
      </c>
      <c r="C68" s="1298" t="n">
        <f aca="false">'[3]Monthly Curve Calc.'!C71</f>
        <v>174.362626231407</v>
      </c>
      <c r="D68" s="1298" t="n">
        <f aca="false">'[3]Monthly Curve Calc.'!D71</f>
        <v>140.996524595263</v>
      </c>
      <c r="E68" s="1298" t="n">
        <f aca="false">'[3]Monthly Curve Calc.'!E71</f>
        <v>26.4221527777778</v>
      </c>
      <c r="F68" s="1299" t="n">
        <f aca="false">'[3]Monthly Curve Calc.'!F71</f>
        <v>1.81882126905259</v>
      </c>
      <c r="G68" s="1306" t="n">
        <f aca="false">IF(AND($A68&gt;G$16,MONTH($A68)=MONTH(G$16)),B67/B55,G67)</f>
        <v>1.1469239629577</v>
      </c>
      <c r="H68" s="1304" t="n">
        <f aca="false">IF(AND($A68&gt;H$16,MONTH($A68)=MONTH(H$16)),C67/C55,H67)</f>
        <v>1.0237377569461</v>
      </c>
      <c r="I68" s="1304" t="n">
        <f aca="false">IF(AND($A68&gt;I$16,MONTH($A68)=MONTH(I$16)),C67/C55-I$18,I67)</f>
        <v>1.0212377569461</v>
      </c>
      <c r="J68" s="1304" t="n">
        <f aca="false">IF(AND($A68&gt;J$16,MONTH($A68)=MONTH(J$16)),D67/D55,J67)</f>
        <v>1.03974851596697</v>
      </c>
      <c r="K68" s="1307" t="n">
        <f aca="false">IF($A68&gt;=K$16,IF(MONTH($A68)=MONTH(K$16),AVERAGE(E56:E67),K67),K67)</f>
        <v>28.951875</v>
      </c>
      <c r="L68" s="1266" t="n">
        <f aca="false">L67+1</f>
        <v>56</v>
      </c>
      <c r="M68" s="1303" t="n">
        <f aca="false">HLOOKUP(M$14,Dec_Change,$L68)</f>
        <v>1.0237377569461</v>
      </c>
      <c r="N68" s="1304" t="n">
        <f aca="false">N67</f>
        <v>1.005</v>
      </c>
      <c r="O68" s="1307" t="n">
        <f aca="false">IF(AND($A68&gt;=O$16,MONTH($A68)=MONTH(O$16)),MAX(M68,N68)*O67,O67)</f>
        <v>1.06207999503397</v>
      </c>
      <c r="Q68" s="1303" t="n">
        <f aca="false">HLOOKUP(Q$14,Dec_Change,$L68)</f>
        <v>1.0237377569461</v>
      </c>
      <c r="R68" s="1304" t="n">
        <f aca="false">R67</f>
        <v>0</v>
      </c>
      <c r="S68" s="1307" t="n">
        <f aca="false">IF(AND($A68&gt;=S$16,MONTH($A68)=MONTH(S$16)),MAX(Q68,R68)*S67,S67)</f>
        <v>1</v>
      </c>
    </row>
    <row r="69" customFormat="false" ht="12.75" hidden="false" customHeight="false" outlineLevel="0" collapsed="false">
      <c r="A69" s="1305" t="n">
        <f aca="false">EDATE(A68,1)</f>
        <v>36923</v>
      </c>
      <c r="B69" s="1297" t="n">
        <f aca="false">'[3]Monthly Curve Calc.'!B72</f>
        <v>195.854960410408</v>
      </c>
      <c r="C69" s="1298" t="n">
        <f aca="false">'[3]Monthly Curve Calc.'!C72</f>
        <v>174.829942203913</v>
      </c>
      <c r="D69" s="1298" t="n">
        <f aca="false">'[3]Monthly Curve Calc.'!D72</f>
        <v>141.420319821808</v>
      </c>
      <c r="E69" s="1298" t="n">
        <f aca="false">'[3]Monthly Curve Calc.'!E72</f>
        <v>26.0993055555556</v>
      </c>
      <c r="F69" s="1299" t="n">
        <f aca="false">'[3]Monthly Curve Calc.'!F72</f>
        <v>1.8338987754406</v>
      </c>
      <c r="G69" s="1306" t="n">
        <f aca="false">IF(AND($A69&gt;G$16,MONTH($A69)=MONTH(G$16)),B68/B56,G68)</f>
        <v>1.1469239629577</v>
      </c>
      <c r="H69" s="1304" t="n">
        <f aca="false">IF(AND($A69&gt;H$16,MONTH($A69)=MONTH(H$16)),C68/C56,H68)</f>
        <v>1.0237377569461</v>
      </c>
      <c r="I69" s="1304" t="n">
        <f aca="false">IF(AND($A69&gt;I$16,MONTH($A69)=MONTH(I$16)),C68/C56-I$18,I68)</f>
        <v>1.0212377569461</v>
      </c>
      <c r="J69" s="1304" t="n">
        <f aca="false">IF(AND($A69&gt;J$16,MONTH($A69)=MONTH(J$16)),D68/D56,J68)</f>
        <v>1.03974851596697</v>
      </c>
      <c r="K69" s="1307" t="n">
        <f aca="false">IF($A69&gt;=K$16,IF(MONTH($A69)=MONTH(K$16),AVERAGE(E57:E68),K68),K68)</f>
        <v>28.951875</v>
      </c>
      <c r="L69" s="1266" t="n">
        <f aca="false">L68+1</f>
        <v>57</v>
      </c>
      <c r="M69" s="1303" t="n">
        <f aca="false">HLOOKUP(M$14,Dec_Change,$L69)</f>
        <v>1.0237377569461</v>
      </c>
      <c r="N69" s="1304" t="n">
        <f aca="false">N68</f>
        <v>1.005</v>
      </c>
      <c r="O69" s="1307" t="n">
        <f aca="false">IF(AND($A69&gt;=O$16,MONTH($A69)=MONTH(O$16)),MAX(M69,N69)*O68,O68)</f>
        <v>1.06207999503397</v>
      </c>
      <c r="Q69" s="1303" t="n">
        <f aca="false">HLOOKUP(Q$14,Dec_Change,$L69)</f>
        <v>1.0237377569461</v>
      </c>
      <c r="R69" s="1304" t="n">
        <f aca="false">R68</f>
        <v>0</v>
      </c>
      <c r="S69" s="1307" t="n">
        <f aca="false">IF(AND($A69&gt;=S$16,MONTH($A69)=MONTH(S$16)),MAX(Q69,R69)*S68,S68)</f>
        <v>1</v>
      </c>
    </row>
    <row r="70" customFormat="false" ht="12.75" hidden="false" customHeight="false" outlineLevel="0" collapsed="false">
      <c r="A70" s="1305" t="n">
        <f aca="false">EDATE(A69,1)</f>
        <v>36951</v>
      </c>
      <c r="B70" s="1297" t="n">
        <f aca="false">'[3]Monthly Curve Calc.'!B73</f>
        <v>197.266550433155</v>
      </c>
      <c r="C70" s="1298" t="n">
        <f aca="false">'[3]Monthly Curve Calc.'!C73</f>
        <v>175.298510647909</v>
      </c>
      <c r="D70" s="1298" t="n">
        <f aca="false">'[3]Monthly Curve Calc.'!D73</f>
        <v>141.845388855593</v>
      </c>
      <c r="E70" s="1298" t="n">
        <f aca="false">'[3]Monthly Curve Calc.'!E73</f>
        <v>25.7764583333333</v>
      </c>
      <c r="F70" s="1299" t="n">
        <f aca="false">'[3]Monthly Curve Calc.'!F73</f>
        <v>1.84910127002989</v>
      </c>
      <c r="G70" s="1306" t="n">
        <f aca="false">IF(AND($A70&gt;G$16,MONTH($A70)=MONTH(G$16)),B69/B57,G69)</f>
        <v>1.1469239629577</v>
      </c>
      <c r="H70" s="1304" t="n">
        <f aca="false">IF(AND($A70&gt;H$16,MONTH($A70)=MONTH(H$16)),C69/C57,H69)</f>
        <v>1.0237377569461</v>
      </c>
      <c r="I70" s="1304" t="n">
        <f aca="false">IF(AND($A70&gt;I$16,MONTH($A70)=MONTH(I$16)),C69/C57-I$18,I69)</f>
        <v>1.0212377569461</v>
      </c>
      <c r="J70" s="1304" t="n">
        <f aca="false">IF(AND($A70&gt;J$16,MONTH($A70)=MONTH(J$16)),D69/D57,J69)</f>
        <v>1.03974851596697</v>
      </c>
      <c r="K70" s="1307" t="n">
        <f aca="false">IF($A70&gt;=K$16,IF(MONTH($A70)=MONTH(K$16),AVERAGE(E58:E69),K69),K69)</f>
        <v>28.951875</v>
      </c>
      <c r="L70" s="1266" t="n">
        <f aca="false">L69+1</f>
        <v>58</v>
      </c>
      <c r="M70" s="1303" t="n">
        <f aca="false">HLOOKUP(M$14,Dec_Change,$L70)</f>
        <v>1.0237377569461</v>
      </c>
      <c r="N70" s="1304" t="n">
        <f aca="false">N69</f>
        <v>1.005</v>
      </c>
      <c r="O70" s="1307" t="n">
        <f aca="false">IF(AND($A70&gt;=O$16,MONTH($A70)=MONTH(O$16)),MAX(M70,N70)*O69,O69)</f>
        <v>1.06207999503397</v>
      </c>
      <c r="Q70" s="1303" t="n">
        <f aca="false">HLOOKUP(Q$14,Dec_Change,$L70)</f>
        <v>1.0237377569461</v>
      </c>
      <c r="R70" s="1304" t="n">
        <f aca="false">R69</f>
        <v>0</v>
      </c>
      <c r="S70" s="1307" t="n">
        <f aca="false">IF(AND($A70&gt;=S$16,MONTH($A70)=MONTH(S$16)),MAX(Q70,R70)*S69,S69)</f>
        <v>1</v>
      </c>
    </row>
    <row r="71" customFormat="false" ht="12.75" hidden="false" customHeight="false" outlineLevel="0" collapsed="false">
      <c r="A71" s="1305" t="n">
        <f aca="false">EDATE(A70,1)</f>
        <v>36982</v>
      </c>
      <c r="B71" s="1297" t="n">
        <f aca="false">'[3]Monthly Curve Calc.'!B74</f>
        <v>198.688314241586</v>
      </c>
      <c r="C71" s="1298" t="n">
        <f aca="false">'[3]Monthly Curve Calc.'!C74</f>
        <v>175.76833492019</v>
      </c>
      <c r="D71" s="1298" t="n">
        <f aca="false">'[3]Monthly Curve Calc.'!D74</f>
        <v>142.271735525321</v>
      </c>
      <c r="E71" s="1298" t="n">
        <f aca="false">'[3]Monthly Curve Calc.'!E74</f>
        <v>25.4536111111111</v>
      </c>
      <c r="F71" s="1299" t="n">
        <f aca="false">'[3]Monthly Curve Calc.'!F74</f>
        <v>1.8644297889368</v>
      </c>
      <c r="G71" s="1306" t="n">
        <f aca="false">IF(AND($A71&gt;G$16,MONTH($A71)=MONTH(G$16)),B70/B58,G70)</f>
        <v>1.1469239629577</v>
      </c>
      <c r="H71" s="1304" t="n">
        <f aca="false">IF(AND($A71&gt;H$16,MONTH($A71)=MONTH(H$16)),C70/C58,H70)</f>
        <v>1.0237377569461</v>
      </c>
      <c r="I71" s="1304" t="n">
        <f aca="false">IF(AND($A71&gt;I$16,MONTH($A71)=MONTH(I$16)),C70/C58-I$18,I70)</f>
        <v>1.0212377569461</v>
      </c>
      <c r="J71" s="1304" t="n">
        <f aca="false">IF(AND($A71&gt;J$16,MONTH($A71)=MONTH(J$16)),D70/D58,J70)</f>
        <v>1.03974851596697</v>
      </c>
      <c r="K71" s="1307" t="n">
        <f aca="false">IF($A71&gt;=K$16,IF(MONTH($A71)=MONTH(K$16),AVERAGE(E59:E70),K70),K70)</f>
        <v>28.951875</v>
      </c>
      <c r="L71" s="1266" t="n">
        <f aca="false">L70+1</f>
        <v>59</v>
      </c>
      <c r="M71" s="1303" t="n">
        <f aca="false">HLOOKUP(M$14,Dec_Change,$L71)</f>
        <v>1.0237377569461</v>
      </c>
      <c r="N71" s="1304" t="n">
        <f aca="false">N70</f>
        <v>1.005</v>
      </c>
      <c r="O71" s="1307" t="n">
        <f aca="false">IF(AND($A71&gt;=O$16,MONTH($A71)=MONTH(O$16)),MAX(M71,N71)*O70,O70)</f>
        <v>1.06207999503397</v>
      </c>
      <c r="Q71" s="1303" t="n">
        <f aca="false">HLOOKUP(Q$14,Dec_Change,$L71)</f>
        <v>1.0237377569461</v>
      </c>
      <c r="R71" s="1304" t="n">
        <f aca="false">R70</f>
        <v>0</v>
      </c>
      <c r="S71" s="1307" t="n">
        <f aca="false">IF(AND($A71&gt;=S$16,MONTH($A71)=MONTH(S$16)),MAX(Q71,R71)*S70,S70)</f>
        <v>1</v>
      </c>
    </row>
    <row r="72" customFormat="false" ht="12.75" hidden="false" customHeight="false" outlineLevel="0" collapsed="false">
      <c r="A72" s="1305" t="n">
        <f aca="false">EDATE(A71,1)</f>
        <v>37012</v>
      </c>
      <c r="B72" s="1297" t="n">
        <f aca="false">'[3]Monthly Curve Calc.'!B75</f>
        <v>200.120325161463</v>
      </c>
      <c r="C72" s="1298" t="n">
        <f aca="false">'[3]Monthly Curve Calc.'!C75</f>
        <v>176.239418386552</v>
      </c>
      <c r="D72" s="1298" t="n">
        <f aca="false">'[3]Monthly Curve Calc.'!D75</f>
        <v>142.699363671198</v>
      </c>
      <c r="E72" s="1298" t="n">
        <f aca="false">'[3]Monthly Curve Calc.'!E75</f>
        <v>25.1307638888889</v>
      </c>
      <c r="F72" s="1299" t="n">
        <f aca="false">'[3]Monthly Curve Calc.'!F75</f>
        <v>1.87988537686674</v>
      </c>
      <c r="G72" s="1306" t="n">
        <f aca="false">IF(AND($A72&gt;G$16,MONTH($A72)=MONTH(G$16)),B71/B59,G71)</f>
        <v>1.09193709995342</v>
      </c>
      <c r="H72" s="1304" t="n">
        <f aca="false">IF(AND($A72&gt;H$16,MONTH($A72)=MONTH(H$16)),C71/C59,H71)</f>
        <v>1.03304894415627</v>
      </c>
      <c r="I72" s="1304" t="n">
        <f aca="false">IF(AND($A72&gt;I$16,MONTH($A72)=MONTH(I$16)),C71/C59-I$18,I71)</f>
        <v>1.03054894415627</v>
      </c>
      <c r="J72" s="1304" t="n">
        <f aca="false">IF(AND($A72&gt;J$16,MONTH($A72)=MONTH(J$16)),D71/D59,J71)</f>
        <v>1.03974851596697</v>
      </c>
      <c r="K72" s="1307" t="n">
        <f aca="false">IF($A72&gt;=K$16,IF(MONTH($A72)=MONTH(K$16),AVERAGE(E60:E71),K71),K71)</f>
        <v>28.951875</v>
      </c>
      <c r="L72" s="1266" t="n">
        <f aca="false">L71+1</f>
        <v>60</v>
      </c>
      <c r="M72" s="1303" t="n">
        <f aca="false">HLOOKUP(M$14,Dec_Change,$L72)</f>
        <v>1.03304894415627</v>
      </c>
      <c r="N72" s="1304" t="n">
        <f aca="false">N71</f>
        <v>1.005</v>
      </c>
      <c r="O72" s="1307" t="n">
        <f aca="false">IF(AND($A72&gt;=O$16,MONTH($A72)=MONTH(O$16)),MAX(M72,N72)*O71,O71)</f>
        <v>1.09718061747934</v>
      </c>
      <c r="Q72" s="1303" t="n">
        <f aca="false">HLOOKUP(Q$14,Dec_Change,$L72)</f>
        <v>1.03304894415627</v>
      </c>
      <c r="R72" s="1304" t="n">
        <f aca="false">R71</f>
        <v>0</v>
      </c>
      <c r="S72" s="1307" t="n">
        <f aca="false">IF(AND($A72&gt;=S$16,MONTH($A72)=MONTH(S$16)),MAX(Q72,R72)*S71,S71)</f>
        <v>1</v>
      </c>
    </row>
    <row r="73" customFormat="false" ht="12.75" hidden="false" customHeight="false" outlineLevel="0" collapsed="false">
      <c r="A73" s="1305" t="n">
        <f aca="false">EDATE(A72,1)</f>
        <v>37043</v>
      </c>
      <c r="B73" s="1297" t="n">
        <f aca="false">'[3]Monthly Curve Calc.'!B76</f>
        <v>201.562657047032</v>
      </c>
      <c r="C73" s="1298" t="n">
        <f aca="false">'[3]Monthly Curve Calc.'!C76</f>
        <v>176.711764421808</v>
      </c>
      <c r="D73" s="1298" t="n">
        <f aca="false">'[3]Monthly Curve Calc.'!D76</f>
        <v>143.128277144976</v>
      </c>
      <c r="E73" s="1298" t="n">
        <f aca="false">'[3]Monthly Curve Calc.'!E76</f>
        <v>24.8079166666667</v>
      </c>
      <c r="F73" s="1299" t="n">
        <f aca="false">'[3]Monthly Curve Calc.'!F76</f>
        <v>1.89546908718545</v>
      </c>
      <c r="G73" s="1306" t="n">
        <f aca="false">IF(AND($A73&gt;G$16,MONTH($A73)=MONTH(G$16)),B72/B60,G72)</f>
        <v>1.09193709995342</v>
      </c>
      <c r="H73" s="1304" t="n">
        <f aca="false">IF(AND($A73&gt;H$16,MONTH($A73)=MONTH(H$16)),C72/C60,H72)</f>
        <v>1.03304894415627</v>
      </c>
      <c r="I73" s="1304" t="n">
        <f aca="false">IF(AND($A73&gt;I$16,MONTH($A73)=MONTH(I$16)),C72/C60-I$18,I72)</f>
        <v>1.03054894415627</v>
      </c>
      <c r="J73" s="1304" t="n">
        <f aca="false">IF(AND($A73&gt;J$16,MONTH($A73)=MONTH(J$16)),D72/D60,J72)</f>
        <v>1.03974851596697</v>
      </c>
      <c r="K73" s="1307" t="n">
        <f aca="false">IF($A73&gt;=K$16,IF(MONTH($A73)=MONTH(K$16),AVERAGE(E61:E72),K72),K72)</f>
        <v>28.951875</v>
      </c>
      <c r="L73" s="1266" t="n">
        <f aca="false">L72+1</f>
        <v>61</v>
      </c>
      <c r="M73" s="1303" t="n">
        <f aca="false">HLOOKUP(M$14,Dec_Change,$L73)</f>
        <v>1.03304894415627</v>
      </c>
      <c r="N73" s="1304" t="n">
        <f aca="false">N72</f>
        <v>1.005</v>
      </c>
      <c r="O73" s="1307" t="n">
        <f aca="false">IF(AND($A73&gt;=O$16,MONTH($A73)=MONTH(O$16)),MAX(M73,N73)*O72,O72)</f>
        <v>1.09718061747934</v>
      </c>
      <c r="Q73" s="1303" t="n">
        <f aca="false">HLOOKUP(Q$14,Dec_Change,$L73)</f>
        <v>1.03304894415627</v>
      </c>
      <c r="R73" s="1304" t="n">
        <f aca="false">R72</f>
        <v>0</v>
      </c>
      <c r="S73" s="1307" t="n">
        <f aca="false">IF(AND($A73&gt;=S$16,MONTH($A73)=MONTH(S$16)),MAX(Q73,R73)*S72,S72)</f>
        <v>1.03304894415627</v>
      </c>
    </row>
    <row r="74" customFormat="false" ht="12.75" hidden="false" customHeight="false" outlineLevel="0" collapsed="false">
      <c r="A74" s="1305" t="n">
        <f aca="false">EDATE(A73,1)</f>
        <v>37073</v>
      </c>
      <c r="B74" s="1297" t="n">
        <f aca="false">'[3]Monthly Curve Calc.'!B77</f>
        <v>203.01538428483</v>
      </c>
      <c r="C74" s="1298" t="n">
        <f aca="false">'[3]Monthly Curve Calc.'!C77</f>
        <v>177.185376409817</v>
      </c>
      <c r="D74" s="1298" t="n">
        <f aca="false">'[3]Monthly Curve Calc.'!D77</f>
        <v>143.558479809983</v>
      </c>
      <c r="E74" s="1298" t="n">
        <f aca="false">'[3]Monthly Curve Calc.'!E77</f>
        <v>24.4850694444444</v>
      </c>
      <c r="F74" s="1299" t="n">
        <f aca="false">'[3]Monthly Curve Calc.'!F77</f>
        <v>1.91118198199078</v>
      </c>
      <c r="G74" s="1306" t="n">
        <f aca="false">IF(AND($A74&gt;G$16,MONTH($A74)=MONTH(G$16)),B73/B61,G73)</f>
        <v>1.09193709995342</v>
      </c>
      <c r="H74" s="1304" t="n">
        <f aca="false">IF(AND($A74&gt;H$16,MONTH($A74)=MONTH(H$16)),C73/C61,H73)</f>
        <v>1.03304894415627</v>
      </c>
      <c r="I74" s="1304" t="n">
        <f aca="false">IF(AND($A74&gt;I$16,MONTH($A74)=MONTH(I$16)),C73/C61-I$18,I73)</f>
        <v>1.03054894415627</v>
      </c>
      <c r="J74" s="1304" t="n">
        <f aca="false">IF(AND($A74&gt;J$16,MONTH($A74)=MONTH(J$16)),D73/D61,J73)</f>
        <v>1.03974851596697</v>
      </c>
      <c r="K74" s="1307" t="n">
        <f aca="false">IF($A74&gt;=K$16,IF(MONTH($A74)=MONTH(K$16),AVERAGE(E62:E73),K73),K73)</f>
        <v>28.951875</v>
      </c>
      <c r="L74" s="1266" t="n">
        <f aca="false">L73+1</f>
        <v>62</v>
      </c>
      <c r="M74" s="1303" t="n">
        <f aca="false">HLOOKUP(M$14,Dec_Change,$L74)</f>
        <v>1.03304894415627</v>
      </c>
      <c r="N74" s="1304" t="n">
        <f aca="false">N73</f>
        <v>1.005</v>
      </c>
      <c r="O74" s="1307" t="n">
        <f aca="false">IF(AND($A74&gt;=O$16,MONTH($A74)=MONTH(O$16)),MAX(M74,N74)*O73,O73)</f>
        <v>1.09718061747934</v>
      </c>
      <c r="Q74" s="1303" t="n">
        <f aca="false">HLOOKUP(Q$14,Dec_Change,$L74)</f>
        <v>1.03304894415627</v>
      </c>
      <c r="R74" s="1304" t="n">
        <f aca="false">R73</f>
        <v>0</v>
      </c>
      <c r="S74" s="1307" t="n">
        <f aca="false">IF(AND($A74&gt;=S$16,MONTH($A74)=MONTH(S$16)),MAX(Q74,R74)*S73,S73)</f>
        <v>1.03304894415627</v>
      </c>
    </row>
    <row r="75" customFormat="false" ht="12.75" hidden="false" customHeight="false" outlineLevel="0" collapsed="false">
      <c r="A75" s="1305" t="n">
        <f aca="false">EDATE(A74,1)</f>
        <v>37104</v>
      </c>
      <c r="B75" s="1297" t="n">
        <f aca="false">'[3]Monthly Curve Calc.'!B78</f>
        <v>204.47858179752</v>
      </c>
      <c r="C75" s="1298" t="n">
        <f aca="false">'[3]Monthly Curve Calc.'!C78</f>
        <v>177.660257743509</v>
      </c>
      <c r="D75" s="1298" t="n">
        <f aca="false">'[3]Monthly Curve Calc.'!D78</f>
        <v>143.989975541158</v>
      </c>
      <c r="E75" s="1298" t="n">
        <f aca="false">'[3]Monthly Curve Calc.'!E78</f>
        <v>24.1622222222222</v>
      </c>
      <c r="F75" s="1299" t="n">
        <f aca="false">'[3]Monthly Curve Calc.'!F78</f>
        <v>1.92702513218504</v>
      </c>
      <c r="G75" s="1306" t="n">
        <f aca="false">IF(AND($A75&gt;G$16,MONTH($A75)=MONTH(G$16)),B74/B62,G74)</f>
        <v>1.09193709995342</v>
      </c>
      <c r="H75" s="1304" t="n">
        <f aca="false">IF(AND($A75&gt;H$16,MONTH($A75)=MONTH(H$16)),C74/C62,H74)</f>
        <v>1.03304894415627</v>
      </c>
      <c r="I75" s="1304" t="n">
        <f aca="false">IF(AND($A75&gt;I$16,MONTH($A75)=MONTH(I$16)),C74/C62-I$18,I74)</f>
        <v>1.03054894415627</v>
      </c>
      <c r="J75" s="1304" t="n">
        <f aca="false">IF(AND($A75&gt;J$16,MONTH($A75)=MONTH(J$16)),D74/D62,J74)</f>
        <v>1.03974851596697</v>
      </c>
      <c r="K75" s="1307" t="n">
        <f aca="false">IF($A75&gt;=K$16,IF(MONTH($A75)=MONTH(K$16),AVERAGE(E63:E74),K74),K74)</f>
        <v>28.951875</v>
      </c>
      <c r="L75" s="1266" t="n">
        <f aca="false">L74+1</f>
        <v>63</v>
      </c>
      <c r="M75" s="1303" t="n">
        <f aca="false">HLOOKUP(M$14,Dec_Change,$L75)</f>
        <v>1.03304894415627</v>
      </c>
      <c r="N75" s="1304" t="n">
        <f aca="false">N74</f>
        <v>1.005</v>
      </c>
      <c r="O75" s="1307" t="n">
        <f aca="false">IF(AND($A75&gt;=O$16,MONTH($A75)=MONTH(O$16)),MAX(M75,N75)*O74,O74)</f>
        <v>1.09718061747934</v>
      </c>
      <c r="Q75" s="1303" t="n">
        <f aca="false">HLOOKUP(Q$14,Dec_Change,$L75)</f>
        <v>1.03304894415627</v>
      </c>
      <c r="R75" s="1304" t="n">
        <f aca="false">R74</f>
        <v>0</v>
      </c>
      <c r="S75" s="1307" t="n">
        <f aca="false">IF(AND($A75&gt;=S$16,MONTH($A75)=MONTH(S$16)),MAX(Q75,R75)*S74,S74)</f>
        <v>1.03304894415627</v>
      </c>
    </row>
    <row r="76" customFormat="false" ht="12.75" hidden="false" customHeight="false" outlineLevel="0" collapsed="false">
      <c r="A76" s="1305" t="n">
        <f aca="false">EDATE(A75,1)</f>
        <v>37135</v>
      </c>
      <c r="B76" s="1297" t="n">
        <f aca="false">'[3]Monthly Curve Calc.'!B79</f>
        <v>205.95232504776</v>
      </c>
      <c r="C76" s="1298" t="n">
        <f aca="false">'[3]Monthly Curve Calc.'!C79</f>
        <v>178.136411824906</v>
      </c>
      <c r="D76" s="1298" t="n">
        <f aca="false">'[3]Monthly Curve Calc.'!D79</f>
        <v>144.422768225089</v>
      </c>
      <c r="E76" s="1298" t="n">
        <f aca="false">'[3]Monthly Curve Calc.'!E79</f>
        <v>23.839375</v>
      </c>
      <c r="F76" s="1299" t="n">
        <f aca="false">'[3]Monthly Curve Calc.'!F79</f>
        <v>1.94299961754803</v>
      </c>
      <c r="G76" s="1306" t="n">
        <f aca="false">IF(AND($A76&gt;G$16,MONTH($A76)=MONTH(G$16)),B75/B63,G75)</f>
        <v>1.09193709995342</v>
      </c>
      <c r="H76" s="1304" t="n">
        <f aca="false">IF(AND($A76&gt;H$16,MONTH($A76)=MONTH(H$16)),C75/C63,H75)</f>
        <v>1.03304894415627</v>
      </c>
      <c r="I76" s="1304" t="n">
        <f aca="false">IF(AND($A76&gt;I$16,MONTH($A76)=MONTH(I$16)),C75/C63-I$18,I75)</f>
        <v>1.03054894415627</v>
      </c>
      <c r="J76" s="1304" t="n">
        <f aca="false">IF(AND($A76&gt;J$16,MONTH($A76)=MONTH(J$16)),D75/D63,J75)</f>
        <v>1.03974851596697</v>
      </c>
      <c r="K76" s="1307" t="n">
        <f aca="false">IF($A76&gt;=K$16,IF(MONTH($A76)=MONTH(K$16),AVERAGE(E64:E75),K75),K75)</f>
        <v>28.951875</v>
      </c>
      <c r="L76" s="1266" t="n">
        <f aca="false">L75+1</f>
        <v>64</v>
      </c>
      <c r="M76" s="1303" t="n">
        <f aca="false">HLOOKUP(M$14,Dec_Change,$L76)</f>
        <v>1.03304894415627</v>
      </c>
      <c r="N76" s="1304" t="n">
        <f aca="false">N75</f>
        <v>1.005</v>
      </c>
      <c r="O76" s="1307" t="n">
        <f aca="false">IF(AND($A76&gt;=O$16,MONTH($A76)=MONTH(O$16)),MAX(M76,N76)*O75,O75)</f>
        <v>1.09718061747934</v>
      </c>
      <c r="Q76" s="1303" t="n">
        <f aca="false">HLOOKUP(Q$14,Dec_Change,$L76)</f>
        <v>1.03304894415627</v>
      </c>
      <c r="R76" s="1304" t="n">
        <f aca="false">R75</f>
        <v>0</v>
      </c>
      <c r="S76" s="1307" t="n">
        <f aca="false">IF(AND($A76&gt;=S$16,MONTH($A76)=MONTH(S$16)),MAX(Q76,R76)*S75,S75)</f>
        <v>1.03304894415627</v>
      </c>
    </row>
    <row r="77" customFormat="false" ht="12.75" hidden="false" customHeight="false" outlineLevel="0" collapsed="false">
      <c r="A77" s="1305" t="n">
        <f aca="false">EDATE(A76,1)</f>
        <v>37165</v>
      </c>
      <c r="B77" s="1297" t="n">
        <f aca="false">'[3]Monthly Curve Calc.'!B80</f>
        <v>207.43669004209</v>
      </c>
      <c r="C77" s="1298" t="n">
        <f aca="false">'[3]Monthly Curve Calc.'!C80</f>
        <v>178.613842065146</v>
      </c>
      <c r="D77" s="1298" t="n">
        <f aca="false">'[3]Monthly Curve Calc.'!D80</f>
        <v>144.856861760046</v>
      </c>
      <c r="E77" s="1298" t="n">
        <f aca="false">'[3]Monthly Curve Calc.'!E80</f>
        <v>23.5165277777778</v>
      </c>
      <c r="F77" s="1299" t="n">
        <f aca="false">'[3]Monthly Curve Calc.'!F80</f>
        <v>1.95910652681061</v>
      </c>
      <c r="G77" s="1306" t="n">
        <f aca="false">IF(AND($A77&gt;G$16,MONTH($A77)=MONTH(G$16)),B76/B64,G76)</f>
        <v>1.09193709995342</v>
      </c>
      <c r="H77" s="1304" t="n">
        <f aca="false">IF(AND($A77&gt;H$16,MONTH($A77)=MONTH(H$16)),C76/C64,H76)</f>
        <v>1.03304894415627</v>
      </c>
      <c r="I77" s="1304" t="n">
        <f aca="false">IF(AND($A77&gt;I$16,MONTH($A77)=MONTH(I$16)),C76/C64-I$18,I76)</f>
        <v>1.03054894415627</v>
      </c>
      <c r="J77" s="1304" t="n">
        <f aca="false">IF(AND($A77&gt;J$16,MONTH($A77)=MONTH(J$16)),D76/D64,J76)</f>
        <v>1.03974851596697</v>
      </c>
      <c r="K77" s="1307" t="n">
        <f aca="false">IF($A77&gt;=K$16,IF(MONTH($A77)=MONTH(K$16),AVERAGE(E65:E76),K76),K76)</f>
        <v>28.951875</v>
      </c>
      <c r="L77" s="1266" t="n">
        <f aca="false">L76+1</f>
        <v>65</v>
      </c>
      <c r="M77" s="1303" t="n">
        <f aca="false">HLOOKUP(M$14,Dec_Change,$L77)</f>
        <v>1.03304894415627</v>
      </c>
      <c r="N77" s="1304" t="n">
        <f aca="false">N76</f>
        <v>1.005</v>
      </c>
      <c r="O77" s="1307" t="n">
        <f aca="false">IF(AND($A77&gt;=O$16,MONTH($A77)=MONTH(O$16)),MAX(M77,N77)*O76,O76)</f>
        <v>1.09718061747934</v>
      </c>
      <c r="Q77" s="1303" t="n">
        <f aca="false">HLOOKUP(Q$14,Dec_Change,$L77)</f>
        <v>1.03304894415627</v>
      </c>
      <c r="R77" s="1304" t="n">
        <f aca="false">R76</f>
        <v>0</v>
      </c>
      <c r="S77" s="1307" t="n">
        <f aca="false">IF(AND($A77&gt;=S$16,MONTH($A77)=MONTH(S$16)),MAX(Q77,R77)*S76,S76)</f>
        <v>1.03304894415627</v>
      </c>
    </row>
    <row r="78" customFormat="false" ht="12.75" hidden="false" customHeight="false" outlineLevel="0" collapsed="false">
      <c r="A78" s="1305" t="n">
        <f aca="false">EDATE(A77,1)</f>
        <v>37196</v>
      </c>
      <c r="B78" s="1297" t="n">
        <f aca="false">'[3]Monthly Curve Calc.'!B81</f>
        <v>208.931753334852</v>
      </c>
      <c r="C78" s="1298" t="n">
        <f aca="false">'[3]Monthly Curve Calc.'!C81</f>
        <v>179.092551884514</v>
      </c>
      <c r="D78" s="1298" t="n">
        <f aca="false">'[3]Monthly Curve Calc.'!D81</f>
        <v>145.292260056013</v>
      </c>
      <c r="E78" s="1298" t="n">
        <f aca="false">'[3]Monthly Curve Calc.'!E81</f>
        <v>23.1936805555556</v>
      </c>
      <c r="F78" s="1299" t="n">
        <f aca="false">'[3]Monthly Curve Calc.'!F81</f>
        <v>1.97534695772891</v>
      </c>
      <c r="G78" s="1306" t="n">
        <f aca="false">IF(AND($A78&gt;G$16,MONTH($A78)=MONTH(G$16)),B77/B65,G77)</f>
        <v>1.09193709995342</v>
      </c>
      <c r="H78" s="1304" t="n">
        <f aca="false">IF(AND($A78&gt;H$16,MONTH($A78)=MONTH(H$16)),C77/C65,H77)</f>
        <v>1.03304894415627</v>
      </c>
      <c r="I78" s="1304" t="n">
        <f aca="false">IF(AND($A78&gt;I$16,MONTH($A78)=MONTH(I$16)),C77/C65-I$18,I77)</f>
        <v>1.03054894415627</v>
      </c>
      <c r="J78" s="1304" t="n">
        <f aca="false">IF(AND($A78&gt;J$16,MONTH($A78)=MONTH(J$16)),D77/D65,J77)</f>
        <v>1.03974851596697</v>
      </c>
      <c r="K78" s="1307" t="n">
        <f aca="false">IF($A78&gt;=K$16,IF(MONTH($A78)=MONTH(K$16),AVERAGE(E66:E77),K77),K77)</f>
        <v>28.951875</v>
      </c>
      <c r="L78" s="1266" t="n">
        <f aca="false">L77+1</f>
        <v>66</v>
      </c>
      <c r="M78" s="1303" t="n">
        <f aca="false">HLOOKUP(M$14,Dec_Change,$L78)</f>
        <v>1.03304894415627</v>
      </c>
      <c r="N78" s="1304" t="n">
        <f aca="false">N77</f>
        <v>1.005</v>
      </c>
      <c r="O78" s="1307" t="n">
        <f aca="false">IF(AND($A78&gt;=O$16,MONTH($A78)=MONTH(O$16)),MAX(M78,N78)*O77,O77)</f>
        <v>1.09718061747934</v>
      </c>
      <c r="Q78" s="1303" t="n">
        <f aca="false">HLOOKUP(Q$14,Dec_Change,$L78)</f>
        <v>1.03304894415627</v>
      </c>
      <c r="R78" s="1304" t="n">
        <f aca="false">R77</f>
        <v>0</v>
      </c>
      <c r="S78" s="1307" t="n">
        <f aca="false">IF(AND($A78&gt;=S$16,MONTH($A78)=MONTH(S$16)),MAX(Q78,R78)*S77,S77)</f>
        <v>1.03304894415627</v>
      </c>
    </row>
    <row r="79" customFormat="false" ht="12.75" hidden="false" customHeight="false" outlineLevel="0" collapsed="false">
      <c r="A79" s="1305" t="n">
        <f aca="false">EDATE(A78,1)</f>
        <v>37226</v>
      </c>
      <c r="B79" s="1297" t="n">
        <f aca="false">'[3]Monthly Curve Calc.'!B82</f>
        <v>210.437592032144</v>
      </c>
      <c r="C79" s="1298" t="n">
        <f aca="false">'[3]Monthly Curve Calc.'!C82</f>
        <v>179.572544712458</v>
      </c>
      <c r="D79" s="1298" t="n">
        <f aca="false">'[3]Monthly Curve Calc.'!D82</f>
        <v>145.72896703473</v>
      </c>
      <c r="E79" s="1298" t="n">
        <f aca="false">'[3]Monthly Curve Calc.'!E82</f>
        <v>22.8708333333333</v>
      </c>
      <c r="F79" s="1299" t="n">
        <f aca="false">'[3]Monthly Curve Calc.'!F82</f>
        <v>1.99172201715913</v>
      </c>
      <c r="G79" s="1306" t="n">
        <f aca="false">IF(AND($A79&gt;G$16,MONTH($A79)=MONTH(G$16)),B78/B66,G78)</f>
        <v>1.09193709995342</v>
      </c>
      <c r="H79" s="1304" t="n">
        <f aca="false">IF(AND($A79&gt;H$16,MONTH($A79)=MONTH(H$16)),C78/C66,H78)</f>
        <v>1.03304894415627</v>
      </c>
      <c r="I79" s="1304" t="n">
        <f aca="false">IF(AND($A79&gt;I$16,MONTH($A79)=MONTH(I$16)),C78/C66-I$18,I78)</f>
        <v>1.03054894415627</v>
      </c>
      <c r="J79" s="1304" t="n">
        <f aca="false">IF(AND($A79&gt;J$16,MONTH($A79)=MONTH(J$16)),D78/D66,J78)</f>
        <v>1.03974851596697</v>
      </c>
      <c r="K79" s="1307" t="n">
        <f aca="false">IF($A79&gt;=K$16,IF(MONTH($A79)=MONTH(K$16),AVERAGE(E67:E78),K78),K78)</f>
        <v>28.951875</v>
      </c>
      <c r="L79" s="1266" t="n">
        <f aca="false">L78+1</f>
        <v>67</v>
      </c>
      <c r="M79" s="1303" t="n">
        <f aca="false">HLOOKUP(M$14,Dec_Change,$L79)</f>
        <v>1.03304894415627</v>
      </c>
      <c r="N79" s="1304" t="n">
        <f aca="false">N78</f>
        <v>1.005</v>
      </c>
      <c r="O79" s="1307" t="n">
        <f aca="false">IF(AND($A79&gt;=O$16,MONTH($A79)=MONTH(O$16)),MAX(M79,N79)*O78,O78)</f>
        <v>1.09718061747934</v>
      </c>
      <c r="Q79" s="1303" t="n">
        <f aca="false">HLOOKUP(Q$14,Dec_Change,$L79)</f>
        <v>1.03304894415627</v>
      </c>
      <c r="R79" s="1304" t="n">
        <f aca="false">R78</f>
        <v>0</v>
      </c>
      <c r="S79" s="1307" t="n">
        <f aca="false">IF(AND($A79&gt;=S$16,MONTH($A79)=MONTH(S$16)),MAX(Q79,R79)*S78,S78)</f>
        <v>1.03304894415627</v>
      </c>
    </row>
    <row r="80" customFormat="false" ht="12.75" hidden="false" customHeight="false" outlineLevel="0" collapsed="false">
      <c r="A80" s="1305" t="n">
        <f aca="false">EDATE(A79,1)</f>
        <v>37257</v>
      </c>
      <c r="B80" s="1297" t="n">
        <f aca="false">'[3]Monthly Curve Calc.'!B83</f>
        <v>211.87309067014</v>
      </c>
      <c r="C80" s="1298" t="n">
        <f aca="false">'[3]Monthly Curve Calc.'!C83</f>
        <v>180.021954839391</v>
      </c>
      <c r="D80" s="1298" t="n">
        <f aca="false">'[3]Monthly Curve Calc.'!D83</f>
        <v>146.092801264201</v>
      </c>
      <c r="E80" s="1298" t="n">
        <f aca="false">'[3]Monthly Curve Calc.'!E83</f>
        <v>22.7121527777778</v>
      </c>
      <c r="F80" s="1299" t="n">
        <f aca="false">'[3]Monthly Curve Calc.'!F83</f>
        <v>2.00248656102165</v>
      </c>
      <c r="G80" s="1306" t="n">
        <f aca="false">IF(AND($A80&gt;G$16,MONTH($A80)=MONTH(G$16)),B79/B67,G79)</f>
        <v>1.09193709995342</v>
      </c>
      <c r="H80" s="1304" t="n">
        <f aca="false">IF(AND($A80&gt;H$16,MONTH($A80)=MONTH(H$16)),C79/C67,H79)</f>
        <v>1.03304894415627</v>
      </c>
      <c r="I80" s="1304" t="n">
        <f aca="false">IF(AND($A80&gt;I$16,MONTH($A80)=MONTH(I$16)),C79/C67-I$18,I79)</f>
        <v>1.03054894415627</v>
      </c>
      <c r="J80" s="1304" t="n">
        <f aca="false">IF(AND($A80&gt;J$16,MONTH($A80)=MONTH(J$16)),D79/D67,J79)</f>
        <v>1.0366708473794</v>
      </c>
      <c r="K80" s="1307" t="n">
        <f aca="false">IF($A80&gt;=K$16,IF(MONTH($A80)=MONTH(K$16),AVERAGE(E68:E79),K79),K79)</f>
        <v>24.6464930555556</v>
      </c>
      <c r="L80" s="1266" t="n">
        <f aca="false">L79+1</f>
        <v>68</v>
      </c>
      <c r="M80" s="1303" t="n">
        <f aca="false">HLOOKUP(M$14,Dec_Change,$L80)</f>
        <v>1.03304894415627</v>
      </c>
      <c r="N80" s="1304" t="n">
        <f aca="false">N79</f>
        <v>1.005</v>
      </c>
      <c r="O80" s="1308" t="n">
        <f aca="false">IF(AND($A80&gt;=O$16,MONTH($A80)=MONTH(O$16)),MAX(M80,N80)*O79,O79)</f>
        <v>1.09718061747934</v>
      </c>
      <c r="Q80" s="1303" t="n">
        <f aca="false">HLOOKUP(Q$14,Dec_Change,$L80)</f>
        <v>1.03304894415627</v>
      </c>
      <c r="R80" s="1304" t="n">
        <f aca="false">R79</f>
        <v>0</v>
      </c>
      <c r="S80" s="1307" t="n">
        <f aca="false">IF(AND($A80&gt;=S$16,MONTH($A80)=MONTH(S$16)),MAX(Q80,R80)*S79,S79)</f>
        <v>1.03304894415627</v>
      </c>
    </row>
    <row r="81" customFormat="false" ht="12.75" hidden="false" customHeight="false" outlineLevel="0" collapsed="false">
      <c r="A81" s="1305" t="n">
        <f aca="false">EDATE(A80,1)</f>
        <v>37288</v>
      </c>
      <c r="B81" s="1297" t="n">
        <f aca="false">'[3]Monthly Curve Calc.'!B84</f>
        <v>213.318381552572</v>
      </c>
      <c r="C81" s="1298" t="n">
        <f aca="false">'[3]Monthly Curve Calc.'!C84</f>
        <v>180.472489689831</v>
      </c>
      <c r="D81" s="1298" t="n">
        <f aca="false">'[3]Monthly Curve Calc.'!D84</f>
        <v>146.45754386041</v>
      </c>
      <c r="E81" s="1298" t="n">
        <f aca="false">'[3]Monthly Curve Calc.'!E84</f>
        <v>22.5534722222222</v>
      </c>
      <c r="F81" s="1299" t="n">
        <f aca="false">'[3]Monthly Curve Calc.'!F84</f>
        <v>2.01330928338677</v>
      </c>
      <c r="G81" s="1306" t="n">
        <f aca="false">IF(AND($A81&gt;G$16,MONTH($A81)=MONTH(G$16)),B80/B68,G80)</f>
        <v>1.09193709995342</v>
      </c>
      <c r="H81" s="1304" t="n">
        <f aca="false">IF(AND($A81&gt;H$16,MONTH($A81)=MONTH(H$16)),C80/C68,H80)</f>
        <v>1.03304894415627</v>
      </c>
      <c r="I81" s="1304" t="n">
        <f aca="false">IF(AND($A81&gt;I$16,MONTH($A81)=MONTH(I$16)),C80/C68-I$18,I80)</f>
        <v>1.03054894415627</v>
      </c>
      <c r="J81" s="1304" t="n">
        <f aca="false">IF(AND($A81&gt;J$16,MONTH($A81)=MONTH(J$16)),D80/D68,J80)</f>
        <v>1.0366708473794</v>
      </c>
      <c r="K81" s="1307" t="n">
        <f aca="false">IF($A81&gt;=K$16,IF(MONTH($A81)=MONTH(K$16),AVERAGE(E69:E80),K80),K80)</f>
        <v>24.6464930555556</v>
      </c>
      <c r="L81" s="1266" t="n">
        <f aca="false">L80+1</f>
        <v>69</v>
      </c>
      <c r="M81" s="1303" t="n">
        <f aca="false">HLOOKUP(M$14,Dec_Change,$L81)</f>
        <v>1.03304894415627</v>
      </c>
      <c r="N81" s="1304" t="n">
        <f aca="false">N80</f>
        <v>1.005</v>
      </c>
      <c r="O81" s="1307" t="n">
        <f aca="false">IF(AND($A81&gt;=O$16,MONTH($A81)=MONTH(O$16)),MAX(M81,N81)*O80,O80)</f>
        <v>1.09718061747934</v>
      </c>
      <c r="Q81" s="1303" t="n">
        <f aca="false">HLOOKUP(Q$14,Dec_Change,$L81)</f>
        <v>1.03304894415627</v>
      </c>
      <c r="R81" s="1304" t="n">
        <f aca="false">R80</f>
        <v>0</v>
      </c>
      <c r="S81" s="1307" t="n">
        <f aca="false">IF(AND($A81&gt;=S$16,MONTH($A81)=MONTH(S$16)),MAX(Q81,R81)*S80,S80)</f>
        <v>1.03304894415627</v>
      </c>
    </row>
    <row r="82" customFormat="false" ht="12.75" hidden="false" customHeight="false" outlineLevel="0" collapsed="false">
      <c r="A82" s="1305" t="n">
        <f aca="false">EDATE(A81,1)</f>
        <v>37316</v>
      </c>
      <c r="B82" s="1297" t="n">
        <f aca="false">'[3]Monthly Curve Calc.'!B85</f>
        <v>214.773531477171</v>
      </c>
      <c r="C82" s="1298" t="n">
        <f aca="false">'[3]Monthly Curve Calc.'!C85</f>
        <v>180.924152078586</v>
      </c>
      <c r="D82" s="1298" t="n">
        <f aca="false">'[3]Monthly Curve Calc.'!D85</f>
        <v>146.823197091233</v>
      </c>
      <c r="E82" s="1298" t="n">
        <f aca="false">'[3]Monthly Curve Calc.'!E85</f>
        <v>22.3947916666667</v>
      </c>
      <c r="F82" s="1299" t="n">
        <f aca="false">'[3]Monthly Curve Calc.'!F85</f>
        <v>2.02419049868846</v>
      </c>
      <c r="G82" s="1306" t="n">
        <f aca="false">IF(AND($A82&gt;G$16,MONTH($A82)=MONTH(G$16)),B81/B69,G81)</f>
        <v>1.09193709995342</v>
      </c>
      <c r="H82" s="1304" t="n">
        <f aca="false">IF(AND($A82&gt;H$16,MONTH($A82)=MONTH(H$16)),C81/C69,H81)</f>
        <v>1.03304894415627</v>
      </c>
      <c r="I82" s="1304" t="n">
        <f aca="false">IF(AND($A82&gt;I$16,MONTH($A82)=MONTH(I$16)),C81/C69-I$18,I81)</f>
        <v>1.03054894415627</v>
      </c>
      <c r="J82" s="1304" t="n">
        <f aca="false">IF(AND($A82&gt;J$16,MONTH($A82)=MONTH(J$16)),D81/D69,J81)</f>
        <v>1.0366708473794</v>
      </c>
      <c r="K82" s="1307" t="n">
        <f aca="false">IF($A82&gt;=K$16,IF(MONTH($A82)=MONTH(K$16),AVERAGE(E70:E81),K81),K81)</f>
        <v>24.6464930555556</v>
      </c>
      <c r="L82" s="1266" t="n">
        <f aca="false">L81+1</f>
        <v>70</v>
      </c>
      <c r="M82" s="1303" t="n">
        <f aca="false">HLOOKUP(M$14,Dec_Change,$L82)</f>
        <v>1.03304894415627</v>
      </c>
      <c r="N82" s="1304" t="n">
        <f aca="false">N81</f>
        <v>1.005</v>
      </c>
      <c r="O82" s="1307" t="n">
        <f aca="false">IF(AND($A82&gt;=O$16,MONTH($A82)=MONTH(O$16)),MAX(M82,N82)*O81,O81)</f>
        <v>1.09718061747934</v>
      </c>
      <c r="Q82" s="1303" t="n">
        <f aca="false">HLOOKUP(Q$14,Dec_Change,$L82)</f>
        <v>1.03304894415627</v>
      </c>
      <c r="R82" s="1304" t="n">
        <f aca="false">R81</f>
        <v>0</v>
      </c>
      <c r="S82" s="1307" t="n">
        <f aca="false">IF(AND($A82&gt;=S$16,MONTH($A82)=MONTH(S$16)),MAX(Q82,R82)*S81,S81)</f>
        <v>1.03304894415627</v>
      </c>
    </row>
    <row r="83" customFormat="false" ht="12.75" hidden="false" customHeight="false" outlineLevel="0" collapsed="false">
      <c r="A83" s="1305" t="n">
        <f aca="false">EDATE(A82,1)</f>
        <v>37347</v>
      </c>
      <c r="B83" s="1297" t="n">
        <f aca="false">'[3]Monthly Curve Calc.'!B86</f>
        <v>216.238607697327</v>
      </c>
      <c r="C83" s="1298" t="n">
        <f aca="false">'[3]Monthly Curve Calc.'!C86</f>
        <v>181.376944827506</v>
      </c>
      <c r="D83" s="1298" t="n">
        <f aca="false">'[3]Monthly Curve Calc.'!D86</f>
        <v>147.189763230203</v>
      </c>
      <c r="E83" s="1298" t="n">
        <f aca="false">'[3]Monthly Curve Calc.'!E86</f>
        <v>22.2361111111111</v>
      </c>
      <c r="F83" s="1299" t="n">
        <f aca="false">'[3]Monthly Curve Calc.'!F86</f>
        <v>2.03513052306008</v>
      </c>
      <c r="G83" s="1306" t="n">
        <f aca="false">IF(AND($A83&gt;G$16,MONTH($A83)=MONTH(G$16)),B82/B70,G82)</f>
        <v>1.09193709995342</v>
      </c>
      <c r="H83" s="1304" t="n">
        <f aca="false">IF(AND($A83&gt;H$16,MONTH($A83)=MONTH(H$16)),C82/C70,H82)</f>
        <v>1.03304894415627</v>
      </c>
      <c r="I83" s="1304" t="n">
        <f aca="false">IF(AND($A83&gt;I$16,MONTH($A83)=MONTH(I$16)),C82/C70-I$18,I82)</f>
        <v>1.03054894415627</v>
      </c>
      <c r="J83" s="1304" t="n">
        <f aca="false">IF(AND($A83&gt;J$16,MONTH($A83)=MONTH(J$16)),D82/D70,J82)</f>
        <v>1.0366708473794</v>
      </c>
      <c r="K83" s="1307" t="n">
        <f aca="false">IF($A83&gt;=K$16,IF(MONTH($A83)=MONTH(K$16),AVERAGE(E71:E82),K82),K82)</f>
        <v>24.6464930555556</v>
      </c>
      <c r="L83" s="1266" t="n">
        <f aca="false">L82+1</f>
        <v>71</v>
      </c>
      <c r="M83" s="1303" t="n">
        <f aca="false">HLOOKUP(M$14,Dec_Change,$L83)</f>
        <v>1.03304894415627</v>
      </c>
      <c r="N83" s="1304" t="n">
        <f aca="false">N82</f>
        <v>1.005</v>
      </c>
      <c r="O83" s="1307" t="n">
        <f aca="false">IF(AND($A83&gt;=O$16,MONTH($A83)=MONTH(O$16)),MAX(M83,N83)*O82,O82)</f>
        <v>1.09718061747934</v>
      </c>
      <c r="Q83" s="1303" t="n">
        <f aca="false">HLOOKUP(Q$14,Dec_Change,$L83)</f>
        <v>1.03304894415627</v>
      </c>
      <c r="R83" s="1304" t="n">
        <f aca="false">R82</f>
        <v>0</v>
      </c>
      <c r="S83" s="1307" t="n">
        <f aca="false">IF(AND($A83&gt;=S$16,MONTH($A83)=MONTH(S$16)),MAX(Q83,R83)*S82,S82)</f>
        <v>1.03304894415627</v>
      </c>
    </row>
    <row r="84" customFormat="false" ht="12.75" hidden="false" customHeight="false" outlineLevel="0" collapsed="false">
      <c r="A84" s="1305" t="n">
        <f aca="false">EDATE(A83,1)</f>
        <v>37377</v>
      </c>
      <c r="B84" s="1297" t="n">
        <f aca="false">'[3]Monthly Curve Calc.'!B87</f>
        <v>217.713677925199</v>
      </c>
      <c r="C84" s="1298" t="n">
        <f aca="false">'[3]Monthly Curve Calc.'!C87</f>
        <v>181.830870765507</v>
      </c>
      <c r="D84" s="1298" t="n">
        <f aca="false">'[3]Monthly Curve Calc.'!D87</f>
        <v>147.557244556535</v>
      </c>
      <c r="E84" s="1298" t="n">
        <f aca="false">'[3]Monthly Curve Calc.'!E87</f>
        <v>22.0774305555556</v>
      </c>
      <c r="F84" s="1299" t="n">
        <f aca="false">'[3]Monthly Curve Calc.'!F87</f>
        <v>2.04612967434359</v>
      </c>
      <c r="G84" s="1306" t="n">
        <f aca="false">IF(AND($A84&gt;G$16,MONTH($A84)=MONTH(G$16)),B83/B71,G83)</f>
        <v>1.08833077839898</v>
      </c>
      <c r="H84" s="1304" t="n">
        <f aca="false">IF(AND($A84&gt;H$16,MONTH($A84)=MONTH(H$16)),C83/C71,H83)</f>
        <v>1.03190910302395</v>
      </c>
      <c r="I84" s="1304" t="n">
        <f aca="false">IF(AND($A84&gt;I$16,MONTH($A84)=MONTH(I$16)),C83/C71-I$18,I83)</f>
        <v>1.02940910302395</v>
      </c>
      <c r="J84" s="1304" t="n">
        <f aca="false">IF(AND($A84&gt;J$16,MONTH($A84)=MONTH(J$16)),D83/D71,J83)</f>
        <v>1.0366708473794</v>
      </c>
      <c r="K84" s="1307" t="n">
        <f aca="false">IF($A84&gt;=K$16,IF(MONTH($A84)=MONTH(K$16),AVERAGE(E72:E83),K83),K83)</f>
        <v>24.6464930555556</v>
      </c>
      <c r="L84" s="1266" t="n">
        <f aca="false">L83+1</f>
        <v>72</v>
      </c>
      <c r="M84" s="1303" t="n">
        <f aca="false">HLOOKUP(M$14,Dec_Change,$L84)</f>
        <v>1.03190910302395</v>
      </c>
      <c r="N84" s="1304" t="n">
        <f aca="false">N83</f>
        <v>1.005</v>
      </c>
      <c r="O84" s="1307" t="n">
        <f aca="false">IF(AND($A84&gt;=O$16,MONTH($A84)=MONTH(O$16)),MAX(M84,N84)*O83,O83)</f>
        <v>1.13219066683837</v>
      </c>
      <c r="Q84" s="1303" t="n">
        <f aca="false">HLOOKUP(Q$14,Dec_Change,$L84)</f>
        <v>1.03190910302395</v>
      </c>
      <c r="R84" s="1304" t="n">
        <f aca="false">R83</f>
        <v>0</v>
      </c>
      <c r="S84" s="1307" t="n">
        <f aca="false">IF(AND($A84&gt;=S$16,MONTH($A84)=MONTH(S$16)),MAX(Q84,R84)*S83,S83)</f>
        <v>1.03304894415627</v>
      </c>
    </row>
    <row r="85" customFormat="false" ht="12.75" hidden="false" customHeight="false" outlineLevel="0" collapsed="false">
      <c r="A85" s="1305" t="n">
        <f aca="false">EDATE(A84,1)</f>
        <v>37408</v>
      </c>
      <c r="B85" s="1297" t="n">
        <f aca="false">'[3]Monthly Curve Calc.'!B88</f>
        <v>219.198810334845</v>
      </c>
      <c r="C85" s="1298" t="n">
        <f aca="false">'[3]Monthly Curve Calc.'!C88</f>
        <v>182.285932728581</v>
      </c>
      <c r="D85" s="1298" t="n">
        <f aca="false">'[3]Monthly Curve Calc.'!D88</f>
        <v>147.92564335513</v>
      </c>
      <c r="E85" s="1298" t="n">
        <f aca="false">'[3]Monthly Curve Calc.'!E88</f>
        <v>21.91875</v>
      </c>
      <c r="F85" s="1299" t="n">
        <f aca="false">'[3]Monthly Curve Calc.'!F88</f>
        <v>2.05718827209876</v>
      </c>
      <c r="G85" s="1306" t="n">
        <f aca="false">IF(AND($A85&gt;G$16,MONTH($A85)=MONTH(G$16)),B84/B72,G84)</f>
        <v>1.08833077839898</v>
      </c>
      <c r="H85" s="1304" t="n">
        <f aca="false">IF(AND($A85&gt;H$16,MONTH($A85)=MONTH(H$16)),C84/C72,H84)</f>
        <v>1.03190910302395</v>
      </c>
      <c r="I85" s="1304" t="n">
        <f aca="false">IF(AND($A85&gt;I$16,MONTH($A85)=MONTH(I$16)),C84/C72-I$18,I84)</f>
        <v>1.02940910302395</v>
      </c>
      <c r="J85" s="1304" t="n">
        <f aca="false">IF(AND($A85&gt;J$16,MONTH($A85)=MONTH(J$16)),D84/D72,J84)</f>
        <v>1.0366708473794</v>
      </c>
      <c r="K85" s="1307" t="n">
        <f aca="false">IF($A85&gt;=K$16,IF(MONTH($A85)=MONTH(K$16),AVERAGE(E73:E84),K84),K84)</f>
        <v>24.6464930555556</v>
      </c>
      <c r="L85" s="1266" t="n">
        <f aca="false">L84+1</f>
        <v>73</v>
      </c>
      <c r="M85" s="1303" t="n">
        <f aca="false">HLOOKUP(M$14,Dec_Change,$L85)</f>
        <v>1.03190910302395</v>
      </c>
      <c r="N85" s="1304" t="n">
        <f aca="false">N84</f>
        <v>1.005</v>
      </c>
      <c r="O85" s="1307" t="n">
        <f aca="false">IF(AND($A85&gt;=O$16,MONTH($A85)=MONTH(O$16)),MAX(M85,N85)*O84,O84)</f>
        <v>1.13219066683837</v>
      </c>
      <c r="Q85" s="1303" t="n">
        <f aca="false">HLOOKUP(Q$14,Dec_Change,$L85)</f>
        <v>1.03190910302395</v>
      </c>
      <c r="R85" s="1304" t="n">
        <f aca="false">R84</f>
        <v>0</v>
      </c>
      <c r="S85" s="1307" t="n">
        <f aca="false">IF(AND($A85&gt;=S$16,MONTH($A85)=MONTH(S$16)),MAX(Q85,R85)*S84,S84)</f>
        <v>1.06601260934413</v>
      </c>
    </row>
    <row r="86" customFormat="false" ht="12.75" hidden="false" customHeight="false" outlineLevel="0" collapsed="false">
      <c r="A86" s="1305" t="n">
        <f aca="false">EDATE(A85,1)</f>
        <v>37438</v>
      </c>
      <c r="B86" s="1297" t="n">
        <f aca="false">'[3]Monthly Curve Calc.'!B89</f>
        <v>220.694073565371</v>
      </c>
      <c r="C86" s="1298" t="n">
        <f aca="false">'[3]Monthly Curve Calc.'!C89</f>
        <v>182.742133559822</v>
      </c>
      <c r="D86" s="1298" t="n">
        <f aca="false">'[3]Monthly Curve Calc.'!D89</f>
        <v>148.294961916595</v>
      </c>
      <c r="E86" s="1298" t="n">
        <f aca="false">'[3]Monthly Curve Calc.'!E89</f>
        <v>21.7600694444444</v>
      </c>
      <c r="F86" s="1299" t="n">
        <f aca="false">'[3]Monthly Curve Calc.'!F89</f>
        <v>2.06830663761246</v>
      </c>
      <c r="G86" s="1306" t="n">
        <f aca="false">IF(AND($A86&gt;G$16,MONTH($A86)=MONTH(G$16)),B85/B73,G85)</f>
        <v>1.08833077839898</v>
      </c>
      <c r="H86" s="1304" t="n">
        <f aca="false">IF(AND($A86&gt;H$16,MONTH($A86)=MONTH(H$16)),C85/C73,H85)</f>
        <v>1.03190910302395</v>
      </c>
      <c r="I86" s="1304" t="n">
        <f aca="false">IF(AND($A86&gt;I$16,MONTH($A86)=MONTH(I$16)),C85/C73-I$18,I85)</f>
        <v>1.02940910302395</v>
      </c>
      <c r="J86" s="1304" t="n">
        <f aca="false">IF(AND($A86&gt;J$16,MONTH($A86)=MONTH(J$16)),D85/D73,J85)</f>
        <v>1.0366708473794</v>
      </c>
      <c r="K86" s="1307" t="n">
        <f aca="false">IF($A86&gt;=K$16,IF(MONTH($A86)=MONTH(K$16),AVERAGE(E74:E85),K85),K85)</f>
        <v>24.6464930555556</v>
      </c>
      <c r="L86" s="1266" t="n">
        <f aca="false">L85+1</f>
        <v>74</v>
      </c>
      <c r="M86" s="1303" t="n">
        <f aca="false">HLOOKUP(M$14,Dec_Change,$L86)</f>
        <v>1.03190910302395</v>
      </c>
      <c r="N86" s="1304" t="n">
        <f aca="false">N85</f>
        <v>1.005</v>
      </c>
      <c r="O86" s="1307" t="n">
        <f aca="false">IF(AND($A86&gt;=O$16,MONTH($A86)=MONTH(O$16)),MAX(M86,N86)*O85,O85)</f>
        <v>1.13219066683837</v>
      </c>
      <c r="Q86" s="1303" t="n">
        <f aca="false">HLOOKUP(Q$14,Dec_Change,$L86)</f>
        <v>1.03190910302395</v>
      </c>
      <c r="R86" s="1304" t="n">
        <f aca="false">R85</f>
        <v>0</v>
      </c>
      <c r="S86" s="1307" t="n">
        <f aca="false">IF(AND($A86&gt;=S$16,MONTH($A86)=MONTH(S$16)),MAX(Q86,R86)*S85,S85)</f>
        <v>1.06601260934413</v>
      </c>
    </row>
    <row r="87" customFormat="false" ht="12.75" hidden="false" customHeight="false" outlineLevel="0" collapsed="false">
      <c r="A87" s="1305" t="n">
        <f aca="false">EDATE(A86,1)</f>
        <v>37469</v>
      </c>
      <c r="B87" s="1297" t="n">
        <f aca="false">'[3]Monthly Curve Calc.'!B90</f>
        <v>222.199536724104</v>
      </c>
      <c r="C87" s="1298" t="n">
        <f aca="false">'[3]Monthly Curve Calc.'!C90</f>
        <v>183.199476109434</v>
      </c>
      <c r="D87" s="1298" t="n">
        <f aca="false">'[3]Monthly Curve Calc.'!D90</f>
        <v>148.665202537257</v>
      </c>
      <c r="E87" s="1298" t="n">
        <f aca="false">'[3]Monthly Curve Calc.'!E90</f>
        <v>21.6013888888889</v>
      </c>
      <c r="F87" s="1299" t="n">
        <f aca="false">'[3]Monthly Curve Calc.'!F90</f>
        <v>2.07948509390801</v>
      </c>
      <c r="G87" s="1306" t="n">
        <f aca="false">IF(AND($A87&gt;G$16,MONTH($A87)=MONTH(G$16)),B86/B74,G86)</f>
        <v>1.08833077839898</v>
      </c>
      <c r="H87" s="1304" t="n">
        <f aca="false">IF(AND($A87&gt;H$16,MONTH($A87)=MONTH(H$16)),C86/C74,H86)</f>
        <v>1.03190910302395</v>
      </c>
      <c r="I87" s="1304" t="n">
        <f aca="false">IF(AND($A87&gt;I$16,MONTH($A87)=MONTH(I$16)),C86/C74-I$18,I86)</f>
        <v>1.02940910302395</v>
      </c>
      <c r="J87" s="1304" t="n">
        <f aca="false">IF(AND($A87&gt;J$16,MONTH($A87)=MONTH(J$16)),D86/D74,J86)</f>
        <v>1.0366708473794</v>
      </c>
      <c r="K87" s="1307" t="n">
        <f aca="false">IF($A87&gt;=K$16,IF(MONTH($A87)=MONTH(K$16),AVERAGE(E75:E86),K86),K86)</f>
        <v>24.6464930555556</v>
      </c>
      <c r="L87" s="1266" t="n">
        <f aca="false">L86+1</f>
        <v>75</v>
      </c>
      <c r="M87" s="1303" t="n">
        <f aca="false">HLOOKUP(M$14,Dec_Change,$L87)</f>
        <v>1.03190910302395</v>
      </c>
      <c r="N87" s="1304" t="n">
        <f aca="false">N86</f>
        <v>1.005</v>
      </c>
      <c r="O87" s="1307" t="n">
        <f aca="false">IF(AND($A87&gt;=O$16,MONTH($A87)=MONTH(O$16)),MAX(M87,N87)*O86,O86)</f>
        <v>1.13219066683837</v>
      </c>
      <c r="Q87" s="1303" t="n">
        <f aca="false">HLOOKUP(Q$14,Dec_Change,$L87)</f>
        <v>1.03190910302395</v>
      </c>
      <c r="R87" s="1304" t="n">
        <f aca="false">R86</f>
        <v>0</v>
      </c>
      <c r="S87" s="1307" t="n">
        <f aca="false">IF(AND($A87&gt;=S$16,MONTH($A87)=MONTH(S$16)),MAX(Q87,R87)*S86,S86)</f>
        <v>1.06601260934413</v>
      </c>
    </row>
    <row r="88" customFormat="false" ht="12.75" hidden="false" customHeight="false" outlineLevel="0" collapsed="false">
      <c r="A88" s="1305" t="n">
        <f aca="false">EDATE(A87,1)</f>
        <v>37500</v>
      </c>
      <c r="B88" s="1297" t="n">
        <f aca="false">'[3]Monthly Curve Calc.'!B91</f>
        <v>223.715269389788</v>
      </c>
      <c r="C88" s="1298" t="n">
        <f aca="false">'[3]Monthly Curve Calc.'!C91</f>
        <v>183.657963234759</v>
      </c>
      <c r="D88" s="1298" t="n">
        <f aca="false">'[3]Monthly Curve Calc.'!D91</f>
        <v>149.036367519174</v>
      </c>
      <c r="E88" s="1298" t="n">
        <f aca="false">'[3]Monthly Curve Calc.'!E91</f>
        <v>21.4427083333333</v>
      </c>
      <c r="F88" s="1299" t="n">
        <f aca="false">'[3]Monthly Curve Calc.'!F91</f>
        <v>2.09072396575457</v>
      </c>
      <c r="G88" s="1306" t="n">
        <f aca="false">IF(AND($A88&gt;G$16,MONTH($A88)=MONTH(G$16)),B87/B75,G87)</f>
        <v>1.08833077839898</v>
      </c>
      <c r="H88" s="1304" t="n">
        <f aca="false">IF(AND($A88&gt;H$16,MONTH($A88)=MONTH(H$16)),C87/C75,H87)</f>
        <v>1.03190910302395</v>
      </c>
      <c r="I88" s="1304" t="n">
        <f aca="false">IF(AND($A88&gt;I$16,MONTH($A88)=MONTH(I$16)),C87/C75-I$18,I87)</f>
        <v>1.02940910302395</v>
      </c>
      <c r="J88" s="1304" t="n">
        <f aca="false">IF(AND($A88&gt;J$16,MONTH($A88)=MONTH(J$16)),D87/D75,J87)</f>
        <v>1.0366708473794</v>
      </c>
      <c r="K88" s="1307" t="n">
        <f aca="false">IF($A88&gt;=K$16,IF(MONTH($A88)=MONTH(K$16),AVERAGE(E76:E87),K87),K87)</f>
        <v>24.6464930555556</v>
      </c>
      <c r="L88" s="1266" t="n">
        <f aca="false">L87+1</f>
        <v>76</v>
      </c>
      <c r="M88" s="1303" t="n">
        <f aca="false">HLOOKUP(M$14,Dec_Change,$L88)</f>
        <v>1.03190910302395</v>
      </c>
      <c r="N88" s="1304" t="n">
        <f aca="false">N87</f>
        <v>1.005</v>
      </c>
      <c r="O88" s="1307" t="n">
        <f aca="false">IF(AND($A88&gt;=O$16,MONTH($A88)=MONTH(O$16)),MAX(M88,N88)*O87,O87)</f>
        <v>1.13219066683837</v>
      </c>
      <c r="Q88" s="1303" t="n">
        <f aca="false">HLOOKUP(Q$14,Dec_Change,$L88)</f>
        <v>1.03190910302395</v>
      </c>
      <c r="R88" s="1304" t="n">
        <f aca="false">R87</f>
        <v>0</v>
      </c>
      <c r="S88" s="1307" t="n">
        <f aca="false">IF(AND($A88&gt;=S$16,MONTH($A88)=MONTH(S$16)),MAX(Q88,R88)*S87,S87)</f>
        <v>1.06601260934413</v>
      </c>
    </row>
    <row r="89" customFormat="false" ht="12.75" hidden="false" customHeight="false" outlineLevel="0" collapsed="false">
      <c r="A89" s="1305" t="n">
        <f aca="false">EDATE(A88,1)</f>
        <v>37530</v>
      </c>
      <c r="B89" s="1297" t="n">
        <f aca="false">'[3]Monthly Curve Calc.'!B92</f>
        <v>225.241341615795</v>
      </c>
      <c r="C89" s="1298" t="n">
        <f aca="false">'[3]Monthly Curve Calc.'!C92</f>
        <v>184.117597800287</v>
      </c>
      <c r="D89" s="1298" t="n">
        <f aca="false">'[3]Monthly Curve Calc.'!D92</f>
        <v>149.408459170153</v>
      </c>
      <c r="E89" s="1298" t="n">
        <f aca="false">'[3]Monthly Curve Calc.'!E92</f>
        <v>21.2840277777778</v>
      </c>
      <c r="F89" s="1299" t="n">
        <f aca="false">'[3]Monthly Curve Calc.'!F92</f>
        <v>2.10202357967654</v>
      </c>
      <c r="G89" s="1306" t="n">
        <f aca="false">IF(AND($A89&gt;G$16,MONTH($A89)=MONTH(G$16)),B88/B76,G88)</f>
        <v>1.08833077839898</v>
      </c>
      <c r="H89" s="1304" t="n">
        <f aca="false">IF(AND($A89&gt;H$16,MONTH($A89)=MONTH(H$16)),C88/C76,H88)</f>
        <v>1.03190910302395</v>
      </c>
      <c r="I89" s="1304" t="n">
        <f aca="false">IF(AND($A89&gt;I$16,MONTH($A89)=MONTH(I$16)),C88/C76-I$18,I88)</f>
        <v>1.02940910302395</v>
      </c>
      <c r="J89" s="1304" t="n">
        <f aca="false">IF(AND($A89&gt;J$16,MONTH($A89)=MONTH(J$16)),D88/D76,J88)</f>
        <v>1.0366708473794</v>
      </c>
      <c r="K89" s="1307" t="n">
        <f aca="false">IF($A89&gt;=K$16,IF(MONTH($A89)=MONTH(K$16),AVERAGE(E77:E88),K88),K88)</f>
        <v>24.6464930555556</v>
      </c>
      <c r="L89" s="1266" t="n">
        <f aca="false">L88+1</f>
        <v>77</v>
      </c>
      <c r="M89" s="1303" t="n">
        <f aca="false">HLOOKUP(M$14,Dec_Change,$L89)</f>
        <v>1.03190910302395</v>
      </c>
      <c r="N89" s="1304" t="n">
        <f aca="false">N88</f>
        <v>1.005</v>
      </c>
      <c r="O89" s="1307" t="n">
        <f aca="false">IF(AND($A89&gt;=O$16,MONTH($A89)=MONTH(O$16)),MAX(M89,N89)*O88,O88)</f>
        <v>1.13219066683837</v>
      </c>
      <c r="Q89" s="1303" t="n">
        <f aca="false">HLOOKUP(Q$14,Dec_Change,$L89)</f>
        <v>1.03190910302395</v>
      </c>
      <c r="R89" s="1304" t="n">
        <f aca="false">R88</f>
        <v>0</v>
      </c>
      <c r="S89" s="1307" t="n">
        <f aca="false">IF(AND($A89&gt;=S$16,MONTH($A89)=MONTH(S$16)),MAX(Q89,R89)*S88,S88)</f>
        <v>1.06601260934413</v>
      </c>
    </row>
    <row r="90" customFormat="false" ht="12.75" hidden="false" customHeight="false" outlineLevel="0" collapsed="false">
      <c r="A90" s="1305" t="n">
        <f aca="false">EDATE(A89,1)</f>
        <v>37561</v>
      </c>
      <c r="B90" s="1297" t="n">
        <f aca="false">'[3]Monthly Curve Calc.'!B93</f>
        <v>226.777823933367</v>
      </c>
      <c r="C90" s="1298" t="n">
        <f aca="false">'[3]Monthly Curve Calc.'!C93</f>
        <v>184.578382677678</v>
      </c>
      <c r="D90" s="1298" t="n">
        <f aca="false">'[3]Monthly Curve Calc.'!D93</f>
        <v>149.781479803763</v>
      </c>
      <c r="E90" s="1298" t="n">
        <f aca="false">'[3]Monthly Curve Calc.'!E93</f>
        <v>21.1253472222222</v>
      </c>
      <c r="F90" s="1299" t="n">
        <f aca="false">'[3]Monthly Curve Calc.'!F93</f>
        <v>2.11338426396307</v>
      </c>
      <c r="G90" s="1306" t="n">
        <f aca="false">IF(AND($A90&gt;G$16,MONTH($A90)=MONTH(G$16)),B89/B77,G89)</f>
        <v>1.08833077839898</v>
      </c>
      <c r="H90" s="1304" t="n">
        <f aca="false">IF(AND($A90&gt;H$16,MONTH($A90)=MONTH(H$16)),C89/C77,H89)</f>
        <v>1.03190910302395</v>
      </c>
      <c r="I90" s="1304" t="n">
        <f aca="false">IF(AND($A90&gt;I$16,MONTH($A90)=MONTH(I$16)),C89/C77-I$18,I89)</f>
        <v>1.02940910302395</v>
      </c>
      <c r="J90" s="1304" t="n">
        <f aca="false">IF(AND($A90&gt;J$16,MONTH($A90)=MONTH(J$16)),D89/D77,J89)</f>
        <v>1.0366708473794</v>
      </c>
      <c r="K90" s="1307" t="n">
        <f aca="false">IF($A90&gt;=K$16,IF(MONTH($A90)=MONTH(K$16),AVERAGE(E78:E89),K89),K89)</f>
        <v>24.6464930555556</v>
      </c>
      <c r="L90" s="1266" t="n">
        <f aca="false">L89+1</f>
        <v>78</v>
      </c>
      <c r="M90" s="1303" t="n">
        <f aca="false">HLOOKUP(M$14,Dec_Change,$L90)</f>
        <v>1.03190910302395</v>
      </c>
      <c r="N90" s="1304" t="n">
        <f aca="false">N89</f>
        <v>1.005</v>
      </c>
      <c r="O90" s="1307" t="n">
        <f aca="false">IF(AND($A90&gt;=O$16,MONTH($A90)=MONTH(O$16)),MAX(M90,N90)*O89,O89)</f>
        <v>1.13219066683837</v>
      </c>
      <c r="Q90" s="1303" t="n">
        <f aca="false">HLOOKUP(Q$14,Dec_Change,$L90)</f>
        <v>1.03190910302395</v>
      </c>
      <c r="R90" s="1304" t="n">
        <f aca="false">R89</f>
        <v>0</v>
      </c>
      <c r="S90" s="1307" t="n">
        <f aca="false">IF(AND($A90&gt;=S$16,MONTH($A90)=MONTH(S$16)),MAX(Q90,R90)*S89,S89)</f>
        <v>1.06601260934413</v>
      </c>
    </row>
    <row r="91" customFormat="false" ht="12.75" hidden="false" customHeight="false" outlineLevel="0" collapsed="false">
      <c r="A91" s="1305" t="n">
        <f aca="false">EDATE(A90,1)</f>
        <v>37591</v>
      </c>
      <c r="B91" s="1297" t="n">
        <f aca="false">'[3]Monthly Curve Calc.'!B94</f>
        <v>228.324787354876</v>
      </c>
      <c r="C91" s="1298" t="n">
        <f aca="false">'[3]Monthly Curve Calc.'!C94</f>
        <v>185.040320745779</v>
      </c>
      <c r="D91" s="1298" t="n">
        <f aca="false">'[3]Monthly Curve Calc.'!D94</f>
        <v>150.155431739348</v>
      </c>
      <c r="E91" s="1298" t="n">
        <f aca="false">'[3]Monthly Curve Calc.'!E94</f>
        <v>20.9666666666667</v>
      </c>
      <c r="F91" s="1299" t="n">
        <f aca="false">'[3]Monthly Curve Calc.'!F94</f>
        <v>2.12480634867759</v>
      </c>
      <c r="G91" s="1306" t="n">
        <f aca="false">IF(AND($A91&gt;G$16,MONTH($A91)=MONTH(G$16)),B90/B78,G90)</f>
        <v>1.08833077839898</v>
      </c>
      <c r="H91" s="1304" t="n">
        <f aca="false">IF(AND($A91&gt;H$16,MONTH($A91)=MONTH(H$16)),C90/C78,H90)</f>
        <v>1.03190910302395</v>
      </c>
      <c r="I91" s="1304" t="n">
        <f aca="false">IF(AND($A91&gt;I$16,MONTH($A91)=MONTH(I$16)),C90/C78-I$18,I90)</f>
        <v>1.02940910302395</v>
      </c>
      <c r="J91" s="1304" t="n">
        <f aca="false">IF(AND($A91&gt;J$16,MONTH($A91)=MONTH(J$16)),D90/D78,J90)</f>
        <v>1.0366708473794</v>
      </c>
      <c r="K91" s="1307" t="n">
        <f aca="false">IF($A91&gt;=K$16,IF(MONTH($A91)=MONTH(K$16),AVERAGE(E79:E90),K90),K90)</f>
        <v>24.6464930555556</v>
      </c>
      <c r="L91" s="1266" t="n">
        <f aca="false">L90+1</f>
        <v>79</v>
      </c>
      <c r="M91" s="1303" t="n">
        <f aca="false">HLOOKUP(M$14,Dec_Change,$L91)</f>
        <v>1.03190910302395</v>
      </c>
      <c r="N91" s="1304" t="n">
        <f aca="false">N90</f>
        <v>1.005</v>
      </c>
      <c r="O91" s="1307" t="n">
        <f aca="false">IF(AND($A91&gt;=O$16,MONTH($A91)=MONTH(O$16)),MAX(M91,N91)*O90,O90)</f>
        <v>1.13219066683837</v>
      </c>
      <c r="Q91" s="1303" t="n">
        <f aca="false">HLOOKUP(Q$14,Dec_Change,$L91)</f>
        <v>1.03190910302395</v>
      </c>
      <c r="R91" s="1304" t="n">
        <f aca="false">R90</f>
        <v>0</v>
      </c>
      <c r="S91" s="1307" t="n">
        <f aca="false">IF(AND($A91&gt;=S$16,MONTH($A91)=MONTH(S$16)),MAX(Q91,R91)*S90,S90)</f>
        <v>1.06601260934413</v>
      </c>
    </row>
    <row r="92" customFormat="false" ht="12.75" hidden="false" customHeight="false" outlineLevel="0" collapsed="false">
      <c r="A92" s="1305" t="n">
        <f aca="false">EDATE(A91,1)</f>
        <v>37622</v>
      </c>
      <c r="B92" s="1297" t="n">
        <f aca="false">'[3]Monthly Curve Calc.'!B95</f>
        <v>229.793835911578</v>
      </c>
      <c r="C92" s="1298" t="n">
        <f aca="false">'[3]Monthly Curve Calc.'!C95</f>
        <v>185.488406521398</v>
      </c>
      <c r="D92" s="1298" t="n">
        <f aca="false">'[3]Monthly Curve Calc.'!D95</f>
        <v>150.500358235925</v>
      </c>
      <c r="E92" s="1298" t="n">
        <f aca="false">'[3]Monthly Curve Calc.'!E95</f>
        <v>20.8947916666667</v>
      </c>
      <c r="F92" s="1299" t="n">
        <f aca="false">'[3]Monthly Curve Calc.'!F95</f>
        <v>2.13087787834043</v>
      </c>
      <c r="G92" s="1306" t="n">
        <f aca="false">IF(AND($A92&gt;G$16,MONTH($A92)=MONTH(G$16)),B91/B79,G91)</f>
        <v>1.08833077839898</v>
      </c>
      <c r="H92" s="1304" t="n">
        <f aca="false">IF(AND($A92&gt;H$16,MONTH($A92)=MONTH(H$16)),C91/C79,H91)</f>
        <v>1.03190910302395</v>
      </c>
      <c r="I92" s="1304" t="n">
        <f aca="false">IF(AND($A92&gt;I$16,MONTH($A92)=MONTH(I$16)),C91/C79-I$18,I91)</f>
        <v>1.02940910302395</v>
      </c>
      <c r="J92" s="1304" t="n">
        <f aca="false">IF(AND($A92&gt;J$16,MONTH($A92)=MONTH(J$16)),D91/D79,J91)</f>
        <v>1.03037463858207</v>
      </c>
      <c r="K92" s="1307" t="n">
        <f aca="false">IF($A92&gt;=K$16,IF(MONTH($A92)=MONTH(K$16),AVERAGE(E80:E91),K91),K91)</f>
        <v>21.8394097222222</v>
      </c>
      <c r="L92" s="1266" t="n">
        <f aca="false">L91+1</f>
        <v>80</v>
      </c>
      <c r="M92" s="1303" t="n">
        <f aca="false">HLOOKUP(M$14,Dec_Change,$L92)</f>
        <v>1.03190910302395</v>
      </c>
      <c r="N92" s="1304" t="n">
        <f aca="false">N91</f>
        <v>1.005</v>
      </c>
      <c r="O92" s="1307" t="n">
        <f aca="false">IF(AND($A92&gt;=O$16,MONTH($A92)=MONTH(O$16)),MAX(M92,N92)*O91,O91)</f>
        <v>1.13219066683837</v>
      </c>
      <c r="Q92" s="1303" t="n">
        <f aca="false">HLOOKUP(Q$14,Dec_Change,$L92)</f>
        <v>1.03190910302395</v>
      </c>
      <c r="R92" s="1304" t="n">
        <f aca="false">R91</f>
        <v>0</v>
      </c>
      <c r="S92" s="1307" t="n">
        <f aca="false">IF(AND($A92&gt;=S$16,MONTH($A92)=MONTH(S$16)),MAX(Q92,R92)*S91,S91)</f>
        <v>1.06601260934413</v>
      </c>
    </row>
    <row r="93" customFormat="false" ht="12.75" hidden="false" customHeight="false" outlineLevel="0" collapsed="false">
      <c r="A93" s="1305" t="n">
        <f aca="false">EDATE(A92,1)</f>
        <v>37653</v>
      </c>
      <c r="B93" s="1297" t="n">
        <f aca="false">'[3]Monthly Curve Calc.'!B96</f>
        <v>231.272336370926</v>
      </c>
      <c r="C93" s="1298" t="n">
        <f aca="false">'[3]Monthly Curve Calc.'!C96</f>
        <v>185.937577362486</v>
      </c>
      <c r="D93" s="1298" t="n">
        <f aca="false">'[3]Monthly Curve Calc.'!D96</f>
        <v>150.84607707339</v>
      </c>
      <c r="E93" s="1298" t="n">
        <f aca="false">'[3]Monthly Curve Calc.'!E96</f>
        <v>20.8229166666667</v>
      </c>
      <c r="F93" s="1299" t="n">
        <f aca="false">'[3]Monthly Curve Calc.'!F96</f>
        <v>2.13696675710073</v>
      </c>
      <c r="G93" s="1306" t="n">
        <f aca="false">IF(AND($A93&gt;G$16,MONTH($A93)=MONTH(G$16)),B92/B80,G92)</f>
        <v>1.08833077839898</v>
      </c>
      <c r="H93" s="1304" t="n">
        <f aca="false">IF(AND($A93&gt;H$16,MONTH($A93)=MONTH(H$16)),C92/C80,H92)</f>
        <v>1.03190910302395</v>
      </c>
      <c r="I93" s="1304" t="n">
        <f aca="false">IF(AND($A93&gt;I$16,MONTH($A93)=MONTH(I$16)),C92/C80-I$18,I92)</f>
        <v>1.02940910302395</v>
      </c>
      <c r="J93" s="1304" t="n">
        <f aca="false">IF(AND($A93&gt;J$16,MONTH($A93)=MONTH(J$16)),D92/D80,J92)</f>
        <v>1.03037463858207</v>
      </c>
      <c r="K93" s="1307" t="n">
        <f aca="false">IF($A93&gt;=K$16,IF(MONTH($A93)=MONTH(K$16),AVERAGE(E81:E92),K92),K92)</f>
        <v>21.8394097222222</v>
      </c>
      <c r="L93" s="1266" t="n">
        <f aca="false">L92+1</f>
        <v>81</v>
      </c>
      <c r="M93" s="1303" t="n">
        <f aca="false">HLOOKUP(M$14,Dec_Change,$L93)</f>
        <v>1.03190910302395</v>
      </c>
      <c r="N93" s="1304" t="n">
        <f aca="false">N92</f>
        <v>1.005</v>
      </c>
      <c r="O93" s="1307" t="n">
        <f aca="false">IF(AND($A93&gt;=O$16,MONTH($A93)=MONTH(O$16)),MAX(M93,N93)*O92,O92)</f>
        <v>1.13219066683837</v>
      </c>
      <c r="Q93" s="1303" t="n">
        <f aca="false">HLOOKUP(Q$14,Dec_Change,$L93)</f>
        <v>1.03190910302395</v>
      </c>
      <c r="R93" s="1304" t="n">
        <f aca="false">R92</f>
        <v>0</v>
      </c>
      <c r="S93" s="1307" t="n">
        <f aca="false">IF(AND($A93&gt;=S$16,MONTH($A93)=MONTH(S$16)),MAX(Q93,R93)*S92,S92)</f>
        <v>1.06601260934413</v>
      </c>
    </row>
    <row r="94" customFormat="false" ht="12.75" hidden="false" customHeight="false" outlineLevel="0" collapsed="false">
      <c r="A94" s="1305" t="n">
        <f aca="false">EDATE(A93,1)</f>
        <v>37681</v>
      </c>
      <c r="B94" s="1297" t="n">
        <f aca="false">'[3]Monthly Curve Calc.'!B97</f>
        <v>232.760349546747</v>
      </c>
      <c r="C94" s="1298" t="n">
        <f aca="false">'[3]Monthly Curve Calc.'!C97</f>
        <v>186.38783589659</v>
      </c>
      <c r="D94" s="1298" t="n">
        <f aca="false">'[3]Monthly Curve Calc.'!D97</f>
        <v>151.192590071852</v>
      </c>
      <c r="E94" s="1298" t="n">
        <f aca="false">'[3]Monthly Curve Calc.'!E97</f>
        <v>20.7510416666667</v>
      </c>
      <c r="F94" s="1299" t="n">
        <f aca="false">'[3]Monthly Curve Calc.'!F97</f>
        <v>2.14307303453269</v>
      </c>
      <c r="G94" s="1306" t="n">
        <f aca="false">IF(AND($A94&gt;G$16,MONTH($A94)=MONTH(G$16)),B93/B81,G93)</f>
        <v>1.08833077839898</v>
      </c>
      <c r="H94" s="1304" t="n">
        <f aca="false">IF(AND($A94&gt;H$16,MONTH($A94)=MONTH(H$16)),C93/C81,H93)</f>
        <v>1.03190910302395</v>
      </c>
      <c r="I94" s="1304" t="n">
        <f aca="false">IF(AND($A94&gt;I$16,MONTH($A94)=MONTH(I$16)),C93/C81-I$18,I93)</f>
        <v>1.02940910302395</v>
      </c>
      <c r="J94" s="1304" t="n">
        <f aca="false">IF(AND($A94&gt;J$16,MONTH($A94)=MONTH(J$16)),D93/D81,J93)</f>
        <v>1.03037463858207</v>
      </c>
      <c r="K94" s="1307" t="n">
        <f aca="false">IF($A94&gt;=K$16,IF(MONTH($A94)=MONTH(K$16),AVERAGE(E82:E93),K93),K93)</f>
        <v>21.8394097222222</v>
      </c>
      <c r="L94" s="1266" t="n">
        <f aca="false">L93+1</f>
        <v>82</v>
      </c>
      <c r="M94" s="1303" t="n">
        <f aca="false">HLOOKUP(M$14,Dec_Change,$L94)</f>
        <v>1.03190910302395</v>
      </c>
      <c r="N94" s="1304" t="n">
        <f aca="false">N93</f>
        <v>1.005</v>
      </c>
      <c r="O94" s="1307" t="n">
        <f aca="false">IF(AND($A94&gt;=O$16,MONTH($A94)=MONTH(O$16)),MAX(M94,N94)*O93,O93)</f>
        <v>1.13219066683837</v>
      </c>
      <c r="Q94" s="1303" t="n">
        <f aca="false">HLOOKUP(Q$14,Dec_Change,$L94)</f>
        <v>1.03190910302395</v>
      </c>
      <c r="R94" s="1304" t="n">
        <f aca="false">R93</f>
        <v>0</v>
      </c>
      <c r="S94" s="1307" t="n">
        <f aca="false">IF(AND($A94&gt;=S$16,MONTH($A94)=MONTH(S$16)),MAX(Q94,R94)*S93,S93)</f>
        <v>1.06601260934413</v>
      </c>
    </row>
    <row r="95" customFormat="false" ht="12.75" hidden="false" customHeight="false" outlineLevel="0" collapsed="false">
      <c r="A95" s="1305" t="n">
        <f aca="false">EDATE(A94,1)</f>
        <v>37712</v>
      </c>
      <c r="B95" s="1297" t="n">
        <f aca="false">'[3]Monthly Curve Calc.'!B98</f>
        <v>234.257936644146</v>
      </c>
      <c r="C95" s="1298" t="n">
        <f aca="false">'[3]Monthly Curve Calc.'!C98</f>
        <v>186.839184757623</v>
      </c>
      <c r="D95" s="1298" t="n">
        <f aca="false">'[3]Monthly Curve Calc.'!D98</f>
        <v>151.539899055602</v>
      </c>
      <c r="E95" s="1298" t="n">
        <f aca="false">'[3]Monthly Curve Calc.'!E98</f>
        <v>20.6791666666667</v>
      </c>
      <c r="F95" s="1299" t="n">
        <f aca="false">'[3]Monthly Curve Calc.'!F98</f>
        <v>2.14919676035217</v>
      </c>
      <c r="G95" s="1306" t="n">
        <f aca="false">IF(AND($A95&gt;G$16,MONTH($A95)=MONTH(G$16)),B94/B82,G94)</f>
        <v>1.08833077839898</v>
      </c>
      <c r="H95" s="1304" t="n">
        <f aca="false">IF(AND($A95&gt;H$16,MONTH($A95)=MONTH(H$16)),C94/C82,H94)</f>
        <v>1.03190910302395</v>
      </c>
      <c r="I95" s="1304" t="n">
        <f aca="false">IF(AND($A95&gt;I$16,MONTH($A95)=MONTH(I$16)),C94/C82-I$18,I94)</f>
        <v>1.02940910302395</v>
      </c>
      <c r="J95" s="1304" t="n">
        <f aca="false">IF(AND($A95&gt;J$16,MONTH($A95)=MONTH(J$16)),D94/D82,J94)</f>
        <v>1.03037463858207</v>
      </c>
      <c r="K95" s="1307" t="n">
        <f aca="false">IF($A95&gt;=K$16,IF(MONTH($A95)=MONTH(K$16),AVERAGE(E83:E94),K94),K94)</f>
        <v>21.8394097222222</v>
      </c>
      <c r="L95" s="1266" t="n">
        <f aca="false">L94+1</f>
        <v>83</v>
      </c>
      <c r="M95" s="1303" t="n">
        <f aca="false">HLOOKUP(M$14,Dec_Change,$L95)</f>
        <v>1.03190910302395</v>
      </c>
      <c r="N95" s="1304" t="n">
        <f aca="false">N94</f>
        <v>1.005</v>
      </c>
      <c r="O95" s="1307" t="n">
        <f aca="false">IF(AND($A95&gt;=O$16,MONTH($A95)=MONTH(O$16)),MAX(M95,N95)*O94,O94)</f>
        <v>1.13219066683837</v>
      </c>
      <c r="Q95" s="1303" t="n">
        <f aca="false">HLOOKUP(Q$14,Dec_Change,$L95)</f>
        <v>1.03190910302395</v>
      </c>
      <c r="R95" s="1304" t="n">
        <f aca="false">R94</f>
        <v>0</v>
      </c>
      <c r="S95" s="1307" t="n">
        <f aca="false">IF(AND($A95&gt;=S$16,MONTH($A95)=MONTH(S$16)),MAX(Q95,R95)*S94,S94)</f>
        <v>1.06601260934413</v>
      </c>
    </row>
    <row r="96" customFormat="false" ht="12.75" hidden="false" customHeight="false" outlineLevel="0" collapsed="false">
      <c r="A96" s="1305" t="n">
        <f aca="false">EDATE(A95,1)</f>
        <v>37742</v>
      </c>
      <c r="B96" s="1297" t="n">
        <f aca="false">'[3]Monthly Curve Calc.'!B99</f>
        <v>235.765159262022</v>
      </c>
      <c r="C96" s="1298" t="n">
        <f aca="false">'[3]Monthly Curve Calc.'!C99</f>
        <v>187.291626585873</v>
      </c>
      <c r="D96" s="1298" t="n">
        <f aca="false">'[3]Monthly Curve Calc.'!D99</f>
        <v>151.888005853122</v>
      </c>
      <c r="E96" s="1298" t="n">
        <f aca="false">'[3]Monthly Curve Calc.'!E99</f>
        <v>20.6072916666667</v>
      </c>
      <c r="F96" s="1299" t="n">
        <f aca="false">'[3]Monthly Curve Calc.'!F99</f>
        <v>2.15533798441706</v>
      </c>
      <c r="G96" s="1306" t="n">
        <f aca="false">IF(AND($A96&gt;G$16,MONTH($A96)=MONTH(G$16)),B95/B83,G95)</f>
        <v>1.08333076659484</v>
      </c>
      <c r="H96" s="1304" t="n">
        <f aca="false">IF(AND($A96&gt;H$16,MONTH($A96)=MONTH(H$16)),C95/C83,H95)</f>
        <v>1.0301154037814</v>
      </c>
      <c r="I96" s="1304" t="n">
        <f aca="false">IF(AND($A96&gt;I$16,MONTH($A96)=MONTH(I$16)),C95/C83-I$18,I95)</f>
        <v>1.0276154037814</v>
      </c>
      <c r="J96" s="1304" t="n">
        <f aca="false">IF(AND($A96&gt;J$16,MONTH($A96)=MONTH(J$16)),D95/D83,J95)</f>
        <v>1.03037463858207</v>
      </c>
      <c r="K96" s="1307" t="n">
        <f aca="false">IF($A96&gt;=K$16,IF(MONTH($A96)=MONTH(K$16),AVERAGE(E84:E95),K95),K95)</f>
        <v>21.8394097222222</v>
      </c>
      <c r="L96" s="1266" t="n">
        <f aca="false">L95+1</f>
        <v>84</v>
      </c>
      <c r="M96" s="1303" t="n">
        <f aca="false">HLOOKUP(M$14,Dec_Change,$L96)</f>
        <v>1.0301154037814</v>
      </c>
      <c r="N96" s="1304" t="n">
        <f aca="false">N95</f>
        <v>1.005</v>
      </c>
      <c r="O96" s="1307" t="n">
        <f aca="false">IF(AND($A96&gt;=O$16,MONTH($A96)=MONTH(O$16)),MAX(M96,N96)*O95,O95)</f>
        <v>1.16628704592773</v>
      </c>
      <c r="Q96" s="1303" t="n">
        <f aca="false">HLOOKUP(Q$14,Dec_Change,$L96)</f>
        <v>1.0301154037814</v>
      </c>
      <c r="R96" s="1304" t="n">
        <f aca="false">R95</f>
        <v>0</v>
      </c>
      <c r="S96" s="1307" t="n">
        <f aca="false">IF(AND($A96&gt;=S$16,MONTH($A96)=MONTH(S$16)),MAX(Q96,R96)*S95,S95)</f>
        <v>1.06601260934413</v>
      </c>
    </row>
    <row r="97" customFormat="false" ht="12.75" hidden="false" customHeight="false" outlineLevel="0" collapsed="false">
      <c r="A97" s="1305" t="n">
        <f aca="false">EDATE(A96,1)</f>
        <v>37773</v>
      </c>
      <c r="B97" s="1297" t="n">
        <f aca="false">'[3]Monthly Curve Calc.'!B100</f>
        <v>237.282079395603</v>
      </c>
      <c r="C97" s="1298" t="n">
        <f aca="false">'[3]Monthly Curve Calc.'!C100</f>
        <v>187.745164028023</v>
      </c>
      <c r="D97" s="1298" t="n">
        <f aca="false">'[3]Monthly Curve Calc.'!D100</f>
        <v>152.236912297093</v>
      </c>
      <c r="E97" s="1298" t="n">
        <f aca="false">'[3]Monthly Curve Calc.'!E100</f>
        <v>20.5354166666667</v>
      </c>
      <c r="F97" s="1299" t="n">
        <f aca="false">'[3]Monthly Curve Calc.'!F100</f>
        <v>2.16149675672775</v>
      </c>
      <c r="G97" s="1306" t="n">
        <f aca="false">IF(AND($A97&gt;G$16,MONTH($A97)=MONTH(G$16)),B96/B84,G96)</f>
        <v>1.08333076659484</v>
      </c>
      <c r="H97" s="1304" t="n">
        <f aca="false">IF(AND($A97&gt;H$16,MONTH($A97)=MONTH(H$16)),C96/C84,H96)</f>
        <v>1.0301154037814</v>
      </c>
      <c r="I97" s="1304" t="n">
        <f aca="false">IF(AND($A97&gt;I$16,MONTH($A97)=MONTH(I$16)),C96/C84-I$18,I96)</f>
        <v>1.0276154037814</v>
      </c>
      <c r="J97" s="1304" t="n">
        <f aca="false">IF(AND($A97&gt;J$16,MONTH($A97)=MONTH(J$16)),D96/D84,J96)</f>
        <v>1.03037463858207</v>
      </c>
      <c r="K97" s="1307" t="n">
        <f aca="false">IF($A97&gt;=K$16,IF(MONTH($A97)=MONTH(K$16),AVERAGE(E85:E96),K96),K96)</f>
        <v>21.8394097222222</v>
      </c>
      <c r="L97" s="1266" t="n">
        <f aca="false">L96+1</f>
        <v>85</v>
      </c>
      <c r="M97" s="1303" t="n">
        <f aca="false">HLOOKUP(M$14,Dec_Change,$L97)</f>
        <v>1.0301154037814</v>
      </c>
      <c r="N97" s="1304" t="n">
        <f aca="false">N96</f>
        <v>1.005</v>
      </c>
      <c r="O97" s="1307" t="n">
        <f aca="false">IF(AND($A97&gt;=O$16,MONTH($A97)=MONTH(O$16)),MAX(M97,N97)*O96,O96)</f>
        <v>1.16628704592773</v>
      </c>
      <c r="Q97" s="1303" t="n">
        <f aca="false">HLOOKUP(Q$14,Dec_Change,$L97)</f>
        <v>1.0301154037814</v>
      </c>
      <c r="R97" s="1304" t="n">
        <f aca="false">R96</f>
        <v>0</v>
      </c>
      <c r="S97" s="1307" t="n">
        <f aca="false">IF(AND($A97&gt;=S$16,MONTH($A97)=MONTH(S$16)),MAX(Q97,R97)*S96,S96)</f>
        <v>1.09811600951059</v>
      </c>
    </row>
    <row r="98" customFormat="false" ht="12.75" hidden="false" customHeight="false" outlineLevel="0" collapsed="false">
      <c r="A98" s="1305" t="n">
        <f aca="false">EDATE(A97,1)</f>
        <v>37803</v>
      </c>
      <c r="B98" s="1297" t="n">
        <f aca="false">'[3]Monthly Curve Calc.'!B101</f>
        <v>238.808759438999</v>
      </c>
      <c r="C98" s="1298" t="n">
        <f aca="false">'[3]Monthly Curve Calc.'!C101</f>
        <v>188.199799737166</v>
      </c>
      <c r="D98" s="1298" t="n">
        <f aca="false">'[3]Monthly Curve Calc.'!D101</f>
        <v>152.586620224406</v>
      </c>
      <c r="E98" s="1298" t="n">
        <f aca="false">'[3]Monthly Curve Calc.'!E101</f>
        <v>20.4635416666667</v>
      </c>
      <c r="F98" s="1299" t="n">
        <f aca="false">'[3]Monthly Curve Calc.'!F101</f>
        <v>2.16767312742749</v>
      </c>
      <c r="G98" s="1306" t="n">
        <f aca="false">IF(AND($A98&gt;G$16,MONTH($A98)=MONTH(G$16)),B97/B85,G97)</f>
        <v>1.08333076659484</v>
      </c>
      <c r="H98" s="1304" t="n">
        <f aca="false">IF(AND($A98&gt;H$16,MONTH($A98)=MONTH(H$16)),C97/C85,H97)</f>
        <v>1.0301154037814</v>
      </c>
      <c r="I98" s="1304" t="n">
        <f aca="false">IF(AND($A98&gt;I$16,MONTH($A98)=MONTH(I$16)),C97/C85-I$18,I97)</f>
        <v>1.0276154037814</v>
      </c>
      <c r="J98" s="1304" t="n">
        <f aca="false">IF(AND($A98&gt;J$16,MONTH($A98)=MONTH(J$16)),D97/D85,J97)</f>
        <v>1.03037463858207</v>
      </c>
      <c r="K98" s="1307" t="n">
        <f aca="false">IF($A98&gt;=K$16,IF(MONTH($A98)=MONTH(K$16),AVERAGE(E86:E97),K97),K97)</f>
        <v>21.8394097222222</v>
      </c>
      <c r="L98" s="1266" t="n">
        <f aca="false">L97+1</f>
        <v>86</v>
      </c>
      <c r="M98" s="1303" t="n">
        <f aca="false">HLOOKUP(M$14,Dec_Change,$L98)</f>
        <v>1.0301154037814</v>
      </c>
      <c r="N98" s="1304" t="n">
        <f aca="false">N97</f>
        <v>1.005</v>
      </c>
      <c r="O98" s="1307" t="n">
        <f aca="false">IF(AND($A98&gt;=O$16,MONTH($A98)=MONTH(O$16)),MAX(M98,N98)*O97,O97)</f>
        <v>1.16628704592773</v>
      </c>
      <c r="Q98" s="1303" t="n">
        <f aca="false">HLOOKUP(Q$14,Dec_Change,$L98)</f>
        <v>1.0301154037814</v>
      </c>
      <c r="R98" s="1304" t="n">
        <f aca="false">R97</f>
        <v>0</v>
      </c>
      <c r="S98" s="1307" t="n">
        <f aca="false">IF(AND($A98&gt;=S$16,MONTH($A98)=MONTH(S$16)),MAX(Q98,R98)*S97,S97)</f>
        <v>1.09811600951059</v>
      </c>
    </row>
    <row r="99" customFormat="false" ht="12.75" hidden="false" customHeight="false" outlineLevel="0" collapsed="false">
      <c r="A99" s="1305" t="n">
        <f aca="false">EDATE(A98,1)</f>
        <v>37834</v>
      </c>
      <c r="B99" s="1297" t="n">
        <f aca="false">'[3]Monthly Curve Calc.'!B102</f>
        <v>240.345262187762</v>
      </c>
      <c r="C99" s="1298" t="n">
        <f aca="false">'[3]Monthly Curve Calc.'!C102</f>
        <v>188.655536372818</v>
      </c>
      <c r="D99" s="1298" t="n">
        <f aca="false">'[3]Monthly Curve Calc.'!D102</f>
        <v>152.937131476173</v>
      </c>
      <c r="E99" s="1298" t="n">
        <f aca="false">'[3]Monthly Curve Calc.'!E102</f>
        <v>20.3916666666667</v>
      </c>
      <c r="F99" s="1299" t="n">
        <f aca="false">'[3]Monthly Curve Calc.'!F102</f>
        <v>2.17386714680281</v>
      </c>
      <c r="G99" s="1306" t="n">
        <f aca="false">IF(AND($A99&gt;G$16,MONTH($A99)=MONTH(G$16)),B98/B86,G98)</f>
        <v>1.08333076659484</v>
      </c>
      <c r="H99" s="1304" t="n">
        <f aca="false">IF(AND($A99&gt;H$16,MONTH($A99)=MONTH(H$16)),C98/C86,H98)</f>
        <v>1.0301154037814</v>
      </c>
      <c r="I99" s="1304" t="n">
        <f aca="false">IF(AND($A99&gt;I$16,MONTH($A99)=MONTH(I$16)),C98/C86-I$18,I98)</f>
        <v>1.0276154037814</v>
      </c>
      <c r="J99" s="1304" t="n">
        <f aca="false">IF(AND($A99&gt;J$16,MONTH($A99)=MONTH(J$16)),D98/D86,J98)</f>
        <v>1.03037463858207</v>
      </c>
      <c r="K99" s="1307" t="n">
        <f aca="false">IF($A99&gt;=K$16,IF(MONTH($A99)=MONTH(K$16),AVERAGE(E87:E98),K98),K98)</f>
        <v>21.8394097222222</v>
      </c>
      <c r="L99" s="1266" t="n">
        <f aca="false">L98+1</f>
        <v>87</v>
      </c>
      <c r="M99" s="1303" t="n">
        <f aca="false">HLOOKUP(M$14,Dec_Change,$L99)</f>
        <v>1.0301154037814</v>
      </c>
      <c r="N99" s="1304" t="n">
        <f aca="false">N98</f>
        <v>1.005</v>
      </c>
      <c r="O99" s="1307" t="n">
        <f aca="false">IF(AND($A99&gt;=O$16,MONTH($A99)=MONTH(O$16)),MAX(M99,N99)*O98,O98)</f>
        <v>1.16628704592773</v>
      </c>
      <c r="Q99" s="1303" t="n">
        <f aca="false">HLOOKUP(Q$14,Dec_Change,$L99)</f>
        <v>1.0301154037814</v>
      </c>
      <c r="R99" s="1304" t="n">
        <f aca="false">R98</f>
        <v>0</v>
      </c>
      <c r="S99" s="1307" t="n">
        <f aca="false">IF(AND($A99&gt;=S$16,MONTH($A99)=MONTH(S$16)),MAX(Q99,R99)*S98,S98)</f>
        <v>1.09811600951059</v>
      </c>
    </row>
    <row r="100" customFormat="false" ht="12.75" hidden="false" customHeight="false" outlineLevel="0" collapsed="false">
      <c r="A100" s="1305" t="n">
        <f aca="false">EDATE(A99,1)</f>
        <v>37865</v>
      </c>
      <c r="B100" s="1297" t="n">
        <f aca="false">'[3]Monthly Curve Calc.'!B103</f>
        <v>241.891650841475</v>
      </c>
      <c r="C100" s="1298" t="n">
        <f aca="false">'[3]Monthly Curve Calc.'!C103</f>
        <v>189.112376600935</v>
      </c>
      <c r="D100" s="1298" t="n">
        <f aca="false">'[3]Monthly Curve Calc.'!D103</f>
        <v>153.288447897734</v>
      </c>
      <c r="E100" s="1298" t="n">
        <f aca="false">'[3]Monthly Curve Calc.'!E103</f>
        <v>20.3197916666667</v>
      </c>
      <c r="F100" s="1299" t="n">
        <f aca="false">'[3]Monthly Curve Calc.'!F103</f>
        <v>2.18007886528392</v>
      </c>
      <c r="G100" s="1306" t="n">
        <f aca="false">IF(AND($A100&gt;G$16,MONTH($A100)=MONTH(G$16)),B99/B87,G99)</f>
        <v>1.08333076659484</v>
      </c>
      <c r="H100" s="1304" t="n">
        <f aca="false">IF(AND($A100&gt;H$16,MONTH($A100)=MONTH(H$16)),C99/C87,H99)</f>
        <v>1.0301154037814</v>
      </c>
      <c r="I100" s="1304" t="n">
        <f aca="false">IF(AND($A100&gt;I$16,MONTH($A100)=MONTH(I$16)),C99/C87-I$18,I99)</f>
        <v>1.0276154037814</v>
      </c>
      <c r="J100" s="1304" t="n">
        <f aca="false">IF(AND($A100&gt;J$16,MONTH($A100)=MONTH(J$16)),D99/D87,J99)</f>
        <v>1.03037463858207</v>
      </c>
      <c r="K100" s="1307" t="n">
        <f aca="false">IF($A100&gt;=K$16,IF(MONTH($A100)=MONTH(K$16),AVERAGE(E88:E99),K99),K99)</f>
        <v>21.8394097222222</v>
      </c>
      <c r="L100" s="1266" t="n">
        <f aca="false">L99+1</f>
        <v>88</v>
      </c>
      <c r="M100" s="1303" t="n">
        <f aca="false">HLOOKUP(M$14,Dec_Change,$L100)</f>
        <v>1.0301154037814</v>
      </c>
      <c r="N100" s="1304" t="n">
        <f aca="false">N99</f>
        <v>1.005</v>
      </c>
      <c r="O100" s="1307" t="n">
        <f aca="false">IF(AND($A100&gt;=O$16,MONTH($A100)=MONTH(O$16)),MAX(M100,N100)*O99,O99)</f>
        <v>1.16628704592773</v>
      </c>
      <c r="Q100" s="1303" t="n">
        <f aca="false">HLOOKUP(Q$14,Dec_Change,$L100)</f>
        <v>1.0301154037814</v>
      </c>
      <c r="R100" s="1304" t="n">
        <f aca="false">R99</f>
        <v>0</v>
      </c>
      <c r="S100" s="1307" t="n">
        <f aca="false">IF(AND($A100&gt;=S$16,MONTH($A100)=MONTH(S$16)),MAX(Q100,R100)*S99,S99)</f>
        <v>1.09811600951059</v>
      </c>
    </row>
    <row r="101" customFormat="false" ht="12.75" hidden="false" customHeight="false" outlineLevel="0" collapsed="false">
      <c r="A101" s="1305" t="n">
        <f aca="false">EDATE(A100,1)</f>
        <v>37895</v>
      </c>
      <c r="B101" s="1297" t="n">
        <f aca="false">'[3]Monthly Curve Calc.'!B104</f>
        <v>243.447989006347</v>
      </c>
      <c r="C101" s="1298" t="n">
        <f aca="false">'[3]Monthly Curve Calc.'!C104</f>
        <v>189.570323093932</v>
      </c>
      <c r="D101" s="1298" t="n">
        <f aca="false">'[3]Monthly Curve Calc.'!D104</f>
        <v>153.640571338669</v>
      </c>
      <c r="E101" s="1298" t="n">
        <f aca="false">'[3]Monthly Curve Calc.'!E104</f>
        <v>20.2479166666667</v>
      </c>
      <c r="F101" s="1299" t="n">
        <f aca="false">'[3]Monthly Curve Calc.'!F104</f>
        <v>2.18630833344516</v>
      </c>
      <c r="G101" s="1306" t="n">
        <f aca="false">IF(AND($A101&gt;G$16,MONTH($A101)=MONTH(G$16)),B100/B88,G100)</f>
        <v>1.08333076659484</v>
      </c>
      <c r="H101" s="1304" t="n">
        <f aca="false">IF(AND($A101&gt;H$16,MONTH($A101)=MONTH(H$16)),C100/C88,H100)</f>
        <v>1.0301154037814</v>
      </c>
      <c r="I101" s="1304" t="n">
        <f aca="false">IF(AND($A101&gt;I$16,MONTH($A101)=MONTH(I$16)),C100/C88-I$18,I100)</f>
        <v>1.0276154037814</v>
      </c>
      <c r="J101" s="1304" t="n">
        <f aca="false">IF(AND($A101&gt;J$16,MONTH($A101)=MONTH(J$16)),D100/D88,J100)</f>
        <v>1.03037463858207</v>
      </c>
      <c r="K101" s="1307" t="n">
        <f aca="false">IF($A101&gt;=K$16,IF(MONTH($A101)=MONTH(K$16),AVERAGE(E89:E100),K100),K100)</f>
        <v>21.8394097222222</v>
      </c>
      <c r="L101" s="1266" t="n">
        <f aca="false">L100+1</f>
        <v>89</v>
      </c>
      <c r="M101" s="1303" t="n">
        <f aca="false">HLOOKUP(M$14,Dec_Change,$L101)</f>
        <v>1.0301154037814</v>
      </c>
      <c r="N101" s="1304" t="n">
        <f aca="false">N100</f>
        <v>1.005</v>
      </c>
      <c r="O101" s="1307" t="n">
        <f aca="false">IF(AND($A101&gt;=O$16,MONTH($A101)=MONTH(O$16)),MAX(M101,N101)*O100,O100)</f>
        <v>1.16628704592773</v>
      </c>
      <c r="Q101" s="1303" t="n">
        <f aca="false">HLOOKUP(Q$14,Dec_Change,$L101)</f>
        <v>1.0301154037814</v>
      </c>
      <c r="R101" s="1304" t="n">
        <f aca="false">R100</f>
        <v>0</v>
      </c>
      <c r="S101" s="1307" t="n">
        <f aca="false">IF(AND($A101&gt;=S$16,MONTH($A101)=MONTH(S$16)),MAX(Q101,R101)*S100,S100)</f>
        <v>1.09811600951059</v>
      </c>
    </row>
    <row r="102" customFormat="false" ht="12.75" hidden="false" customHeight="false" outlineLevel="0" collapsed="false">
      <c r="A102" s="1305" t="n">
        <f aca="false">EDATE(A101,1)</f>
        <v>37926</v>
      </c>
      <c r="B102" s="1297" t="n">
        <f aca="false">'[3]Monthly Curve Calc.'!B105</f>
        <v>245.014340697834</v>
      </c>
      <c r="C102" s="1298" t="n">
        <f aca="false">'[3]Monthly Curve Calc.'!C105</f>
        <v>190.02937853069</v>
      </c>
      <c r="D102" s="1298" t="n">
        <f aca="false">'[3]Monthly Curve Calc.'!D105</f>
        <v>153.993503652806</v>
      </c>
      <c r="E102" s="1298" t="n">
        <f aca="false">'[3]Monthly Curve Calc.'!E105</f>
        <v>20.1760416666667</v>
      </c>
      <c r="F102" s="1299" t="n">
        <f aca="false">'[3]Monthly Curve Calc.'!F105</f>
        <v>2.19255560200536</v>
      </c>
      <c r="G102" s="1306" t="n">
        <f aca="false">IF(AND($A102&gt;G$16,MONTH($A102)=MONTH(G$16)),B101/B89,G101)</f>
        <v>1.08333076659484</v>
      </c>
      <c r="H102" s="1304" t="n">
        <f aca="false">IF(AND($A102&gt;H$16,MONTH($A102)=MONTH(H$16)),C101/C89,H101)</f>
        <v>1.0301154037814</v>
      </c>
      <c r="I102" s="1304" t="n">
        <f aca="false">IF(AND($A102&gt;I$16,MONTH($A102)=MONTH(I$16)),C101/C89-I$18,I101)</f>
        <v>1.0276154037814</v>
      </c>
      <c r="J102" s="1304" t="n">
        <f aca="false">IF(AND($A102&gt;J$16,MONTH($A102)=MONTH(J$16)),D101/D89,J101)</f>
        <v>1.03037463858207</v>
      </c>
      <c r="K102" s="1307" t="n">
        <f aca="false">IF($A102&gt;=K$16,IF(MONTH($A102)=MONTH(K$16),AVERAGE(E90:E101),K101),K101)</f>
        <v>21.8394097222222</v>
      </c>
      <c r="L102" s="1266" t="n">
        <f aca="false">L101+1</f>
        <v>90</v>
      </c>
      <c r="M102" s="1303" t="n">
        <f aca="false">HLOOKUP(M$14,Dec_Change,$L102)</f>
        <v>1.0301154037814</v>
      </c>
      <c r="N102" s="1304" t="n">
        <f aca="false">N101</f>
        <v>1.005</v>
      </c>
      <c r="O102" s="1307" t="n">
        <f aca="false">IF(AND($A102&gt;=O$16,MONTH($A102)=MONTH(O$16)),MAX(M102,N102)*O101,O101)</f>
        <v>1.16628704592773</v>
      </c>
      <c r="Q102" s="1303" t="n">
        <f aca="false">HLOOKUP(Q$14,Dec_Change,$L102)</f>
        <v>1.0301154037814</v>
      </c>
      <c r="R102" s="1304" t="n">
        <f aca="false">R101</f>
        <v>0</v>
      </c>
      <c r="S102" s="1307" t="n">
        <f aca="false">IF(AND($A102&gt;=S$16,MONTH($A102)=MONTH(S$16)),MAX(Q102,R102)*S101,S101)</f>
        <v>1.09811600951059</v>
      </c>
    </row>
    <row r="103" customFormat="false" ht="12.75" hidden="false" customHeight="false" outlineLevel="0" collapsed="false">
      <c r="A103" s="1305" t="n">
        <f aca="false">EDATE(A102,1)</f>
        <v>37956</v>
      </c>
      <c r="B103" s="1297" t="n">
        <f aca="false">'[3]Monthly Curve Calc.'!B106</f>
        <v>246.590770343266</v>
      </c>
      <c r="C103" s="1298" t="n">
        <f aca="false">'[3]Monthly Curve Calc.'!C106</f>
        <v>190.489545596583</v>
      </c>
      <c r="D103" s="1298" t="n">
        <f aca="false">'[3]Monthly Curve Calc.'!D106</f>
        <v>154.347246698232</v>
      </c>
      <c r="E103" s="1298" t="n">
        <f aca="false">'[3]Monthly Curve Calc.'!E106</f>
        <v>20.1041666666667</v>
      </c>
      <c r="F103" s="1299" t="n">
        <f aca="false">'[3]Monthly Curve Calc.'!F106</f>
        <v>2.19882072182829</v>
      </c>
      <c r="G103" s="1306" t="n">
        <f aca="false">IF(AND($A103&gt;G$16,MONTH($A103)=MONTH(G$16)),B102/B90,G102)</f>
        <v>1.08333076659484</v>
      </c>
      <c r="H103" s="1304" t="n">
        <f aca="false">IF(AND($A103&gt;H$16,MONTH($A103)=MONTH(H$16)),C102/C90,H102)</f>
        <v>1.0301154037814</v>
      </c>
      <c r="I103" s="1304" t="n">
        <f aca="false">IF(AND($A103&gt;I$16,MONTH($A103)=MONTH(I$16)),C102/C90-I$18,I102)</f>
        <v>1.0276154037814</v>
      </c>
      <c r="J103" s="1304" t="n">
        <f aca="false">IF(AND($A103&gt;J$16,MONTH($A103)=MONTH(J$16)),D102/D90,J102)</f>
        <v>1.03037463858207</v>
      </c>
      <c r="K103" s="1307" t="n">
        <f aca="false">IF($A103&gt;=K$16,IF(MONTH($A103)=MONTH(K$16),AVERAGE(E91:E102),K102),K102)</f>
        <v>21.8394097222222</v>
      </c>
      <c r="L103" s="1266" t="n">
        <f aca="false">L102+1</f>
        <v>91</v>
      </c>
      <c r="M103" s="1303" t="n">
        <f aca="false">HLOOKUP(M$14,Dec_Change,$L103)</f>
        <v>1.0301154037814</v>
      </c>
      <c r="N103" s="1304" t="n">
        <f aca="false">N102</f>
        <v>1.005</v>
      </c>
      <c r="O103" s="1307" t="n">
        <f aca="false">IF(AND($A103&gt;=O$16,MONTH($A103)=MONTH(O$16)),MAX(M103,N103)*O102,O102)</f>
        <v>1.16628704592773</v>
      </c>
      <c r="Q103" s="1303" t="n">
        <f aca="false">HLOOKUP(Q$14,Dec_Change,$L103)</f>
        <v>1.0301154037814</v>
      </c>
      <c r="R103" s="1304" t="n">
        <f aca="false">R102</f>
        <v>0</v>
      </c>
      <c r="S103" s="1307" t="n">
        <f aca="false">IF(AND($A103&gt;=S$16,MONTH($A103)=MONTH(S$16)),MAX(Q103,R103)*S102,S102)</f>
        <v>1.09811600951059</v>
      </c>
    </row>
    <row r="104" customFormat="false" ht="12.75" hidden="false" customHeight="false" outlineLevel="0" collapsed="false">
      <c r="A104" s="1305" t="n">
        <f aca="false">EDATE(A103,1)</f>
        <v>37987</v>
      </c>
      <c r="B104" s="1297" t="n">
        <f aca="false">'[3]Monthly Curve Calc.'!B107</f>
        <v>248.177342784504</v>
      </c>
      <c r="C104" s="1298" t="n">
        <f aca="false">'[3]Monthly Curve Calc.'!C107</f>
        <v>190.939552895467</v>
      </c>
      <c r="D104" s="1298" t="n">
        <f aca="false">'[3]Monthly Curve Calc.'!D107</f>
        <v>154.678738625621</v>
      </c>
      <c r="E104" s="1298" t="n">
        <f aca="false">'[3]Monthly Curve Calc.'!E107</f>
        <v>20.0728125</v>
      </c>
      <c r="F104" s="1299" t="n">
        <f aca="false">'[3]Monthly Curve Calc.'!F107</f>
        <v>2.20450306493358</v>
      </c>
      <c r="G104" s="1306" t="n">
        <f aca="false">IF(AND($A104&gt;G$16,MONTH($A104)=MONTH(G$16)),B103/B91,G103)</f>
        <v>1.08333076659484</v>
      </c>
      <c r="H104" s="1304" t="n">
        <f aca="false">IF(AND($A104&gt;H$16,MONTH($A104)=MONTH(H$16)),C103/C91,H103)</f>
        <v>1.0301154037814</v>
      </c>
      <c r="I104" s="1304" t="n">
        <f aca="false">IF(AND($A104&gt;I$16,MONTH($A104)=MONTH(I$16)),C103/C91-I$18,I103)</f>
        <v>1.0276154037814</v>
      </c>
      <c r="J104" s="1304" t="n">
        <f aca="false">IF(AND($A104&gt;J$16,MONTH($A104)=MONTH(J$16)),D103/D91,J103)</f>
        <v>1.02791650565236</v>
      </c>
      <c r="K104" s="1307" t="n">
        <f aca="false">IF($A104&gt;=K$16,IF(MONTH($A104)=MONTH(K$16),AVERAGE(E92:E103),K103),K103)</f>
        <v>20.4994791666667</v>
      </c>
      <c r="L104" s="1266" t="n">
        <f aca="false">L103+1</f>
        <v>92</v>
      </c>
      <c r="M104" s="1303" t="n">
        <f aca="false">HLOOKUP(M$14,Dec_Change,$L104)</f>
        <v>1.0301154037814</v>
      </c>
      <c r="N104" s="1304" t="n">
        <f aca="false">N103</f>
        <v>1.005</v>
      </c>
      <c r="O104" s="1307" t="n">
        <f aca="false">IF(AND($A104&gt;=O$16,MONTH($A104)=MONTH(O$16)),MAX(M104,N104)*O103,O103)</f>
        <v>1.16628704592773</v>
      </c>
      <c r="Q104" s="1303" t="n">
        <f aca="false">HLOOKUP(Q$14,Dec_Change,$L104)</f>
        <v>1.0301154037814</v>
      </c>
      <c r="R104" s="1304" t="n">
        <f aca="false">R103</f>
        <v>0</v>
      </c>
      <c r="S104" s="1307" t="n">
        <f aca="false">IF(AND($A104&gt;=S$16,MONTH($A104)=MONTH(S$16)),MAX(Q104,R104)*S103,S103)</f>
        <v>1.09811600951059</v>
      </c>
    </row>
    <row r="105" customFormat="false" ht="12.75" hidden="false" customHeight="false" outlineLevel="0" collapsed="false">
      <c r="A105" s="1305" t="n">
        <f aca="false">EDATE(A104,1)</f>
        <v>38018</v>
      </c>
      <c r="B105" s="1297" t="n">
        <f aca="false">'[3]Monthly Curve Calc.'!B108</f>
        <v>249.7741232806</v>
      </c>
      <c r="C105" s="1298" t="n">
        <f aca="false">'[3]Monthly Curve Calc.'!C108</f>
        <v>191.3906232793</v>
      </c>
      <c r="D105" s="1298" t="n">
        <f aca="false">'[3]Monthly Curve Calc.'!D108</f>
        <v>155.010942498964</v>
      </c>
      <c r="E105" s="1298" t="n">
        <f aca="false">'[3]Monthly Curve Calc.'!E108</f>
        <v>20.0414583333333</v>
      </c>
      <c r="F105" s="1299" t="n">
        <f aca="false">'[3]Monthly Curve Calc.'!F108</f>
        <v>2.21020009273911</v>
      </c>
      <c r="G105" s="1306" t="n">
        <f aca="false">IF(AND($A105&gt;G$16,MONTH($A105)=MONTH(G$16)),B104/B92,G104)</f>
        <v>1.08333076659484</v>
      </c>
      <c r="H105" s="1304" t="n">
        <f aca="false">IF(AND($A105&gt;H$16,MONTH($A105)=MONTH(H$16)),C104/C92,H104)</f>
        <v>1.0301154037814</v>
      </c>
      <c r="I105" s="1304" t="n">
        <f aca="false">IF(AND($A105&gt;I$16,MONTH($A105)=MONTH(I$16)),C104/C92-I$18,I104)</f>
        <v>1.0276154037814</v>
      </c>
      <c r="J105" s="1304" t="n">
        <f aca="false">IF(AND($A105&gt;J$16,MONTH($A105)=MONTH(J$16)),D104/D92,J104)</f>
        <v>1.02791650565236</v>
      </c>
      <c r="K105" s="1307" t="n">
        <f aca="false">IF($A105&gt;=K$16,IF(MONTH($A105)=MONTH(K$16),AVERAGE(E93:E104),K104),K104)</f>
        <v>20.4994791666667</v>
      </c>
      <c r="L105" s="1266" t="n">
        <f aca="false">L104+1</f>
        <v>93</v>
      </c>
      <c r="M105" s="1303" t="n">
        <f aca="false">HLOOKUP(M$14,Dec_Change,$L105)</f>
        <v>1.0301154037814</v>
      </c>
      <c r="N105" s="1304" t="n">
        <f aca="false">N104</f>
        <v>1.005</v>
      </c>
      <c r="O105" s="1307" t="n">
        <f aca="false">IF(AND($A105&gt;=O$16,MONTH($A105)=MONTH(O$16)),MAX(M105,N105)*O104,O104)</f>
        <v>1.16628704592773</v>
      </c>
      <c r="Q105" s="1303" t="n">
        <f aca="false">HLOOKUP(Q$14,Dec_Change,$L105)</f>
        <v>1.0301154037814</v>
      </c>
      <c r="R105" s="1304" t="n">
        <f aca="false">R104</f>
        <v>0</v>
      </c>
      <c r="S105" s="1307" t="n">
        <f aca="false">IF(AND($A105&gt;=S$16,MONTH($A105)=MONTH(S$16)),MAX(Q105,R105)*S104,S104)</f>
        <v>1.09811600951059</v>
      </c>
    </row>
    <row r="106" customFormat="false" ht="12.75" hidden="false" customHeight="false" outlineLevel="0" collapsed="false">
      <c r="A106" s="1305" t="n">
        <f aca="false">EDATE(A105,1)</f>
        <v>38047</v>
      </c>
      <c r="B106" s="1297" t="n">
        <f aca="false">'[3]Monthly Curve Calc.'!B109</f>
        <v>251.381177510487</v>
      </c>
      <c r="C106" s="1298" t="n">
        <f aca="false">'[3]Monthly Curve Calc.'!C109</f>
        <v>191.842759259487</v>
      </c>
      <c r="D106" s="1298" t="n">
        <f aca="false">'[3]Monthly Curve Calc.'!D109</f>
        <v>155.343859847311</v>
      </c>
      <c r="E106" s="1298" t="n">
        <f aca="false">'[3]Monthly Curve Calc.'!E109</f>
        <v>20.0101041666667</v>
      </c>
      <c r="F106" s="1299" t="n">
        <f aca="false">'[3]Monthly Curve Calc.'!F109</f>
        <v>2.21591184319408</v>
      </c>
      <c r="G106" s="1306" t="n">
        <f aca="false">IF(AND($A106&gt;G$16,MONTH($A106)=MONTH(G$16)),B105/B93,G105)</f>
        <v>1.08333076659484</v>
      </c>
      <c r="H106" s="1304" t="n">
        <f aca="false">IF(AND($A106&gt;H$16,MONTH($A106)=MONTH(H$16)),C105/C93,H105)</f>
        <v>1.0301154037814</v>
      </c>
      <c r="I106" s="1304" t="n">
        <f aca="false">IF(AND($A106&gt;I$16,MONTH($A106)=MONTH(I$16)),C105/C93-I$18,I105)</f>
        <v>1.0276154037814</v>
      </c>
      <c r="J106" s="1304" t="n">
        <f aca="false">IF(AND($A106&gt;J$16,MONTH($A106)=MONTH(J$16)),D105/D93,J105)</f>
        <v>1.02791650565236</v>
      </c>
      <c r="K106" s="1307" t="n">
        <f aca="false">IF($A106&gt;=K$16,IF(MONTH($A106)=MONTH(K$16),AVERAGE(E94:E105),K105),K105)</f>
        <v>20.4994791666667</v>
      </c>
      <c r="L106" s="1266" t="n">
        <f aca="false">L105+1</f>
        <v>94</v>
      </c>
      <c r="M106" s="1303" t="n">
        <f aca="false">HLOOKUP(M$14,Dec_Change,$L106)</f>
        <v>1.0301154037814</v>
      </c>
      <c r="N106" s="1304" t="n">
        <f aca="false">N105</f>
        <v>1.005</v>
      </c>
      <c r="O106" s="1307" t="n">
        <f aca="false">IF(AND($A106&gt;=O$16,MONTH($A106)=MONTH(O$16)),MAX(M106,N106)*O105,O105)</f>
        <v>1.16628704592773</v>
      </c>
      <c r="Q106" s="1303" t="n">
        <f aca="false">HLOOKUP(Q$14,Dec_Change,$L106)</f>
        <v>1.0301154037814</v>
      </c>
      <c r="R106" s="1304" t="n">
        <f aca="false">R105</f>
        <v>0</v>
      </c>
      <c r="S106" s="1307" t="n">
        <f aca="false">IF(AND($A106&gt;=S$16,MONTH($A106)=MONTH(S$16)),MAX(Q106,R106)*S105,S105)</f>
        <v>1.09811600951059</v>
      </c>
    </row>
    <row r="107" customFormat="false" ht="12.75" hidden="false" customHeight="false" outlineLevel="0" collapsed="false">
      <c r="A107" s="1305" t="n">
        <f aca="false">EDATE(A106,1)</f>
        <v>38078</v>
      </c>
      <c r="B107" s="1297" t="n">
        <f aca="false">'[3]Monthly Curve Calc.'!B110</f>
        <v>252.998571575677</v>
      </c>
      <c r="C107" s="1298" t="n">
        <f aca="false">'[3]Monthly Curve Calc.'!C110</f>
        <v>192.295963353362</v>
      </c>
      <c r="D107" s="1298" t="n">
        <f aca="false">'[3]Monthly Curve Calc.'!D110</f>
        <v>155.677492202992</v>
      </c>
      <c r="E107" s="1298" t="n">
        <f aca="false">'[3]Monthly Curve Calc.'!E110</f>
        <v>19.97875</v>
      </c>
      <c r="F107" s="1299" t="n">
        <f aca="false">'[3]Monthly Curve Calc.'!F110</f>
        <v>2.22163835434577</v>
      </c>
      <c r="G107" s="1306" t="n">
        <f aca="false">IF(AND($A107&gt;G$16,MONTH($A107)=MONTH(G$16)),B106/B94,G106)</f>
        <v>1.08333076659484</v>
      </c>
      <c r="H107" s="1304" t="n">
        <f aca="false">IF(AND($A107&gt;H$16,MONTH($A107)=MONTH(H$16)),C106/C94,H106)</f>
        <v>1.0301154037814</v>
      </c>
      <c r="I107" s="1304" t="n">
        <f aca="false">IF(AND($A107&gt;I$16,MONTH($A107)=MONTH(I$16)),C106/C94-I$18,I106)</f>
        <v>1.0276154037814</v>
      </c>
      <c r="J107" s="1304" t="n">
        <f aca="false">IF(AND($A107&gt;J$16,MONTH($A107)=MONTH(J$16)),D106/D94,J106)</f>
        <v>1.02791650565236</v>
      </c>
      <c r="K107" s="1307" t="n">
        <f aca="false">IF($A107&gt;=K$16,IF(MONTH($A107)=MONTH(K$16),AVERAGE(E95:E106),K106),K106)</f>
        <v>20.4994791666667</v>
      </c>
      <c r="L107" s="1266" t="n">
        <f aca="false">L106+1</f>
        <v>95</v>
      </c>
      <c r="M107" s="1303" t="n">
        <f aca="false">HLOOKUP(M$14,Dec_Change,$L107)</f>
        <v>1.0301154037814</v>
      </c>
      <c r="N107" s="1304" t="n">
        <f aca="false">N106</f>
        <v>1.005</v>
      </c>
      <c r="O107" s="1307" t="n">
        <f aca="false">IF(AND($A107&gt;=O$16,MONTH($A107)=MONTH(O$16)),MAX(M107,N107)*O106,O106)</f>
        <v>1.16628704592773</v>
      </c>
      <c r="Q107" s="1303" t="n">
        <f aca="false">HLOOKUP(Q$14,Dec_Change,$L107)</f>
        <v>1.0301154037814</v>
      </c>
      <c r="R107" s="1304" t="n">
        <f aca="false">R106</f>
        <v>0</v>
      </c>
      <c r="S107" s="1307" t="n">
        <f aca="false">IF(AND($A107&gt;=S$16,MONTH($A107)=MONTH(S$16)),MAX(Q107,R107)*S106,S106)</f>
        <v>1.09811600951059</v>
      </c>
    </row>
    <row r="108" customFormat="false" ht="12.75" hidden="false" customHeight="false" outlineLevel="0" collapsed="false">
      <c r="A108" s="1305" t="n">
        <f aca="false">EDATE(A107,1)</f>
        <v>38108</v>
      </c>
      <c r="B108" s="1297" t="n">
        <f aca="false">'[3]Monthly Curve Calc.'!B111</f>
        <v>254.626372002983</v>
      </c>
      <c r="C108" s="1298" t="n">
        <f aca="false">'[3]Monthly Curve Calc.'!C111</f>
        <v>192.750238084208</v>
      </c>
      <c r="D108" s="1298" t="n">
        <f aca="false">'[3]Monthly Curve Calc.'!D111</f>
        <v>156.01184110163</v>
      </c>
      <c r="E108" s="1298" t="n">
        <f aca="false">'[3]Monthly Curve Calc.'!E111</f>
        <v>19.9473958333333</v>
      </c>
      <c r="F108" s="1299" t="n">
        <f aca="false">'[3]Monthly Curve Calc.'!F111</f>
        <v>2.22737966433978</v>
      </c>
      <c r="G108" s="1306" t="n">
        <f aca="false">IF(AND($A108&gt;G$16,MONTH($A108)=MONTH(G$16)),B107/B95,G107)</f>
        <v>1.08</v>
      </c>
      <c r="H108" s="1304" t="n">
        <f aca="false">IF(AND($A108&gt;H$16,MONTH($A108)=MONTH(H$16)),C107/C95,H107)</f>
        <v>1.02920575040411</v>
      </c>
      <c r="I108" s="1304" t="n">
        <f aca="false">IF(AND($A108&gt;I$16,MONTH($A108)=MONTH(I$16)),C107/C95-I$18,I107)</f>
        <v>1.02670575040411</v>
      </c>
      <c r="J108" s="1304" t="n">
        <f aca="false">IF(AND($A108&gt;J$16,MONTH($A108)=MONTH(J$16)),D107/D95,J107)</f>
        <v>1.02791650565236</v>
      </c>
      <c r="K108" s="1307" t="n">
        <f aca="false">IF($A108&gt;=K$16,IF(MONTH($A108)=MONTH(K$16),AVERAGE(E96:E107),K107),K107)</f>
        <v>20.4994791666667</v>
      </c>
      <c r="L108" s="1266" t="n">
        <f aca="false">L107+1</f>
        <v>96</v>
      </c>
      <c r="M108" s="1303" t="n">
        <f aca="false">HLOOKUP(M$14,Dec_Change,$L108)</f>
        <v>1.02920575040411</v>
      </c>
      <c r="N108" s="1304" t="n">
        <f aca="false">N107</f>
        <v>1.005</v>
      </c>
      <c r="O108" s="1307" t="n">
        <f aca="false">IF(AND($A108&gt;=O$16,MONTH($A108)=MONTH(O$16)),MAX(M108,N108)*O107,O107)</f>
        <v>1.20034933429065</v>
      </c>
      <c r="Q108" s="1303" t="n">
        <f aca="false">HLOOKUP(Q$14,Dec_Change,$L108)</f>
        <v>1.02920575040411</v>
      </c>
      <c r="R108" s="1304" t="n">
        <f aca="false">R107</f>
        <v>0</v>
      </c>
      <c r="S108" s="1307" t="n">
        <f aca="false">IF(AND($A108&gt;=S$16,MONTH($A108)=MONTH(S$16)),MAX(Q108,R108)*S107,S107)</f>
        <v>1.09811600951059</v>
      </c>
    </row>
    <row r="109" customFormat="false" ht="12.75" hidden="false" customHeight="false" outlineLevel="0" collapsed="false">
      <c r="A109" s="1305" t="n">
        <f aca="false">EDATE(A108,1)</f>
        <v>38139</v>
      </c>
      <c r="B109" s="1297" t="n">
        <f aca="false">'[3]Monthly Curve Calc.'!B112</f>
        <v>256.264645747251</v>
      </c>
      <c r="C109" s="1298" t="n">
        <f aca="false">'[3]Monthly Curve Calc.'!C112</f>
        <v>193.205585981269</v>
      </c>
      <c r="D109" s="1298" t="n">
        <f aca="false">'[3]Monthly Curve Calc.'!D112</f>
        <v>156.346908082147</v>
      </c>
      <c r="E109" s="1298" t="n">
        <f aca="false">'[3]Monthly Curve Calc.'!E112</f>
        <v>19.9160416666667</v>
      </c>
      <c r="F109" s="1299" t="n">
        <f aca="false">'[3]Monthly Curve Calc.'!F112</f>
        <v>2.23313581142029</v>
      </c>
      <c r="G109" s="1306" t="n">
        <f aca="false">IF(AND($A109&gt;G$16,MONTH($A109)=MONTH(G$16)),B108/B96,G108)</f>
        <v>1.08</v>
      </c>
      <c r="H109" s="1304" t="n">
        <f aca="false">IF(AND($A109&gt;H$16,MONTH($A109)=MONTH(H$16)),C108/C96,H108)</f>
        <v>1.02920575040411</v>
      </c>
      <c r="I109" s="1304" t="n">
        <f aca="false">IF(AND($A109&gt;I$16,MONTH($A109)=MONTH(I$16)),C108/C96-I$18,I108)</f>
        <v>1.02670575040411</v>
      </c>
      <c r="J109" s="1304" t="n">
        <f aca="false">IF(AND($A109&gt;J$16,MONTH($A109)=MONTH(J$16)),D108/D96,J108)</f>
        <v>1.02791650565236</v>
      </c>
      <c r="K109" s="1307" t="n">
        <f aca="false">IF($A109&gt;=K$16,IF(MONTH($A109)=MONTH(K$16),AVERAGE(E97:E108),K108),K108)</f>
        <v>20.4994791666667</v>
      </c>
      <c r="L109" s="1266" t="n">
        <f aca="false">L108+1</f>
        <v>97</v>
      </c>
      <c r="M109" s="1303" t="n">
        <f aca="false">HLOOKUP(M$14,Dec_Change,$L109)</f>
        <v>1.02920575040411</v>
      </c>
      <c r="N109" s="1304" t="n">
        <f aca="false">N108</f>
        <v>1.005</v>
      </c>
      <c r="O109" s="1307" t="n">
        <f aca="false">IF(AND($A109&gt;=O$16,MONTH($A109)=MONTH(O$16)),MAX(M109,N109)*O108,O108)</f>
        <v>1.20034933429065</v>
      </c>
      <c r="Q109" s="1303" t="n">
        <f aca="false">HLOOKUP(Q$14,Dec_Change,$L109)</f>
        <v>1.02920575040411</v>
      </c>
      <c r="R109" s="1304" t="n">
        <f aca="false">R108</f>
        <v>0</v>
      </c>
      <c r="S109" s="1307" t="n">
        <f aca="false">IF(AND($A109&gt;=S$16,MONTH($A109)=MONTH(S$16)),MAX(Q109,R109)*S108,S108)</f>
        <v>1.13018731159912</v>
      </c>
    </row>
    <row r="110" customFormat="false" ht="12.75" hidden="false" customHeight="false" outlineLevel="0" collapsed="false">
      <c r="A110" s="1305" t="n">
        <f aca="false">EDATE(A109,1)</f>
        <v>38169</v>
      </c>
      <c r="B110" s="1297" t="n">
        <f aca="false">'[3]Monthly Curve Calc.'!B113</f>
        <v>257.913460194119</v>
      </c>
      <c r="C110" s="1298" t="n">
        <f aca="false">'[3]Monthly Curve Calc.'!C113</f>
        <v>193.662009579763</v>
      </c>
      <c r="D110" s="1298" t="n">
        <f aca="false">'[3]Monthly Curve Calc.'!D113</f>
        <v>156.682694686768</v>
      </c>
      <c r="E110" s="1298" t="n">
        <f aca="false">'[3]Monthly Curve Calc.'!E113</f>
        <v>19.8846875</v>
      </c>
      <c r="F110" s="1299" t="n">
        <f aca="false">'[3]Monthly Curve Calc.'!F113</f>
        <v>2.23890683393033</v>
      </c>
      <c r="G110" s="1306" t="n">
        <f aca="false">IF(AND($A110&gt;G$16,MONTH($A110)=MONTH(G$16)),B109/B97,G109)</f>
        <v>1.08</v>
      </c>
      <c r="H110" s="1304" t="n">
        <f aca="false">IF(AND($A110&gt;H$16,MONTH($A110)=MONTH(H$16)),C109/C97,H109)</f>
        <v>1.02920575040411</v>
      </c>
      <c r="I110" s="1304" t="n">
        <f aca="false">IF(AND($A110&gt;I$16,MONTH($A110)=MONTH(I$16)),C109/C97-I$18,I109)</f>
        <v>1.02670575040411</v>
      </c>
      <c r="J110" s="1304" t="n">
        <f aca="false">IF(AND($A110&gt;J$16,MONTH($A110)=MONTH(J$16)),D109/D97,J109)</f>
        <v>1.02791650565236</v>
      </c>
      <c r="K110" s="1307" t="n">
        <f aca="false">IF($A110&gt;=K$16,IF(MONTH($A110)=MONTH(K$16),AVERAGE(E98:E109),K109),K109)</f>
        <v>20.4994791666667</v>
      </c>
      <c r="L110" s="1266" t="n">
        <f aca="false">L109+1</f>
        <v>98</v>
      </c>
      <c r="M110" s="1303" t="n">
        <f aca="false">HLOOKUP(M$14,Dec_Change,$L110)</f>
        <v>1.02920575040411</v>
      </c>
      <c r="N110" s="1304" t="n">
        <f aca="false">N109</f>
        <v>1.005</v>
      </c>
      <c r="O110" s="1307" t="n">
        <f aca="false">IF(AND($A110&gt;=O$16,MONTH($A110)=MONTH(O$16)),MAX(M110,N110)*O109,O109)</f>
        <v>1.20034933429065</v>
      </c>
      <c r="Q110" s="1303" t="n">
        <f aca="false">HLOOKUP(Q$14,Dec_Change,$L110)</f>
        <v>1.02920575040411</v>
      </c>
      <c r="R110" s="1304" t="n">
        <f aca="false">R109</f>
        <v>0</v>
      </c>
      <c r="S110" s="1307" t="n">
        <f aca="false">IF(AND($A110&gt;=S$16,MONTH($A110)=MONTH(S$16)),MAX(Q110,R110)*S109,S109)</f>
        <v>1.13018731159912</v>
      </c>
    </row>
    <row r="111" customFormat="false" ht="12.75" hidden="false" customHeight="false" outlineLevel="0" collapsed="false">
      <c r="A111" s="1305" t="n">
        <f aca="false">EDATE(A110,1)</f>
        <v>38200</v>
      </c>
      <c r="B111" s="1297" t="n">
        <f aca="false">'[3]Monthly Curve Calc.'!B114</f>
        <v>259.572883162783</v>
      </c>
      <c r="C111" s="1298" t="n">
        <f aca="false">'[3]Monthly Curve Calc.'!C114</f>
        <v>194.119511420898</v>
      </c>
      <c r="D111" s="1298" t="n">
        <f aca="false">'[3]Monthly Curve Calc.'!D114</f>
        <v>157.019202461032</v>
      </c>
      <c r="E111" s="1298" t="n">
        <f aca="false">'[3]Monthly Curve Calc.'!E114</f>
        <v>19.8533333333333</v>
      </c>
      <c r="F111" s="1299" t="n">
        <f aca="false">'[3]Monthly Curve Calc.'!F114</f>
        <v>2.24469277031199</v>
      </c>
      <c r="G111" s="1306" t="n">
        <f aca="false">IF(AND($A111&gt;G$16,MONTH($A111)=MONTH(G$16)),B110/B98,G110)</f>
        <v>1.08</v>
      </c>
      <c r="H111" s="1304" t="n">
        <f aca="false">IF(AND($A111&gt;H$16,MONTH($A111)=MONTH(H$16)),C110/C98,H110)</f>
        <v>1.02920575040411</v>
      </c>
      <c r="I111" s="1304" t="n">
        <f aca="false">IF(AND($A111&gt;I$16,MONTH($A111)=MONTH(I$16)),C110/C98-I$18,I110)</f>
        <v>1.02670575040411</v>
      </c>
      <c r="J111" s="1304" t="n">
        <f aca="false">IF(AND($A111&gt;J$16,MONTH($A111)=MONTH(J$16)),D110/D98,J110)</f>
        <v>1.02791650565236</v>
      </c>
      <c r="K111" s="1307" t="n">
        <f aca="false">IF($A111&gt;=K$16,IF(MONTH($A111)=MONTH(K$16),AVERAGE(E99:E110),K110),K110)</f>
        <v>20.4994791666667</v>
      </c>
      <c r="L111" s="1266" t="n">
        <f aca="false">L110+1</f>
        <v>99</v>
      </c>
      <c r="M111" s="1303" t="n">
        <f aca="false">HLOOKUP(M$14,Dec_Change,$L111)</f>
        <v>1.02920575040411</v>
      </c>
      <c r="N111" s="1304" t="n">
        <f aca="false">N110</f>
        <v>1.005</v>
      </c>
      <c r="O111" s="1307" t="n">
        <f aca="false">IF(AND($A111&gt;=O$16,MONTH($A111)=MONTH(O$16)),MAX(M111,N111)*O110,O110)</f>
        <v>1.20034933429065</v>
      </c>
      <c r="Q111" s="1303" t="n">
        <f aca="false">HLOOKUP(Q$14,Dec_Change,$L111)</f>
        <v>1.02920575040411</v>
      </c>
      <c r="R111" s="1304" t="n">
        <f aca="false">R110</f>
        <v>0</v>
      </c>
      <c r="S111" s="1307" t="n">
        <f aca="false">IF(AND($A111&gt;=S$16,MONTH($A111)=MONTH(S$16)),MAX(Q111,R111)*S110,S110)</f>
        <v>1.13018731159912</v>
      </c>
    </row>
    <row r="112" customFormat="false" ht="12.75" hidden="false" customHeight="false" outlineLevel="0" collapsed="false">
      <c r="A112" s="1305" t="n">
        <f aca="false">EDATE(A111,1)</f>
        <v>38231</v>
      </c>
      <c r="B112" s="1297" t="n">
        <f aca="false">'[3]Monthly Curve Calc.'!B115</f>
        <v>261.242982908792</v>
      </c>
      <c r="C112" s="1298" t="n">
        <f aca="false">'[3]Monthly Curve Calc.'!C115</f>
        <v>194.578094051885</v>
      </c>
      <c r="D112" s="1298" t="n">
        <f aca="false">'[3]Monthly Curve Calc.'!D115</f>
        <v>157.356432953797</v>
      </c>
      <c r="E112" s="1298" t="n">
        <f aca="false">'[3]Monthly Curve Calc.'!E115</f>
        <v>19.8219791666667</v>
      </c>
      <c r="F112" s="1299" t="n">
        <f aca="false">'[3]Monthly Curve Calc.'!F115</f>
        <v>2.25049365910673</v>
      </c>
      <c r="G112" s="1306" t="n">
        <f aca="false">IF(AND($A112&gt;G$16,MONTH($A112)=MONTH(G$16)),B111/B99,G111)</f>
        <v>1.08</v>
      </c>
      <c r="H112" s="1304" t="n">
        <f aca="false">IF(AND($A112&gt;H$16,MONTH($A112)=MONTH(H$16)),C111/C99,H111)</f>
        <v>1.02920575040411</v>
      </c>
      <c r="I112" s="1304" t="n">
        <f aca="false">IF(AND($A112&gt;I$16,MONTH($A112)=MONTH(I$16)),C111/C99-I$18,I111)</f>
        <v>1.02670575040411</v>
      </c>
      <c r="J112" s="1304" t="n">
        <f aca="false">IF(AND($A112&gt;J$16,MONTH($A112)=MONTH(J$16)),D111/D99,J111)</f>
        <v>1.02791650565236</v>
      </c>
      <c r="K112" s="1307" t="n">
        <f aca="false">IF($A112&gt;=K$16,IF(MONTH($A112)=MONTH(K$16),AVERAGE(E100:E111),K111),K111)</f>
        <v>20.4994791666667</v>
      </c>
      <c r="L112" s="1266" t="n">
        <f aca="false">L111+1</f>
        <v>100</v>
      </c>
      <c r="M112" s="1303" t="n">
        <f aca="false">HLOOKUP(M$14,Dec_Change,$L112)</f>
        <v>1.02920575040411</v>
      </c>
      <c r="N112" s="1304" t="n">
        <f aca="false">N111</f>
        <v>1.005</v>
      </c>
      <c r="O112" s="1307" t="n">
        <f aca="false">IF(AND($A112&gt;=O$16,MONTH($A112)=MONTH(O$16)),MAX(M112,N112)*O111,O111)</f>
        <v>1.20034933429065</v>
      </c>
      <c r="Q112" s="1303" t="n">
        <f aca="false">HLOOKUP(Q$14,Dec_Change,$L112)</f>
        <v>1.02920575040411</v>
      </c>
      <c r="R112" s="1304" t="n">
        <f aca="false">R111</f>
        <v>0</v>
      </c>
      <c r="S112" s="1307" t="n">
        <f aca="false">IF(AND($A112&gt;=S$16,MONTH($A112)=MONTH(S$16)),MAX(Q112,R112)*S111,S111)</f>
        <v>1.13018731159912</v>
      </c>
    </row>
    <row r="113" customFormat="false" ht="12.75" hidden="false" customHeight="false" outlineLevel="0" collapsed="false">
      <c r="A113" s="1305" t="n">
        <f aca="false">EDATE(A112,1)</f>
        <v>38261</v>
      </c>
      <c r="B113" s="1297" t="n">
        <f aca="false">'[3]Monthly Curve Calc.'!B116</f>
        <v>262.923828126855</v>
      </c>
      <c r="C113" s="1298" t="n">
        <f aca="false">'[3]Monthly Curve Calc.'!C116</f>
        <v>195.037760025952</v>
      </c>
      <c r="D113" s="1298" t="n">
        <f aca="false">'[3]Monthly Curve Calc.'!D116</f>
        <v>157.694387717246</v>
      </c>
      <c r="E113" s="1298" t="n">
        <f aca="false">'[3]Monthly Curve Calc.'!E116</f>
        <v>19.790625</v>
      </c>
      <c r="F113" s="1299" t="n">
        <f aca="false">'[3]Monthly Curve Calc.'!F116</f>
        <v>2.25630953895558</v>
      </c>
      <c r="G113" s="1306" t="n">
        <f aca="false">IF(AND($A113&gt;G$16,MONTH($A113)=MONTH(G$16)),B112/B100,G112)</f>
        <v>1.08</v>
      </c>
      <c r="H113" s="1304" t="n">
        <f aca="false">IF(AND($A113&gt;H$16,MONTH($A113)=MONTH(H$16)),C112/C100,H112)</f>
        <v>1.02920575040411</v>
      </c>
      <c r="I113" s="1304" t="n">
        <f aca="false">IF(AND($A113&gt;I$16,MONTH($A113)=MONTH(I$16)),C112/C100-I$18,I112)</f>
        <v>1.02670575040411</v>
      </c>
      <c r="J113" s="1304" t="n">
        <f aca="false">IF(AND($A113&gt;J$16,MONTH($A113)=MONTH(J$16)),D112/D100,J112)</f>
        <v>1.02791650565236</v>
      </c>
      <c r="K113" s="1307" t="n">
        <f aca="false">IF($A113&gt;=K$16,IF(MONTH($A113)=MONTH(K$16),AVERAGE(E101:E112),K112),K112)</f>
        <v>20.4994791666667</v>
      </c>
      <c r="L113" s="1266" t="n">
        <f aca="false">L112+1</f>
        <v>101</v>
      </c>
      <c r="M113" s="1303" t="n">
        <f aca="false">HLOOKUP(M$14,Dec_Change,$L113)</f>
        <v>1.02920575040411</v>
      </c>
      <c r="N113" s="1304" t="n">
        <f aca="false">N112</f>
        <v>1.005</v>
      </c>
      <c r="O113" s="1307" t="n">
        <f aca="false">IF(AND($A113&gt;=O$16,MONTH($A113)=MONTH(O$16)),MAX(M113,N113)*O112,O112)</f>
        <v>1.20034933429065</v>
      </c>
      <c r="Q113" s="1303" t="n">
        <f aca="false">HLOOKUP(Q$14,Dec_Change,$L113)</f>
        <v>1.02920575040411</v>
      </c>
      <c r="R113" s="1304" t="n">
        <f aca="false">R112</f>
        <v>0</v>
      </c>
      <c r="S113" s="1307" t="n">
        <f aca="false">IF(AND($A113&gt;=S$16,MONTH($A113)=MONTH(S$16)),MAX(Q113,R113)*S112,S112)</f>
        <v>1.13018731159912</v>
      </c>
    </row>
    <row r="114" customFormat="false" ht="12.75" hidden="false" customHeight="false" outlineLevel="0" collapsed="false">
      <c r="A114" s="1305" t="n">
        <f aca="false">EDATE(A113,1)</f>
        <v>38292</v>
      </c>
      <c r="B114" s="1297" t="n">
        <f aca="false">'[3]Monthly Curve Calc.'!B117</f>
        <v>264.61548795366</v>
      </c>
      <c r="C114" s="1298" t="n">
        <f aca="false">'[3]Monthly Curve Calc.'!C117</f>
        <v>195.49851190236</v>
      </c>
      <c r="D114" s="1298" t="n">
        <f aca="false">'[3]Monthly Curve Calc.'!D117</f>
        <v>158.033068306897</v>
      </c>
      <c r="E114" s="1298" t="n">
        <f aca="false">'[3]Monthly Curve Calc.'!E117</f>
        <v>19.7592708333333</v>
      </c>
      <c r="F114" s="1299" t="n">
        <f aca="false">'[3]Monthly Curve Calc.'!F117</f>
        <v>2.26214044859947</v>
      </c>
      <c r="G114" s="1306" t="n">
        <f aca="false">IF(AND($A114&gt;G$16,MONTH($A114)=MONTH(G$16)),B113/B101,G113)</f>
        <v>1.08</v>
      </c>
      <c r="H114" s="1304" t="n">
        <f aca="false">IF(AND($A114&gt;H$16,MONTH($A114)=MONTH(H$16)),C113/C101,H113)</f>
        <v>1.02920575040411</v>
      </c>
      <c r="I114" s="1304" t="n">
        <f aca="false">IF(AND($A114&gt;I$16,MONTH($A114)=MONTH(I$16)),C113/C101-I$18,I113)</f>
        <v>1.02670575040411</v>
      </c>
      <c r="J114" s="1304" t="n">
        <f aca="false">IF(AND($A114&gt;J$16,MONTH($A114)=MONTH(J$16)),D113/D101,J113)</f>
        <v>1.02791650565236</v>
      </c>
      <c r="K114" s="1307" t="n">
        <f aca="false">IF($A114&gt;=K$16,IF(MONTH($A114)=MONTH(K$16),AVERAGE(E102:E113),K113),K113)</f>
        <v>20.4994791666667</v>
      </c>
      <c r="L114" s="1266" t="n">
        <f aca="false">L113+1</f>
        <v>102</v>
      </c>
      <c r="M114" s="1303" t="n">
        <f aca="false">HLOOKUP(M$14,Dec_Change,$L114)</f>
        <v>1.02920575040411</v>
      </c>
      <c r="N114" s="1304" t="n">
        <f aca="false">N113</f>
        <v>1.005</v>
      </c>
      <c r="O114" s="1307" t="n">
        <f aca="false">IF(AND($A114&gt;=O$16,MONTH($A114)=MONTH(O$16)),MAX(M114,N114)*O113,O113)</f>
        <v>1.20034933429065</v>
      </c>
      <c r="Q114" s="1303" t="n">
        <f aca="false">HLOOKUP(Q$14,Dec_Change,$L114)</f>
        <v>1.02920575040411</v>
      </c>
      <c r="R114" s="1304" t="n">
        <f aca="false">R113</f>
        <v>0</v>
      </c>
      <c r="S114" s="1307" t="n">
        <f aca="false">IF(AND($A114&gt;=S$16,MONTH($A114)=MONTH(S$16)),MAX(Q114,R114)*S113,S113)</f>
        <v>1.13018731159912</v>
      </c>
    </row>
    <row r="115" customFormat="false" ht="12.75" hidden="false" customHeight="false" outlineLevel="0" collapsed="false">
      <c r="A115" s="1305" t="n">
        <f aca="false">EDATE(A114,1)</f>
        <v>38322</v>
      </c>
      <c r="B115" s="1297" t="n">
        <f aca="false">'[3]Monthly Curve Calc.'!B118</f>
        <v>266.318031970727</v>
      </c>
      <c r="C115" s="1298" t="n">
        <f aca="false">'[3]Monthly Curve Calc.'!C118</f>
        <v>195.960352246414</v>
      </c>
      <c r="D115" s="1298" t="n">
        <f aca="false">'[3]Monthly Curve Calc.'!D118</f>
        <v>158.372476281609</v>
      </c>
      <c r="E115" s="1298" t="n">
        <f aca="false">'[3]Monthly Curve Calc.'!E118</f>
        <v>19.7279166666667</v>
      </c>
      <c r="F115" s="1299" t="n">
        <f aca="false">'[3]Monthly Curve Calc.'!F118</f>
        <v>2.26798642687942</v>
      </c>
      <c r="G115" s="1306" t="n">
        <f aca="false">IF(AND($A115&gt;G$16,MONTH($A115)=MONTH(G$16)),B114/B102,G114)</f>
        <v>1.08</v>
      </c>
      <c r="H115" s="1304" t="n">
        <f aca="false">IF(AND($A115&gt;H$16,MONTH($A115)=MONTH(H$16)),C114/C102,H114)</f>
        <v>1.02920575040411</v>
      </c>
      <c r="I115" s="1304" t="n">
        <f aca="false">IF(AND($A115&gt;I$16,MONTH($A115)=MONTH(I$16)),C114/C102-I$18,I114)</f>
        <v>1.02670575040411</v>
      </c>
      <c r="J115" s="1304" t="n">
        <f aca="false">IF(AND($A115&gt;J$16,MONTH($A115)=MONTH(J$16)),D114/D102,J114)</f>
        <v>1.02791650565236</v>
      </c>
      <c r="K115" s="1307" t="n">
        <f aca="false">IF($A115&gt;=K$16,IF(MONTH($A115)=MONTH(K$16),AVERAGE(E103:E114),K114),K114)</f>
        <v>20.4994791666667</v>
      </c>
      <c r="L115" s="1266" t="n">
        <f aca="false">L114+1</f>
        <v>103</v>
      </c>
      <c r="M115" s="1303" t="n">
        <f aca="false">HLOOKUP(M$14,Dec_Change,$L115)</f>
        <v>1.02920575040411</v>
      </c>
      <c r="N115" s="1304" t="n">
        <f aca="false">N114</f>
        <v>1.005</v>
      </c>
      <c r="O115" s="1307" t="n">
        <f aca="false">IF(AND($A115&gt;=O$16,MONTH($A115)=MONTH(O$16)),MAX(M115,N115)*O114,O114)</f>
        <v>1.20034933429065</v>
      </c>
      <c r="Q115" s="1303" t="n">
        <f aca="false">HLOOKUP(Q$14,Dec_Change,$L115)</f>
        <v>1.02920575040411</v>
      </c>
      <c r="R115" s="1304" t="n">
        <f aca="false">R114</f>
        <v>0</v>
      </c>
      <c r="S115" s="1307" t="n">
        <f aca="false">IF(AND($A115&gt;=S$16,MONTH($A115)=MONTH(S$16)),MAX(Q115,R115)*S114,S114)</f>
        <v>1.13018731159912</v>
      </c>
    </row>
    <row r="116" customFormat="false" ht="12.75" hidden="false" customHeight="false" outlineLevel="0" collapsed="false">
      <c r="A116" s="1305" t="n">
        <f aca="false">EDATE(A115,1)</f>
        <v>38353</v>
      </c>
      <c r="B116" s="1297" t="n">
        <f aca="false">'[3]Monthly Curve Calc.'!B119</f>
        <v>267.927902908699</v>
      </c>
      <c r="C116" s="1298" t="n">
        <f aca="false">'[3]Monthly Curve Calc.'!C119</f>
        <v>196.415326114842</v>
      </c>
      <c r="D116" s="1298" t="n">
        <f aca="false">'[3]Monthly Curve Calc.'!D119</f>
        <v>158.693481135868</v>
      </c>
      <c r="E116" s="1298" t="n">
        <f aca="false">'[3]Monthly Curve Calc.'!E119</f>
        <v>19.7182638888889</v>
      </c>
      <c r="F116" s="1299" t="n">
        <f aca="false">'[3]Monthly Curve Calc.'!F119</f>
        <v>2.27329442304836</v>
      </c>
      <c r="G116" s="1306" t="n">
        <f aca="false">IF(AND($A116&gt;G$16,MONTH($A116)=MONTH(G$16)),B115/B103,G115)</f>
        <v>1.08</v>
      </c>
      <c r="H116" s="1304" t="n">
        <f aca="false">IF(AND($A116&gt;H$16,MONTH($A116)=MONTH(H$16)),C115/C103,H115)</f>
        <v>1.02920575040411</v>
      </c>
      <c r="I116" s="1304" t="n">
        <f aca="false">IF(AND($A116&gt;I$16,MONTH($A116)=MONTH(I$16)),C115/C103-I$18,I115)</f>
        <v>1.02670575040411</v>
      </c>
      <c r="J116" s="1304" t="n">
        <f aca="false">IF(AND($A116&gt;J$16,MONTH($A116)=MONTH(J$16)),D115/D103,J115)</f>
        <v>1.02607905012551</v>
      </c>
      <c r="K116" s="1307" t="n">
        <f aca="false">IF($A116&gt;=K$16,IF(MONTH($A116)=MONTH(K$16),AVERAGE(E104:E115),K115),K115)</f>
        <v>19.9003645833333</v>
      </c>
      <c r="L116" s="1266" t="n">
        <f aca="false">L115+1</f>
        <v>104</v>
      </c>
      <c r="M116" s="1303" t="n">
        <f aca="false">HLOOKUP(M$14,Dec_Change,$L116)</f>
        <v>1.02920575040411</v>
      </c>
      <c r="N116" s="1304" t="n">
        <f aca="false">N115</f>
        <v>1.005</v>
      </c>
      <c r="O116" s="1307" t="n">
        <f aca="false">IF(AND($A116&gt;=O$16,MONTH($A116)=MONTH(O$16)),MAX(M116,N116)*O115,O115)</f>
        <v>1.20034933429065</v>
      </c>
      <c r="Q116" s="1303" t="n">
        <f aca="false">HLOOKUP(Q$14,Dec_Change,$L116)</f>
        <v>1.02920575040411</v>
      </c>
      <c r="R116" s="1304" t="n">
        <f aca="false">R115</f>
        <v>0</v>
      </c>
      <c r="S116" s="1307" t="n">
        <f aca="false">IF(AND($A116&gt;=S$16,MONTH($A116)=MONTH(S$16)),MAX(Q116,R116)*S115,S115)</f>
        <v>1.13018731159912</v>
      </c>
    </row>
    <row r="117" customFormat="false" ht="12.75" hidden="false" customHeight="false" outlineLevel="0" collapsed="false">
      <c r="A117" s="1305" t="n">
        <f aca="false">EDATE(A116,1)</f>
        <v>38384</v>
      </c>
      <c r="B117" s="1297" t="n">
        <f aca="false">'[3]Monthly Curve Calc.'!B120</f>
        <v>269.54750538613</v>
      </c>
      <c r="C117" s="1298" t="n">
        <f aca="false">'[3]Monthly Curve Calc.'!C120</f>
        <v>196.871356325631</v>
      </c>
      <c r="D117" s="1298" t="n">
        <f aca="false">'[3]Monthly Curve Calc.'!D120</f>
        <v>159.015136634221</v>
      </c>
      <c r="E117" s="1298" t="n">
        <f aca="false">'[3]Monthly Curve Calc.'!E120</f>
        <v>19.7086111111111</v>
      </c>
      <c r="F117" s="1299" t="n">
        <f aca="false">'[3]Monthly Curve Calc.'!F120</f>
        <v>2.27861484205326</v>
      </c>
      <c r="G117" s="1306" t="n">
        <f aca="false">IF(AND($A117&gt;G$16,MONTH($A117)=MONTH(G$16)),B116/B104,G116)</f>
        <v>1.08</v>
      </c>
      <c r="H117" s="1304" t="n">
        <f aca="false">IF(AND($A117&gt;H$16,MONTH($A117)=MONTH(H$16)),C116/C104,H116)</f>
        <v>1.02920575040411</v>
      </c>
      <c r="I117" s="1304" t="n">
        <f aca="false">IF(AND($A117&gt;I$16,MONTH($A117)=MONTH(I$16)),C116/C104-I$18,I116)</f>
        <v>1.02670575040411</v>
      </c>
      <c r="J117" s="1304" t="n">
        <f aca="false">IF(AND($A117&gt;J$16,MONTH($A117)=MONTH(J$16)),D116/D104,J116)</f>
        <v>1.02607905012551</v>
      </c>
      <c r="K117" s="1307" t="n">
        <f aca="false">IF($A117&gt;=K$16,IF(MONTH($A117)=MONTH(K$16),AVERAGE(E105:E116),K116),K116)</f>
        <v>19.9003645833333</v>
      </c>
      <c r="L117" s="1266" t="n">
        <f aca="false">L116+1</f>
        <v>105</v>
      </c>
      <c r="M117" s="1303" t="n">
        <f aca="false">HLOOKUP(M$14,Dec_Change,$L117)</f>
        <v>1.02920575040411</v>
      </c>
      <c r="N117" s="1304" t="n">
        <f aca="false">N116</f>
        <v>1.005</v>
      </c>
      <c r="O117" s="1307" t="n">
        <f aca="false">IF(AND($A117&gt;=O$16,MONTH($A117)=MONTH(O$16)),MAX(M117,N117)*O116,O116)</f>
        <v>1.20034933429065</v>
      </c>
      <c r="Q117" s="1303" t="n">
        <f aca="false">HLOOKUP(Q$14,Dec_Change,$L117)</f>
        <v>1.02920575040411</v>
      </c>
      <c r="R117" s="1304" t="n">
        <f aca="false">R116</f>
        <v>0</v>
      </c>
      <c r="S117" s="1307" t="n">
        <f aca="false">IF(AND($A117&gt;=S$16,MONTH($A117)=MONTH(S$16)),MAX(Q117,R117)*S116,S116)</f>
        <v>1.13018731159912</v>
      </c>
    </row>
    <row r="118" customFormat="false" ht="12.75" hidden="false" customHeight="false" outlineLevel="0" collapsed="false">
      <c r="A118" s="1305" t="n">
        <f aca="false">EDATE(A117,1)</f>
        <v>38412</v>
      </c>
      <c r="B118" s="1297" t="n">
        <f aca="false">'[3]Monthly Curve Calc.'!B121</f>
        <v>271.176898229389</v>
      </c>
      <c r="C118" s="1298" t="n">
        <f aca="false">'[3]Monthly Curve Calc.'!C121</f>
        <v>197.328445331359</v>
      </c>
      <c r="D118" s="1298" t="n">
        <f aca="false">'[3]Monthly Curve Calc.'!D121</f>
        <v>159.337444095458</v>
      </c>
      <c r="E118" s="1298" t="n">
        <f aca="false">'[3]Monthly Curve Calc.'!E121</f>
        <v>19.6989583333333</v>
      </c>
      <c r="F118" s="1299" t="n">
        <f aca="false">'[3]Monthly Curve Calc.'!F121</f>
        <v>2.28394771296852</v>
      </c>
      <c r="G118" s="1306" t="n">
        <f aca="false">IF(AND($A118&gt;G$16,MONTH($A118)=MONTH(G$16)),B117/B105,G117)</f>
        <v>1.08</v>
      </c>
      <c r="H118" s="1304" t="n">
        <f aca="false">IF(AND($A118&gt;H$16,MONTH($A118)=MONTH(H$16)),C117/C105,H117)</f>
        <v>1.02920575040411</v>
      </c>
      <c r="I118" s="1304" t="n">
        <f aca="false">IF(AND($A118&gt;I$16,MONTH($A118)=MONTH(I$16)),C117/C105-I$18,I117)</f>
        <v>1.02670575040411</v>
      </c>
      <c r="J118" s="1304" t="n">
        <f aca="false">IF(AND($A118&gt;J$16,MONTH($A118)=MONTH(J$16)),D117/D105,J117)</f>
        <v>1.02607905012551</v>
      </c>
      <c r="K118" s="1307" t="n">
        <f aca="false">IF($A118&gt;=K$16,IF(MONTH($A118)=MONTH(K$16),AVERAGE(E106:E117),K117),K117)</f>
        <v>19.9003645833333</v>
      </c>
      <c r="L118" s="1266" t="n">
        <f aca="false">L117+1</f>
        <v>106</v>
      </c>
      <c r="M118" s="1303" t="n">
        <f aca="false">HLOOKUP(M$14,Dec_Change,$L118)</f>
        <v>1.02920575040411</v>
      </c>
      <c r="N118" s="1304" t="n">
        <f aca="false">N117</f>
        <v>1.005</v>
      </c>
      <c r="O118" s="1307" t="n">
        <f aca="false">IF(AND($A118&gt;=O$16,MONTH($A118)=MONTH(O$16)),MAX(M118,N118)*O117,O117)</f>
        <v>1.20034933429065</v>
      </c>
      <c r="Q118" s="1303" t="n">
        <f aca="false">HLOOKUP(Q$14,Dec_Change,$L118)</f>
        <v>1.02920575040411</v>
      </c>
      <c r="R118" s="1304" t="n">
        <f aca="false">R117</f>
        <v>0</v>
      </c>
      <c r="S118" s="1307" t="n">
        <f aca="false">IF(AND($A118&gt;=S$16,MONTH($A118)=MONTH(S$16)),MAX(Q118,R118)*S117,S117)</f>
        <v>1.13018731159912</v>
      </c>
    </row>
    <row r="119" customFormat="false" ht="12.75" hidden="false" customHeight="false" outlineLevel="0" collapsed="false">
      <c r="A119" s="1305" t="n">
        <f aca="false">EDATE(A118,1)</f>
        <v>38443</v>
      </c>
      <c r="B119" s="1297" t="n">
        <f aca="false">'[3]Monthly Curve Calc.'!B122</f>
        <v>272.816140620445</v>
      </c>
      <c r="C119" s="1298" t="n">
        <f aca="false">'[3]Monthly Curve Calc.'!C122</f>
        <v>197.786595590298</v>
      </c>
      <c r="D119" s="1298" t="n">
        <f aca="false">'[3]Monthly Curve Calc.'!D122</f>
        <v>159.660404841042</v>
      </c>
      <c r="E119" s="1298" t="n">
        <f aca="false">'[3]Monthly Curve Calc.'!E122</f>
        <v>19.6893055555556</v>
      </c>
      <c r="F119" s="1299" t="n">
        <f aca="false">'[3]Monthly Curve Calc.'!F122</f>
        <v>2.2892930649366</v>
      </c>
      <c r="G119" s="1306" t="n">
        <f aca="false">IF(AND($A119&gt;G$16,MONTH($A119)=MONTH(G$16)),B118/B106,G118)</f>
        <v>1.08</v>
      </c>
      <c r="H119" s="1304" t="n">
        <f aca="false">IF(AND($A119&gt;H$16,MONTH($A119)=MONTH(H$16)),C118/C106,H118)</f>
        <v>1.02920575040411</v>
      </c>
      <c r="I119" s="1304" t="n">
        <f aca="false">IF(AND($A119&gt;I$16,MONTH($A119)=MONTH(I$16)),C118/C106-I$18,I118)</f>
        <v>1.02670575040411</v>
      </c>
      <c r="J119" s="1304" t="n">
        <f aca="false">IF(AND($A119&gt;J$16,MONTH($A119)=MONTH(J$16)),D118/D106,J118)</f>
        <v>1.02607905012551</v>
      </c>
      <c r="K119" s="1307" t="n">
        <f aca="false">IF($A119&gt;=K$16,IF(MONTH($A119)=MONTH(K$16),AVERAGE(E107:E118),K118),K118)</f>
        <v>19.9003645833333</v>
      </c>
      <c r="L119" s="1266" t="n">
        <f aca="false">L118+1</f>
        <v>107</v>
      </c>
      <c r="M119" s="1303" t="n">
        <f aca="false">HLOOKUP(M$14,Dec_Change,$L119)</f>
        <v>1.02920575040411</v>
      </c>
      <c r="N119" s="1304" t="n">
        <f aca="false">N118</f>
        <v>1.005</v>
      </c>
      <c r="O119" s="1307" t="n">
        <f aca="false">IF(AND($A119&gt;=O$16,MONTH($A119)=MONTH(O$16)),MAX(M119,N119)*O118,O118)</f>
        <v>1.20034933429065</v>
      </c>
      <c r="Q119" s="1303" t="n">
        <f aca="false">HLOOKUP(Q$14,Dec_Change,$L119)</f>
        <v>1.02920575040411</v>
      </c>
      <c r="R119" s="1304" t="n">
        <f aca="false">R118</f>
        <v>0</v>
      </c>
      <c r="S119" s="1307" t="n">
        <f aca="false">IF(AND($A119&gt;=S$16,MONTH($A119)=MONTH(S$16)),MAX(Q119,R119)*S118,S118)</f>
        <v>1.13018731159912</v>
      </c>
    </row>
    <row r="120" customFormat="false" ht="12.75" hidden="false" customHeight="false" outlineLevel="0" collapsed="false">
      <c r="A120" s="1305" t="n">
        <f aca="false">EDATE(A119,1)</f>
        <v>38473</v>
      </c>
      <c r="B120" s="1297" t="n">
        <f aca="false">'[3]Monthly Curve Calc.'!B123</f>
        <v>274.465292099015</v>
      </c>
      <c r="C120" s="1298" t="n">
        <f aca="false">'[3]Monthly Curve Calc.'!C123</f>
        <v>198.245809566429</v>
      </c>
      <c r="D120" s="1298" t="n">
        <f aca="false">'[3]Monthly Curve Calc.'!D123</f>
        <v>159.984020195112</v>
      </c>
      <c r="E120" s="1298" t="n">
        <f aca="false">'[3]Monthly Curve Calc.'!E123</f>
        <v>19.6796527777778</v>
      </c>
      <c r="F120" s="1299" t="n">
        <f aca="false">'[3]Monthly Curve Calc.'!F123</f>
        <v>2.29465092716816</v>
      </c>
      <c r="G120" s="1306" t="n">
        <f aca="false">IF(AND($A120&gt;G$16,MONTH($A120)=MONTH(G$16)),B119/B107,G119)</f>
        <v>1.07833075468112</v>
      </c>
      <c r="H120" s="1304" t="n">
        <f aca="false">IF(AND($A120&gt;H$16,MONTH($A120)=MONTH(H$16)),C119/C107,H119)</f>
        <v>1.02855302909737</v>
      </c>
      <c r="I120" s="1304" t="n">
        <f aca="false">IF(AND($A120&gt;I$16,MONTH($A120)=MONTH(I$16)),C119/C107-I$18,I119)</f>
        <v>1.02605302909737</v>
      </c>
      <c r="J120" s="1304" t="n">
        <f aca="false">IF(AND($A120&gt;J$16,MONTH($A120)=MONTH(J$16)),D119/D107,J119)</f>
        <v>1.02607905012551</v>
      </c>
      <c r="K120" s="1307" t="n">
        <f aca="false">IF($A120&gt;=K$16,IF(MONTH($A120)=MONTH(K$16),AVERAGE(E108:E119),K119),K119)</f>
        <v>19.9003645833333</v>
      </c>
      <c r="L120" s="1266" t="n">
        <f aca="false">L119+1</f>
        <v>108</v>
      </c>
      <c r="M120" s="1303" t="n">
        <f aca="false">HLOOKUP(M$14,Dec_Change,$L120)</f>
        <v>1.02855302909737</v>
      </c>
      <c r="N120" s="1304" t="n">
        <f aca="false">N119</f>
        <v>1.005</v>
      </c>
      <c r="O120" s="1307" t="n">
        <f aca="false">IF(AND($A120&gt;=O$16,MONTH($A120)=MONTH(O$16)),MAX(M120,N120)*O119,O119)</f>
        <v>1.23462294375966</v>
      </c>
      <c r="Q120" s="1303" t="n">
        <f aca="false">HLOOKUP(Q$14,Dec_Change,$L120)</f>
        <v>1.02855302909737</v>
      </c>
      <c r="R120" s="1304" t="n">
        <f aca="false">R119</f>
        <v>0</v>
      </c>
      <c r="S120" s="1307" t="n">
        <f aca="false">IF(AND($A120&gt;=S$16,MONTH($A120)=MONTH(S$16)),MAX(Q120,R120)*S119,S119)</f>
        <v>1.13018731159912</v>
      </c>
    </row>
    <row r="121" customFormat="false" ht="12.75" hidden="false" customHeight="false" outlineLevel="0" collapsed="false">
      <c r="A121" s="1305" t="n">
        <f aca="false">EDATE(A120,1)</f>
        <v>38504</v>
      </c>
      <c r="B121" s="1297" t="n">
        <f aca="false">'[3]Monthly Curve Calc.'!B124</f>
        <v>276.124412564732</v>
      </c>
      <c r="C121" s="1298" t="n">
        <f aca="false">'[3]Monthly Curve Calc.'!C124</f>
        <v>198.706089729453</v>
      </c>
      <c r="D121" s="1298" t="n">
        <f aca="false">'[3]Monthly Curve Calc.'!D124</f>
        <v>160.308291484494</v>
      </c>
      <c r="E121" s="1298" t="n">
        <f aca="false">'[3]Monthly Curve Calc.'!E124</f>
        <v>19.67</v>
      </c>
      <c r="F121" s="1299" t="n">
        <f aca="false">'[3]Monthly Curve Calc.'!F124</f>
        <v>2.30002132894223</v>
      </c>
      <c r="G121" s="1306" t="n">
        <f aca="false">IF(AND($A121&gt;G$16,MONTH($A121)=MONTH(G$16)),B120/B108,G120)</f>
        <v>1.07833075468112</v>
      </c>
      <c r="H121" s="1304" t="n">
        <f aca="false">IF(AND($A121&gt;H$16,MONTH($A121)=MONTH(H$16)),C120/C108,H120)</f>
        <v>1.02855302909737</v>
      </c>
      <c r="I121" s="1304" t="n">
        <f aca="false">IF(AND($A121&gt;I$16,MONTH($A121)=MONTH(I$16)),C120/C108-I$18,I120)</f>
        <v>1.02605302909737</v>
      </c>
      <c r="J121" s="1304" t="n">
        <f aca="false">IF(AND($A121&gt;J$16,MONTH($A121)=MONTH(J$16)),D120/D108,J120)</f>
        <v>1.02607905012551</v>
      </c>
      <c r="K121" s="1307" t="n">
        <f aca="false">IF($A121&gt;=K$16,IF(MONTH($A121)=MONTH(K$16),AVERAGE(E109:E120),K120),K120)</f>
        <v>19.9003645833333</v>
      </c>
      <c r="L121" s="1266" t="n">
        <f aca="false">L120+1</f>
        <v>109</v>
      </c>
      <c r="M121" s="1303" t="n">
        <f aca="false">HLOOKUP(M$14,Dec_Change,$L121)</f>
        <v>1.02855302909737</v>
      </c>
      <c r="N121" s="1304" t="n">
        <f aca="false">N120</f>
        <v>1.005</v>
      </c>
      <c r="O121" s="1307" t="n">
        <f aca="false">IF(AND($A121&gt;=O$16,MONTH($A121)=MONTH(O$16)),MAX(M121,N121)*O120,O120)</f>
        <v>1.23462294375966</v>
      </c>
      <c r="Q121" s="1303" t="n">
        <f aca="false">HLOOKUP(Q$14,Dec_Change,$L121)</f>
        <v>1.02855302909737</v>
      </c>
      <c r="R121" s="1304" t="n">
        <f aca="false">R120</f>
        <v>0</v>
      </c>
      <c r="S121" s="1307" t="n">
        <f aca="false">IF(AND($A121&gt;=S$16,MONTH($A121)=MONTH(S$16)),MAX(Q121,R121)*S120,S120)</f>
        <v>1.16245758279269</v>
      </c>
    </row>
    <row r="122" customFormat="false" ht="12.75" hidden="false" customHeight="false" outlineLevel="0" collapsed="false">
      <c r="A122" s="1305" t="n">
        <f aca="false">EDATE(A121,1)</f>
        <v>38534</v>
      </c>
      <c r="B122" s="1297" t="n">
        <f aca="false">'[3]Monthly Curve Calc.'!B125</f>
        <v>277.793562279316</v>
      </c>
      <c r="C122" s="1298" t="n">
        <f aca="false">'[3]Monthly Curve Calc.'!C125</f>
        <v>199.167438554806</v>
      </c>
      <c r="D122" s="1298" t="n">
        <f aca="false">'[3]Monthly Curve Calc.'!D125</f>
        <v>160.633220038701</v>
      </c>
      <c r="E122" s="1298" t="n">
        <f aca="false">'[3]Monthly Curve Calc.'!E125</f>
        <v>19.6603472222222</v>
      </c>
      <c r="F122" s="1299" t="n">
        <f aca="false">'[3]Monthly Curve Calc.'!F125</f>
        <v>2.30540429960635</v>
      </c>
      <c r="G122" s="1306" t="n">
        <f aca="false">IF(AND($A122&gt;G$16,MONTH($A122)=MONTH(G$16)),B121/B109,G121)</f>
        <v>1.07833075468112</v>
      </c>
      <c r="H122" s="1304" t="n">
        <f aca="false">IF(AND($A122&gt;H$16,MONTH($A122)=MONTH(H$16)),C121/C109,H121)</f>
        <v>1.02855302909737</v>
      </c>
      <c r="I122" s="1304" t="n">
        <f aca="false">IF(AND($A122&gt;I$16,MONTH($A122)=MONTH(I$16)),C121/C109-I$18,I121)</f>
        <v>1.02605302909737</v>
      </c>
      <c r="J122" s="1304" t="n">
        <f aca="false">IF(AND($A122&gt;J$16,MONTH($A122)=MONTH(J$16)),D121/D109,J121)</f>
        <v>1.02607905012551</v>
      </c>
      <c r="K122" s="1307" t="n">
        <f aca="false">IF($A122&gt;=K$16,IF(MONTH($A122)=MONTH(K$16),AVERAGE(E110:E121),K121),K121)</f>
        <v>19.9003645833333</v>
      </c>
      <c r="L122" s="1266" t="n">
        <f aca="false">L121+1</f>
        <v>110</v>
      </c>
      <c r="M122" s="1303" t="n">
        <f aca="false">HLOOKUP(M$14,Dec_Change,$L122)</f>
        <v>1.02855302909737</v>
      </c>
      <c r="N122" s="1304" t="n">
        <f aca="false">N121</f>
        <v>1.005</v>
      </c>
      <c r="O122" s="1307" t="n">
        <f aca="false">IF(AND($A122&gt;=O$16,MONTH($A122)=MONTH(O$16)),MAX(M122,N122)*O121,O121)</f>
        <v>1.23462294375966</v>
      </c>
      <c r="Q122" s="1303" t="n">
        <f aca="false">HLOOKUP(Q$14,Dec_Change,$L122)</f>
        <v>1.02855302909737</v>
      </c>
      <c r="R122" s="1304" t="n">
        <f aca="false">R121</f>
        <v>0</v>
      </c>
      <c r="S122" s="1307" t="n">
        <f aca="false">IF(AND($A122&gt;=S$16,MONTH($A122)=MONTH(S$16)),MAX(Q122,R122)*S121,S121)</f>
        <v>1.16245758279269</v>
      </c>
    </row>
    <row r="123" customFormat="false" ht="12.75" hidden="false" customHeight="false" outlineLevel="0" collapsed="false">
      <c r="A123" s="1305" t="n">
        <f aca="false">EDATE(A122,1)</f>
        <v>38565</v>
      </c>
      <c r="B123" s="1297" t="n">
        <f aca="false">'[3]Monthly Curve Calc.'!B126</f>
        <v>279.472801868764</v>
      </c>
      <c r="C123" s="1298" t="n">
        <f aca="false">'[3]Monthly Curve Calc.'!C126</f>
        <v>199.62985852367</v>
      </c>
      <c r="D123" s="1298" t="n">
        <f aca="false">'[3]Monthly Curve Calc.'!D126</f>
        <v>160.958807189943</v>
      </c>
      <c r="E123" s="1298" t="n">
        <f aca="false">'[3]Monthly Curve Calc.'!E126</f>
        <v>19.6506944444445</v>
      </c>
      <c r="F123" s="1299" t="n">
        <f aca="false">'[3]Monthly Curve Calc.'!F126</f>
        <v>2.31079986857675</v>
      </c>
      <c r="G123" s="1306" t="n">
        <f aca="false">IF(AND($A123&gt;G$16,MONTH($A123)=MONTH(G$16)),B122/B110,G122)</f>
        <v>1.07833075468112</v>
      </c>
      <c r="H123" s="1304" t="n">
        <f aca="false">IF(AND($A123&gt;H$16,MONTH($A123)=MONTH(H$16)),C122/C110,H122)</f>
        <v>1.02855302909737</v>
      </c>
      <c r="I123" s="1304" t="n">
        <f aca="false">IF(AND($A123&gt;I$16,MONTH($A123)=MONTH(I$16)),C122/C110-I$18,I122)</f>
        <v>1.02605302909737</v>
      </c>
      <c r="J123" s="1304" t="n">
        <f aca="false">IF(AND($A123&gt;J$16,MONTH($A123)=MONTH(J$16)),D122/D110,J122)</f>
        <v>1.02607905012551</v>
      </c>
      <c r="K123" s="1307" t="n">
        <f aca="false">IF($A123&gt;=K$16,IF(MONTH($A123)=MONTH(K$16),AVERAGE(E111:E122),K122),K122)</f>
        <v>19.9003645833333</v>
      </c>
      <c r="L123" s="1266" t="n">
        <f aca="false">L122+1</f>
        <v>111</v>
      </c>
      <c r="M123" s="1303" t="n">
        <f aca="false">HLOOKUP(M$14,Dec_Change,$L123)</f>
        <v>1.02855302909737</v>
      </c>
      <c r="N123" s="1304" t="n">
        <f aca="false">N122</f>
        <v>1.005</v>
      </c>
      <c r="O123" s="1307" t="n">
        <f aca="false">IF(AND($A123&gt;=O$16,MONTH($A123)=MONTH(O$16)),MAX(M123,N123)*O122,O122)</f>
        <v>1.23462294375966</v>
      </c>
      <c r="Q123" s="1303" t="n">
        <f aca="false">HLOOKUP(Q$14,Dec_Change,$L123)</f>
        <v>1.02855302909737</v>
      </c>
      <c r="R123" s="1304" t="n">
        <f aca="false">R122</f>
        <v>0</v>
      </c>
      <c r="S123" s="1307" t="n">
        <f aca="false">IF(AND($A123&gt;=S$16,MONTH($A123)=MONTH(S$16)),MAX(Q123,R123)*S122,S122)</f>
        <v>1.16245758279269</v>
      </c>
    </row>
    <row r="124" customFormat="false" ht="12.75" hidden="false" customHeight="false" outlineLevel="0" collapsed="false">
      <c r="A124" s="1305" t="n">
        <f aca="false">EDATE(A123,1)</f>
        <v>38596</v>
      </c>
      <c r="B124" s="1297" t="n">
        <f aca="false">'[3]Monthly Curve Calc.'!B127</f>
        <v>281.162192325553</v>
      </c>
      <c r="C124" s="1298" t="n">
        <f aca="false">'[3]Monthly Curve Calc.'!C127</f>
        <v>200.093352122988</v>
      </c>
      <c r="D124" s="1298" t="n">
        <f aca="false">'[3]Monthly Curve Calc.'!D127</f>
        <v>161.285054273128</v>
      </c>
      <c r="E124" s="1298" t="n">
        <f aca="false">'[3]Monthly Curve Calc.'!E127</f>
        <v>19.6410416666667</v>
      </c>
      <c r="F124" s="1299" t="n">
        <f aca="false">'[3]Monthly Curve Calc.'!F127</f>
        <v>2.31620806533853</v>
      </c>
      <c r="G124" s="1306" t="n">
        <f aca="false">IF(AND($A124&gt;G$16,MONTH($A124)=MONTH(G$16)),B123/B111,G123)</f>
        <v>1.07833075468112</v>
      </c>
      <c r="H124" s="1304" t="n">
        <f aca="false">IF(AND($A124&gt;H$16,MONTH($A124)=MONTH(H$16)),C123/C111,H123)</f>
        <v>1.02855302909737</v>
      </c>
      <c r="I124" s="1304" t="n">
        <f aca="false">IF(AND($A124&gt;I$16,MONTH($A124)=MONTH(I$16)),C123/C111-I$18,I123)</f>
        <v>1.02605302909737</v>
      </c>
      <c r="J124" s="1304" t="n">
        <f aca="false">IF(AND($A124&gt;J$16,MONTH($A124)=MONTH(J$16)),D123/D111,J123)</f>
        <v>1.02607905012551</v>
      </c>
      <c r="K124" s="1307" t="n">
        <f aca="false">IF($A124&gt;=K$16,IF(MONTH($A124)=MONTH(K$16),AVERAGE(E112:E123),K123),K123)</f>
        <v>19.9003645833333</v>
      </c>
      <c r="L124" s="1266" t="n">
        <f aca="false">L123+1</f>
        <v>112</v>
      </c>
      <c r="M124" s="1303" t="n">
        <f aca="false">HLOOKUP(M$14,Dec_Change,$L124)</f>
        <v>1.02855302909737</v>
      </c>
      <c r="N124" s="1304" t="n">
        <f aca="false">N123</f>
        <v>1.005</v>
      </c>
      <c r="O124" s="1307" t="n">
        <f aca="false">IF(AND($A124&gt;=O$16,MONTH($A124)=MONTH(O$16)),MAX(M124,N124)*O123,O123)</f>
        <v>1.23462294375966</v>
      </c>
      <c r="Q124" s="1303" t="n">
        <f aca="false">HLOOKUP(Q$14,Dec_Change,$L124)</f>
        <v>1.02855302909737</v>
      </c>
      <c r="R124" s="1304" t="n">
        <f aca="false">R123</f>
        <v>0</v>
      </c>
      <c r="S124" s="1307" t="n">
        <f aca="false">IF(AND($A124&gt;=S$16,MONTH($A124)=MONTH(S$16)),MAX(Q124,R124)*S123,S123)</f>
        <v>1.16245758279269</v>
      </c>
    </row>
    <row r="125" customFormat="false" ht="12.75" hidden="false" customHeight="false" outlineLevel="0" collapsed="false">
      <c r="A125" s="1305" t="n">
        <f aca="false">EDATE(A124,1)</f>
        <v>38626</v>
      </c>
      <c r="B125" s="1297" t="n">
        <f aca="false">'[3]Monthly Curve Calc.'!B128</f>
        <v>282.861795010853</v>
      </c>
      <c r="C125" s="1298" t="n">
        <f aca="false">'[3]Monthly Curve Calc.'!C128</f>
        <v>200.557921845479</v>
      </c>
      <c r="D125" s="1298" t="n">
        <f aca="false">'[3]Monthly Curve Calc.'!D128</f>
        <v>161.611962625871</v>
      </c>
      <c r="E125" s="1298" t="n">
        <f aca="false">'[3]Monthly Curve Calc.'!E128</f>
        <v>19.6313888888889</v>
      </c>
      <c r="F125" s="1299" t="n">
        <f aca="false">'[3]Monthly Curve Calc.'!F128</f>
        <v>2.32162891944576</v>
      </c>
      <c r="G125" s="1306" t="n">
        <f aca="false">IF(AND($A125&gt;G$16,MONTH($A125)=MONTH(G$16)),B124/B112,G124)</f>
        <v>1.07833075468112</v>
      </c>
      <c r="H125" s="1304" t="n">
        <f aca="false">IF(AND($A125&gt;H$16,MONTH($A125)=MONTH(H$16)),C124/C112,H124)</f>
        <v>1.02855302909737</v>
      </c>
      <c r="I125" s="1304" t="n">
        <f aca="false">IF(AND($A125&gt;I$16,MONTH($A125)=MONTH(I$16)),C124/C112-I$18,I124)</f>
        <v>1.02605302909737</v>
      </c>
      <c r="J125" s="1304" t="n">
        <f aca="false">IF(AND($A125&gt;J$16,MONTH($A125)=MONTH(J$16)),D124/D112,J124)</f>
        <v>1.02607905012551</v>
      </c>
      <c r="K125" s="1307" t="n">
        <f aca="false">IF($A125&gt;=K$16,IF(MONTH($A125)=MONTH(K$16),AVERAGE(E113:E124),K124),K124)</f>
        <v>19.9003645833333</v>
      </c>
      <c r="L125" s="1266" t="n">
        <f aca="false">L124+1</f>
        <v>113</v>
      </c>
      <c r="M125" s="1303" t="n">
        <f aca="false">HLOOKUP(M$14,Dec_Change,$L125)</f>
        <v>1.02855302909737</v>
      </c>
      <c r="N125" s="1304" t="n">
        <f aca="false">N124</f>
        <v>1.005</v>
      </c>
      <c r="O125" s="1307" t="n">
        <f aca="false">IF(AND($A125&gt;=O$16,MONTH($A125)=MONTH(O$16)),MAX(M125,N125)*O124,O124)</f>
        <v>1.23462294375966</v>
      </c>
      <c r="Q125" s="1303" t="n">
        <f aca="false">HLOOKUP(Q$14,Dec_Change,$L125)</f>
        <v>1.02855302909737</v>
      </c>
      <c r="R125" s="1304" t="n">
        <f aca="false">R124</f>
        <v>0</v>
      </c>
      <c r="S125" s="1307" t="n">
        <f aca="false">IF(AND($A125&gt;=S$16,MONTH($A125)=MONTH(S$16)),MAX(Q125,R125)*S124,S124)</f>
        <v>1.16245758279269</v>
      </c>
    </row>
    <row r="126" customFormat="false" ht="12.75" hidden="false" customHeight="false" outlineLevel="0" collapsed="false">
      <c r="A126" s="1305" t="n">
        <f aca="false">EDATE(A125,1)</f>
        <v>38657</v>
      </c>
      <c r="B126" s="1297" t="n">
        <f aca="false">'[3]Monthly Curve Calc.'!B129</f>
        <v>284.571671656759</v>
      </c>
      <c r="C126" s="1298" t="n">
        <f aca="false">'[3]Monthly Curve Calc.'!C129</f>
        <v>201.023570189647</v>
      </c>
      <c r="D126" s="1298" t="n">
        <f aca="false">'[3]Monthly Curve Calc.'!D129</f>
        <v>161.939533588498</v>
      </c>
      <c r="E126" s="1298" t="n">
        <f aca="false">'[3]Monthly Curve Calc.'!E129</f>
        <v>19.6217361111111</v>
      </c>
      <c r="F126" s="1299" t="n">
        <f aca="false">'[3]Monthly Curve Calc.'!F129</f>
        <v>2.3270624605217</v>
      </c>
      <c r="G126" s="1306" t="n">
        <f aca="false">IF(AND($A126&gt;G$16,MONTH($A126)=MONTH(G$16)),B125/B113,G125)</f>
        <v>1.07833075468112</v>
      </c>
      <c r="H126" s="1304" t="n">
        <f aca="false">IF(AND($A126&gt;H$16,MONTH($A126)=MONTH(H$16)),C125/C113,H125)</f>
        <v>1.02855302909737</v>
      </c>
      <c r="I126" s="1304" t="n">
        <f aca="false">IF(AND($A126&gt;I$16,MONTH($A126)=MONTH(I$16)),C125/C113-I$18,I125)</f>
        <v>1.02605302909737</v>
      </c>
      <c r="J126" s="1304" t="n">
        <f aca="false">IF(AND($A126&gt;J$16,MONTH($A126)=MONTH(J$16)),D125/D113,J125)</f>
        <v>1.02607905012551</v>
      </c>
      <c r="K126" s="1307" t="n">
        <f aca="false">IF($A126&gt;=K$16,IF(MONTH($A126)=MONTH(K$16),AVERAGE(E114:E125),K125),K125)</f>
        <v>19.9003645833333</v>
      </c>
      <c r="L126" s="1266" t="n">
        <f aca="false">L125+1</f>
        <v>114</v>
      </c>
      <c r="M126" s="1303" t="n">
        <f aca="false">HLOOKUP(M$14,Dec_Change,$L126)</f>
        <v>1.02855302909737</v>
      </c>
      <c r="N126" s="1304" t="n">
        <f aca="false">N125</f>
        <v>1.005</v>
      </c>
      <c r="O126" s="1307" t="n">
        <f aca="false">IF(AND($A126&gt;=O$16,MONTH($A126)=MONTH(O$16)),MAX(M126,N126)*O125,O125)</f>
        <v>1.23462294375966</v>
      </c>
      <c r="Q126" s="1303" t="n">
        <f aca="false">HLOOKUP(Q$14,Dec_Change,$L126)</f>
        <v>1.02855302909737</v>
      </c>
      <c r="R126" s="1304" t="n">
        <f aca="false">R125</f>
        <v>0</v>
      </c>
      <c r="S126" s="1307" t="n">
        <f aca="false">IF(AND($A126&gt;=S$16,MONTH($A126)=MONTH(S$16)),MAX(Q126,R126)*S125,S125)</f>
        <v>1.16245758279269</v>
      </c>
    </row>
    <row r="127" customFormat="false" ht="12.75" hidden="false" customHeight="false" outlineLevel="0" collapsed="false">
      <c r="A127" s="1305" t="n">
        <f aca="false">EDATE(A126,1)</f>
        <v>38687</v>
      </c>
      <c r="B127" s="1297" t="n">
        <f aca="false">'[3]Monthly Curve Calc.'!B130</f>
        <v>286.291884368532</v>
      </c>
      <c r="C127" s="1298" t="n">
        <f aca="false">'[3]Monthly Curve Calc.'!C130</f>
        <v>201.490299659798</v>
      </c>
      <c r="D127" s="1298" t="n">
        <f aca="false">'[3]Monthly Curve Calc.'!D130</f>
        <v>162.267768504052</v>
      </c>
      <c r="E127" s="1298" t="n">
        <f aca="false">'[3]Monthly Curve Calc.'!E130</f>
        <v>19.6120833333333</v>
      </c>
      <c r="F127" s="1299" t="n">
        <f aca="false">'[3]Monthly Curve Calc.'!F130</f>
        <v>2.33250871825894</v>
      </c>
      <c r="G127" s="1306" t="n">
        <f aca="false">IF(AND($A127&gt;G$16,MONTH($A127)=MONTH(G$16)),B126/B114,G126)</f>
        <v>1.07833075468112</v>
      </c>
      <c r="H127" s="1304" t="n">
        <f aca="false">IF(AND($A127&gt;H$16,MONTH($A127)=MONTH(H$16)),C126/C114,H126)</f>
        <v>1.02855302909737</v>
      </c>
      <c r="I127" s="1304" t="n">
        <f aca="false">IF(AND($A127&gt;I$16,MONTH($A127)=MONTH(I$16)),C126/C114-I$18,I126)</f>
        <v>1.02605302909737</v>
      </c>
      <c r="J127" s="1304" t="n">
        <f aca="false">IF(AND($A127&gt;J$16,MONTH($A127)=MONTH(J$16)),D126/D114,J126)</f>
        <v>1.02607905012551</v>
      </c>
      <c r="K127" s="1307" t="n">
        <f aca="false">IF($A127&gt;=K$16,IF(MONTH($A127)=MONTH(K$16),AVERAGE(E115:E126),K126),K126)</f>
        <v>19.9003645833333</v>
      </c>
      <c r="L127" s="1266" t="n">
        <f aca="false">L126+1</f>
        <v>115</v>
      </c>
      <c r="M127" s="1303" t="n">
        <f aca="false">HLOOKUP(M$14,Dec_Change,$L127)</f>
        <v>1.02855302909737</v>
      </c>
      <c r="N127" s="1304" t="n">
        <f aca="false">N126</f>
        <v>1.005</v>
      </c>
      <c r="O127" s="1307" t="n">
        <f aca="false">IF(AND($A127&gt;=O$16,MONTH($A127)=MONTH(O$16)),MAX(M127,N127)*O126,O126)</f>
        <v>1.23462294375966</v>
      </c>
      <c r="Q127" s="1303" t="n">
        <f aca="false">HLOOKUP(Q$14,Dec_Change,$L127)</f>
        <v>1.02855302909737</v>
      </c>
      <c r="R127" s="1304" t="n">
        <f aca="false">R126</f>
        <v>0</v>
      </c>
      <c r="S127" s="1307" t="n">
        <f aca="false">IF(AND($A127&gt;=S$16,MONTH($A127)=MONTH(S$16)),MAX(Q127,R127)*S126,S126)</f>
        <v>1.16245758279269</v>
      </c>
    </row>
    <row r="128" customFormat="false" ht="12.75" hidden="false" customHeight="false" outlineLevel="0" collapsed="false">
      <c r="A128" s="1305" t="n">
        <f aca="false">EDATE(A127,1)</f>
        <v>38718</v>
      </c>
      <c r="B128" s="1297" t="n">
        <f aca="false">'[3]Monthly Curve Calc.'!B131</f>
        <v>288.022495626852</v>
      </c>
      <c r="C128" s="1298" t="n">
        <f aca="false">'[3]Monthly Curve Calc.'!C131</f>
        <v>201.947265641857</v>
      </c>
      <c r="D128" s="1298" t="n">
        <f aca="false">'[3]Monthly Curve Calc.'!D131</f>
        <v>162.578032230373</v>
      </c>
      <c r="E128" s="1298" t="n">
        <f aca="false">'[3]Monthly Curve Calc.'!E131</f>
        <v>19.6094097222222</v>
      </c>
      <c r="F128" s="1299" t="n">
        <f aca="false">'[3]Monthly Curve Calc.'!F131</f>
        <v>2.33788261742251</v>
      </c>
      <c r="G128" s="1306" t="n">
        <f aca="false">IF(AND($A128&gt;G$16,MONTH($A128)=MONTH(G$16)),B127/B115,G127)</f>
        <v>1.07833075468112</v>
      </c>
      <c r="H128" s="1304" t="n">
        <f aca="false">IF(AND($A128&gt;H$16,MONTH($A128)=MONTH(H$16)),C127/C115,H127)</f>
        <v>1.02855302909737</v>
      </c>
      <c r="I128" s="1304" t="n">
        <f aca="false">IF(AND($A128&gt;I$16,MONTH($A128)=MONTH(I$16)),C127/C115-I$18,I127)</f>
        <v>1.02605302909737</v>
      </c>
      <c r="J128" s="1304" t="n">
        <f aca="false">IF(AND($A128&gt;J$16,MONTH($A128)=MONTH(J$16)),D127/D115,J127)</f>
        <v>1.02459576508431</v>
      </c>
      <c r="K128" s="1307" t="n">
        <f aca="false">IF($A128&gt;=K$16,IF(MONTH($A128)=MONTH(K$16),AVERAGE(E116:E127),K127),K127)</f>
        <v>19.6651736111111</v>
      </c>
      <c r="L128" s="1266" t="n">
        <f aca="false">L127+1</f>
        <v>116</v>
      </c>
      <c r="M128" s="1303" t="n">
        <f aca="false">HLOOKUP(M$14,Dec_Change,$L128)</f>
        <v>1.02855302909737</v>
      </c>
      <c r="N128" s="1304" t="n">
        <f aca="false">N127</f>
        <v>1.005</v>
      </c>
      <c r="O128" s="1307" t="n">
        <f aca="false">IF(AND($A128&gt;=O$16,MONTH($A128)=MONTH(O$16)),MAX(M128,N128)*O127,O127)</f>
        <v>1.23462294375966</v>
      </c>
      <c r="Q128" s="1303" t="n">
        <f aca="false">HLOOKUP(Q$14,Dec_Change,$L128)</f>
        <v>1.02855302909737</v>
      </c>
      <c r="R128" s="1304" t="n">
        <f aca="false">R127</f>
        <v>0</v>
      </c>
      <c r="S128" s="1307" t="n">
        <f aca="false">IF(AND($A128&gt;=S$16,MONTH($A128)=MONTH(S$16)),MAX(Q128,R128)*S127,S127)</f>
        <v>1.16245758279269</v>
      </c>
    </row>
    <row r="129" customFormat="false" ht="12.75" hidden="false" customHeight="false" outlineLevel="0" collapsed="false">
      <c r="A129" s="1305" t="n">
        <f aca="false">EDATE(A128,1)</f>
        <v>38749</v>
      </c>
      <c r="B129" s="1297" t="n">
        <f aca="false">'[3]Monthly Curve Calc.'!B132</f>
        <v>289.76356829009</v>
      </c>
      <c r="C129" s="1298" t="n">
        <f aca="false">'[3]Monthly Curve Calc.'!C132</f>
        <v>202.405267990972</v>
      </c>
      <c r="D129" s="1298" t="n">
        <f aca="false">'[3]Monthly Curve Calc.'!D132</f>
        <v>162.888889195764</v>
      </c>
      <c r="E129" s="1298" t="n">
        <f aca="false">'[3]Monthly Curve Calc.'!E132</f>
        <v>19.6067361111111</v>
      </c>
      <c r="F129" s="1299" t="n">
        <f aca="false">'[3]Monthly Curve Calc.'!F132</f>
        <v>2.34326889758685</v>
      </c>
      <c r="G129" s="1306" t="n">
        <f aca="false">IF(AND($A129&gt;G$16,MONTH($A129)=MONTH(G$16)),B128/B116,G128)</f>
        <v>1.07833075468112</v>
      </c>
      <c r="H129" s="1304" t="n">
        <f aca="false">IF(AND($A129&gt;H$16,MONTH($A129)=MONTH(H$16)),C128/C116,H128)</f>
        <v>1.02855302909737</v>
      </c>
      <c r="I129" s="1304" t="n">
        <f aca="false">IF(AND($A129&gt;I$16,MONTH($A129)=MONTH(I$16)),C128/C116-I$18,I128)</f>
        <v>1.02605302909737</v>
      </c>
      <c r="J129" s="1304" t="n">
        <f aca="false">IF(AND($A129&gt;J$16,MONTH($A129)=MONTH(J$16)),D128/D116,J128)</f>
        <v>1.02459576508431</v>
      </c>
      <c r="K129" s="1307" t="n">
        <f aca="false">IF($A129&gt;=K$16,IF(MONTH($A129)=MONTH(K$16),AVERAGE(E117:E128),K128),K128)</f>
        <v>19.6651736111111</v>
      </c>
      <c r="L129" s="1266" t="n">
        <f aca="false">L128+1</f>
        <v>117</v>
      </c>
      <c r="M129" s="1303" t="n">
        <f aca="false">HLOOKUP(M$14,Dec_Change,$L129)</f>
        <v>1.02855302909737</v>
      </c>
      <c r="N129" s="1304" t="n">
        <f aca="false">N128</f>
        <v>1.005</v>
      </c>
      <c r="O129" s="1307" t="n">
        <f aca="false">IF(AND($A129&gt;=O$16,MONTH($A129)=MONTH(O$16)),MAX(M129,N129)*O128,O128)</f>
        <v>1.23462294375966</v>
      </c>
      <c r="Q129" s="1303" t="n">
        <f aca="false">HLOOKUP(Q$14,Dec_Change,$L129)</f>
        <v>1.02855302909737</v>
      </c>
      <c r="R129" s="1304" t="n">
        <f aca="false">R128</f>
        <v>0</v>
      </c>
      <c r="S129" s="1307" t="n">
        <f aca="false">IF(AND($A129&gt;=S$16,MONTH($A129)=MONTH(S$16)),MAX(Q129,R129)*S128,S128)</f>
        <v>1.16245758279269</v>
      </c>
    </row>
    <row r="130" customFormat="false" ht="12.75" hidden="false" customHeight="false" outlineLevel="0" collapsed="false">
      <c r="A130" s="1305" t="n">
        <f aca="false">EDATE(A129,1)</f>
        <v>38777</v>
      </c>
      <c r="B130" s="1297" t="n">
        <f aca="false">'[3]Monthly Curve Calc.'!B133</f>
        <v>291.515165596594</v>
      </c>
      <c r="C130" s="1298" t="n">
        <f aca="false">'[3]Monthly Curve Calc.'!C133</f>
        <v>202.864309057552</v>
      </c>
      <c r="D130" s="1298" t="n">
        <f aca="false">'[3]Monthly Curve Calc.'!D133</f>
        <v>163.200340534524</v>
      </c>
      <c r="E130" s="1298" t="n">
        <f aca="false">'[3]Monthly Curve Calc.'!E133</f>
        <v>19.6040625</v>
      </c>
      <c r="F130" s="1299" t="n">
        <f aca="false">'[3]Monthly Curve Calc.'!F133</f>
        <v>2.34866758727671</v>
      </c>
      <c r="G130" s="1306" t="n">
        <f aca="false">IF(AND($A130&gt;G$16,MONTH($A130)=MONTH(G$16)),B129/B117,G129)</f>
        <v>1.07833075468112</v>
      </c>
      <c r="H130" s="1304" t="n">
        <f aca="false">IF(AND($A130&gt;H$16,MONTH($A130)=MONTH(H$16)),C129/C117,H129)</f>
        <v>1.02855302909737</v>
      </c>
      <c r="I130" s="1304" t="n">
        <f aca="false">IF(AND($A130&gt;I$16,MONTH($A130)=MONTH(I$16)),C129/C117-I$18,I129)</f>
        <v>1.02605302909737</v>
      </c>
      <c r="J130" s="1304" t="n">
        <f aca="false">IF(AND($A130&gt;J$16,MONTH($A130)=MONTH(J$16)),D129/D117,J129)</f>
        <v>1.02459576508431</v>
      </c>
      <c r="K130" s="1307" t="n">
        <f aca="false">IF($A130&gt;=K$16,IF(MONTH($A130)=MONTH(K$16),AVERAGE(E118:E129),K129),K129)</f>
        <v>19.6651736111111</v>
      </c>
      <c r="L130" s="1266" t="n">
        <f aca="false">L129+1</f>
        <v>118</v>
      </c>
      <c r="M130" s="1303" t="n">
        <f aca="false">HLOOKUP(M$14,Dec_Change,$L130)</f>
        <v>1.02855302909737</v>
      </c>
      <c r="N130" s="1304" t="n">
        <f aca="false">N129</f>
        <v>1.005</v>
      </c>
      <c r="O130" s="1307" t="n">
        <f aca="false">IF(AND($A130&gt;=O$16,MONTH($A130)=MONTH(O$16)),MAX(M130,N130)*O129,O129)</f>
        <v>1.23462294375966</v>
      </c>
      <c r="Q130" s="1303" t="n">
        <f aca="false">HLOOKUP(Q$14,Dec_Change,$L130)</f>
        <v>1.02855302909737</v>
      </c>
      <c r="R130" s="1304" t="n">
        <f aca="false">R129</f>
        <v>0</v>
      </c>
      <c r="S130" s="1307" t="n">
        <f aca="false">IF(AND($A130&gt;=S$16,MONTH($A130)=MONTH(S$16)),MAX(Q130,R130)*S129,S129)</f>
        <v>1.16245758279269</v>
      </c>
    </row>
    <row r="131" customFormat="false" ht="12.75" hidden="false" customHeight="false" outlineLevel="0" collapsed="false">
      <c r="A131" s="1305" t="n">
        <f aca="false">EDATE(A130,1)</f>
        <v>38808</v>
      </c>
      <c r="B131" s="1297" t="n">
        <f aca="false">'[3]Monthly Curve Calc.'!B134</f>
        <v>293.277351166978</v>
      </c>
      <c r="C131" s="1298" t="n">
        <f aca="false">'[3]Monthly Curve Calc.'!C134</f>
        <v>203.324391197336</v>
      </c>
      <c r="D131" s="1298" t="n">
        <f aca="false">'[3]Monthly Curve Calc.'!D134</f>
        <v>163.512387383125</v>
      </c>
      <c r="E131" s="1298" t="n">
        <f aca="false">'[3]Monthly Curve Calc.'!E134</f>
        <v>19.6013888888889</v>
      </c>
      <c r="F131" s="1299" t="n">
        <f aca="false">'[3]Monthly Curve Calc.'!F134</f>
        <v>2.35407871508258</v>
      </c>
      <c r="G131" s="1306" t="n">
        <f aca="false">IF(AND($A131&gt;G$16,MONTH($A131)=MONTH(G$16)),B130/B118,G130)</f>
        <v>1.07833075468112</v>
      </c>
      <c r="H131" s="1304" t="n">
        <f aca="false">IF(AND($A131&gt;H$16,MONTH($A131)=MONTH(H$16)),C130/C118,H130)</f>
        <v>1.02855302909737</v>
      </c>
      <c r="I131" s="1304" t="n">
        <f aca="false">IF(AND($A131&gt;I$16,MONTH($A131)=MONTH(I$16)),C130/C118-I$18,I130)</f>
        <v>1.02605302909737</v>
      </c>
      <c r="J131" s="1304" t="n">
        <f aca="false">IF(AND($A131&gt;J$16,MONTH($A131)=MONTH(J$16)),D130/D118,J130)</f>
        <v>1.02459576508431</v>
      </c>
      <c r="K131" s="1307" t="n">
        <f aca="false">IF($A131&gt;=K$16,IF(MONTH($A131)=MONTH(K$16),AVERAGE(E119:E130),K130),K130)</f>
        <v>19.6651736111111</v>
      </c>
      <c r="L131" s="1266" t="n">
        <f aca="false">L130+1</f>
        <v>119</v>
      </c>
      <c r="M131" s="1303" t="n">
        <f aca="false">HLOOKUP(M$14,Dec_Change,$L131)</f>
        <v>1.02855302909737</v>
      </c>
      <c r="N131" s="1304" t="n">
        <f aca="false">N130</f>
        <v>1.005</v>
      </c>
      <c r="O131" s="1307" t="n">
        <f aca="false">IF(AND($A131&gt;=O$16,MONTH($A131)=MONTH(O$16)),MAX(M131,N131)*O130,O130)</f>
        <v>1.23462294375966</v>
      </c>
      <c r="Q131" s="1303" t="n">
        <f aca="false">HLOOKUP(Q$14,Dec_Change,$L131)</f>
        <v>1.02855302909737</v>
      </c>
      <c r="R131" s="1304" t="n">
        <f aca="false">R130</f>
        <v>0</v>
      </c>
      <c r="S131" s="1307" t="n">
        <f aca="false">IF(AND($A131&gt;=S$16,MONTH($A131)=MONTH(S$16)),MAX(Q131,R131)*S130,S130)</f>
        <v>1.16245758279269</v>
      </c>
    </row>
    <row r="132" customFormat="false" ht="12.75" hidden="false" customHeight="false" outlineLevel="0" collapsed="false">
      <c r="A132" s="1305" t="n">
        <f aca="false">EDATE(A131,1)</f>
        <v>38838</v>
      </c>
      <c r="B132" s="1297" t="n">
        <f aca="false">'[3]Monthly Curve Calc.'!B135</f>
        <v>295.050189006441</v>
      </c>
      <c r="C132" s="1298" t="n">
        <f aca="false">'[3]Monthly Curve Calc.'!C135</f>
        <v>203.785516771405</v>
      </c>
      <c r="D132" s="1298" t="n">
        <f aca="false">'[3]Monthly Curve Calc.'!D135</f>
        <v>163.82503088021</v>
      </c>
      <c r="E132" s="1298" t="n">
        <f aca="false">'[3]Monthly Curve Calc.'!E135</f>
        <v>19.5987152777778</v>
      </c>
      <c r="F132" s="1299" t="n">
        <f aca="false">'[3]Monthly Curve Calc.'!F135</f>
        <v>2.35950230966078</v>
      </c>
      <c r="G132" s="1306" t="n">
        <f aca="false">IF(AND($A132&gt;G$16,MONTH($A132)=MONTH(G$16)),B131/B119,G131)</f>
        <v>1.075</v>
      </c>
      <c r="H132" s="1304" t="n">
        <f aca="false">IF(AND($A132&gt;H$16,MONTH($A132)=MONTH(H$16)),C131/C119,H131)</f>
        <v>1.02799884183511</v>
      </c>
      <c r="I132" s="1304" t="n">
        <f aca="false">IF(AND($A132&gt;I$16,MONTH($A132)=MONTH(I$16)),C131/C119-I$18,I131)</f>
        <v>1.02549884183511</v>
      </c>
      <c r="J132" s="1304" t="n">
        <f aca="false">IF(AND($A132&gt;J$16,MONTH($A132)=MONTH(J$16)),D131/D119,J131)</f>
        <v>1.02459576508431</v>
      </c>
      <c r="K132" s="1307" t="n">
        <f aca="false">IF($A132&gt;=K$16,IF(MONTH($A132)=MONTH(K$16),AVERAGE(E120:E131),K131),K131)</f>
        <v>19.6651736111111</v>
      </c>
      <c r="L132" s="1266" t="n">
        <f aca="false">L131+1</f>
        <v>120</v>
      </c>
      <c r="M132" s="1303" t="n">
        <f aca="false">HLOOKUP(M$14,Dec_Change,$L132)</f>
        <v>1.02799884183511</v>
      </c>
      <c r="N132" s="1304" t="n">
        <f aca="false">N131</f>
        <v>1.005</v>
      </c>
      <c r="O132" s="1307" t="n">
        <f aca="false">IF(AND($A132&gt;=O$16,MONTH($A132)=MONTH(O$16)),MAX(M132,N132)*O131,O131)</f>
        <v>1.26919095628799</v>
      </c>
      <c r="Q132" s="1303" t="n">
        <f aca="false">HLOOKUP(Q$14,Dec_Change,$L132)</f>
        <v>1.02799884183511</v>
      </c>
      <c r="R132" s="1304" t="n">
        <f aca="false">R131</f>
        <v>0</v>
      </c>
      <c r="S132" s="1307" t="n">
        <f aca="false">IF(AND($A132&gt;=S$16,MONTH($A132)=MONTH(S$16)),MAX(Q132,R132)*S131,S131)</f>
        <v>1.16245758279269</v>
      </c>
    </row>
    <row r="133" customFormat="false" ht="12.75" hidden="false" customHeight="false" outlineLevel="0" collapsed="false">
      <c r="A133" s="1305" t="n">
        <f aca="false">EDATE(A132,1)</f>
        <v>38869</v>
      </c>
      <c r="B133" s="1297" t="n">
        <f aca="false">'[3]Monthly Curve Calc.'!B136</f>
        <v>296.833743507087</v>
      </c>
      <c r="C133" s="1298" t="n">
        <f aca="false">'[3]Monthly Curve Calc.'!C136</f>
        <v>204.247688146196</v>
      </c>
      <c r="D133" s="1298" t="n">
        <f aca="false">'[3]Monthly Curve Calc.'!D136</f>
        <v>164.138272166599</v>
      </c>
      <c r="E133" s="1298" t="n">
        <f aca="false">'[3]Monthly Curve Calc.'!E136</f>
        <v>19.5960416666667</v>
      </c>
      <c r="F133" s="1299" t="n">
        <f aca="false">'[3]Monthly Curve Calc.'!F136</f>
        <v>2.36493839973371</v>
      </c>
      <c r="G133" s="1306" t="n">
        <f aca="false">IF(AND($A133&gt;G$16,MONTH($A133)=MONTH(G$16)),B132/B120,G132)</f>
        <v>1.075</v>
      </c>
      <c r="H133" s="1304" t="n">
        <f aca="false">IF(AND($A133&gt;H$16,MONTH($A133)=MONTH(H$16)),C132/C120,H132)</f>
        <v>1.02799884183511</v>
      </c>
      <c r="I133" s="1304" t="n">
        <f aca="false">IF(AND($A133&gt;I$16,MONTH($A133)=MONTH(I$16)),C132/C120-I$18,I132)</f>
        <v>1.02549884183511</v>
      </c>
      <c r="J133" s="1304" t="n">
        <f aca="false">IF(AND($A133&gt;J$16,MONTH($A133)=MONTH(J$16)),D132/D120,J132)</f>
        <v>1.02459576508431</v>
      </c>
      <c r="K133" s="1307" t="n">
        <f aca="false">IF($A133&gt;=K$16,IF(MONTH($A133)=MONTH(K$16),AVERAGE(E121:E132),K132),K132)</f>
        <v>19.6651736111111</v>
      </c>
      <c r="L133" s="1266" t="n">
        <f aca="false">L132+1</f>
        <v>121</v>
      </c>
      <c r="M133" s="1303" t="n">
        <f aca="false">HLOOKUP(M$14,Dec_Change,$L133)</f>
        <v>1.02799884183511</v>
      </c>
      <c r="N133" s="1304" t="n">
        <f aca="false">N132</f>
        <v>1.005</v>
      </c>
      <c r="O133" s="1307" t="n">
        <f aca="false">IF(AND($A133&gt;=O$16,MONTH($A133)=MONTH(O$16)),MAX(M133,N133)*O132,O132)</f>
        <v>1.26919095628799</v>
      </c>
      <c r="Q133" s="1303" t="n">
        <f aca="false">HLOOKUP(Q$14,Dec_Change,$L133)</f>
        <v>1.02799884183511</v>
      </c>
      <c r="R133" s="1304" t="n">
        <f aca="false">R132</f>
        <v>0</v>
      </c>
      <c r="S133" s="1307" t="n">
        <f aca="false">IF(AND($A133&gt;=S$16,MONTH($A133)=MONTH(S$16)),MAX(Q133,R133)*S132,S132)</f>
        <v>1.19500504879333</v>
      </c>
    </row>
    <row r="134" customFormat="false" ht="12.75" hidden="false" customHeight="false" outlineLevel="0" collapsed="false">
      <c r="A134" s="1305" t="n">
        <f aca="false">EDATE(A133,1)</f>
        <v>38899</v>
      </c>
      <c r="B134" s="1297" t="n">
        <f aca="false">'[3]Monthly Curve Calc.'!B137</f>
        <v>298.628079450265</v>
      </c>
      <c r="C134" s="1298" t="n">
        <f aca="false">'[3]Monthly Curve Calc.'!C137</f>
        <v>204.710907693511</v>
      </c>
      <c r="D134" s="1298" t="n">
        <f aca="false">'[3]Monthly Curve Calc.'!D137</f>
        <v>164.452112385293</v>
      </c>
      <c r="E134" s="1298" t="n">
        <f aca="false">'[3]Monthly Curve Calc.'!E137</f>
        <v>19.5933680555555</v>
      </c>
      <c r="F134" s="1299" t="n">
        <f aca="false">'[3]Monthly Curve Calc.'!F137</f>
        <v>2.3703870140899</v>
      </c>
      <c r="G134" s="1306" t="n">
        <f aca="false">IF(AND($A134&gt;G$16,MONTH($A134)=MONTH(G$16)),B133/B121,G133)</f>
        <v>1.075</v>
      </c>
      <c r="H134" s="1304" t="n">
        <f aca="false">IF(AND($A134&gt;H$16,MONTH($A134)=MONTH(H$16)),C133/C121,H133)</f>
        <v>1.02799884183511</v>
      </c>
      <c r="I134" s="1304" t="n">
        <f aca="false">IF(AND($A134&gt;I$16,MONTH($A134)=MONTH(I$16)),C133/C121-I$18,I133)</f>
        <v>1.02549884183511</v>
      </c>
      <c r="J134" s="1304" t="n">
        <f aca="false">IF(AND($A134&gt;J$16,MONTH($A134)=MONTH(J$16)),D133/D121,J133)</f>
        <v>1.02459576508431</v>
      </c>
      <c r="K134" s="1307" t="n">
        <f aca="false">IF($A134&gt;=K$16,IF(MONTH($A134)=MONTH(K$16),AVERAGE(E122:E133),K133),K133)</f>
        <v>19.6651736111111</v>
      </c>
      <c r="L134" s="1266" t="n">
        <f aca="false">L133+1</f>
        <v>122</v>
      </c>
      <c r="M134" s="1303" t="n">
        <f aca="false">HLOOKUP(M$14,Dec_Change,$L134)</f>
        <v>1.02799884183511</v>
      </c>
      <c r="N134" s="1304" t="n">
        <f aca="false">N133</f>
        <v>1.005</v>
      </c>
      <c r="O134" s="1307" t="n">
        <f aca="false">IF(AND($A134&gt;=O$16,MONTH($A134)=MONTH(O$16)),MAX(M134,N134)*O133,O133)</f>
        <v>1.26919095628799</v>
      </c>
      <c r="Q134" s="1303" t="n">
        <f aca="false">HLOOKUP(Q$14,Dec_Change,$L134)</f>
        <v>1.02799884183511</v>
      </c>
      <c r="R134" s="1304" t="n">
        <f aca="false">R133</f>
        <v>0</v>
      </c>
      <c r="S134" s="1307" t="n">
        <f aca="false">IF(AND($A134&gt;=S$16,MONTH($A134)=MONTH(S$16)),MAX(Q134,R134)*S133,S133)</f>
        <v>1.19500504879333</v>
      </c>
    </row>
    <row r="135" customFormat="false" ht="12.75" hidden="false" customHeight="false" outlineLevel="0" collapsed="false">
      <c r="A135" s="1305" t="n">
        <f aca="false">EDATE(A134,1)</f>
        <v>38930</v>
      </c>
      <c r="B135" s="1297" t="n">
        <f aca="false">'[3]Monthly Curve Calc.'!B138</f>
        <v>300.433262008922</v>
      </c>
      <c r="C135" s="1298" t="n">
        <f aca="false">'[3]Monthly Curve Calc.'!C138</f>
        <v>205.175177790535</v>
      </c>
      <c r="D135" s="1298" t="n">
        <f aca="false">'[3]Monthly Curve Calc.'!D138</f>
        <v>164.766552681481</v>
      </c>
      <c r="E135" s="1298" t="n">
        <f aca="false">'[3]Monthly Curve Calc.'!E138</f>
        <v>19.5906944444444</v>
      </c>
      <c r="F135" s="1299" t="n">
        <f aca="false">'[3]Monthly Curve Calc.'!F138</f>
        <v>2.37584818158422</v>
      </c>
      <c r="G135" s="1306" t="n">
        <f aca="false">IF(AND($A135&gt;G$16,MONTH($A135)=MONTH(G$16)),B134/B122,G134)</f>
        <v>1.075</v>
      </c>
      <c r="H135" s="1304" t="n">
        <f aca="false">IF(AND($A135&gt;H$16,MONTH($A135)=MONTH(H$16)),C134/C122,H134)</f>
        <v>1.02799884183511</v>
      </c>
      <c r="I135" s="1304" t="n">
        <f aca="false">IF(AND($A135&gt;I$16,MONTH($A135)=MONTH(I$16)),C134/C122-I$18,I134)</f>
        <v>1.02549884183511</v>
      </c>
      <c r="J135" s="1304" t="n">
        <f aca="false">IF(AND($A135&gt;J$16,MONTH($A135)=MONTH(J$16)),D134/D122,J134)</f>
        <v>1.02459576508431</v>
      </c>
      <c r="K135" s="1307" t="n">
        <f aca="false">IF($A135&gt;=K$16,IF(MONTH($A135)=MONTH(K$16),AVERAGE(E123:E134),K134),K134)</f>
        <v>19.6651736111111</v>
      </c>
      <c r="L135" s="1266" t="n">
        <f aca="false">L134+1</f>
        <v>123</v>
      </c>
      <c r="M135" s="1303" t="n">
        <f aca="false">HLOOKUP(M$14,Dec_Change,$L135)</f>
        <v>1.02799884183511</v>
      </c>
      <c r="N135" s="1304" t="n">
        <f aca="false">N134</f>
        <v>1.005</v>
      </c>
      <c r="O135" s="1307" t="n">
        <f aca="false">IF(AND($A135&gt;=O$16,MONTH($A135)=MONTH(O$16)),MAX(M135,N135)*O134,O134)</f>
        <v>1.26919095628799</v>
      </c>
      <c r="Q135" s="1303" t="n">
        <f aca="false">HLOOKUP(Q$14,Dec_Change,$L135)</f>
        <v>1.02799884183511</v>
      </c>
      <c r="R135" s="1304" t="n">
        <f aca="false">R134</f>
        <v>0</v>
      </c>
      <c r="S135" s="1307" t="n">
        <f aca="false">IF(AND($A135&gt;=S$16,MONTH($A135)=MONTH(S$16)),MAX(Q135,R135)*S134,S134)</f>
        <v>1.19500504879333</v>
      </c>
    </row>
    <row r="136" customFormat="false" ht="12.75" hidden="false" customHeight="false" outlineLevel="0" collapsed="false">
      <c r="A136" s="1305" t="n">
        <f aca="false">EDATE(A135,1)</f>
        <v>38961</v>
      </c>
      <c r="B136" s="1297" t="n">
        <f aca="false">'[3]Monthly Curve Calc.'!B139</f>
        <v>302.249356749969</v>
      </c>
      <c r="C136" s="1298" t="n">
        <f aca="false">'[3]Monthly Curve Calc.'!C139</f>
        <v>205.640500819839</v>
      </c>
      <c r="D136" s="1298" t="n">
        <f aca="false">'[3]Monthly Curve Calc.'!D139</f>
        <v>165.081594202539</v>
      </c>
      <c r="E136" s="1298" t="n">
        <f aca="false">'[3]Monthly Curve Calc.'!E139</f>
        <v>19.5880208333333</v>
      </c>
      <c r="F136" s="1299" t="n">
        <f aca="false">'[3]Monthly Curve Calc.'!F139</f>
        <v>2.38132193113802</v>
      </c>
      <c r="G136" s="1306" t="n">
        <f aca="false">IF(AND($A136&gt;G$16,MONTH($A136)=MONTH(G$16)),B135/B123,G135)</f>
        <v>1.075</v>
      </c>
      <c r="H136" s="1304" t="n">
        <f aca="false">IF(AND($A136&gt;H$16,MONTH($A136)=MONTH(H$16)),C135/C123,H135)</f>
        <v>1.02799884183511</v>
      </c>
      <c r="I136" s="1304" t="n">
        <f aca="false">IF(AND($A136&gt;I$16,MONTH($A136)=MONTH(I$16)),C135/C123-I$18,I135)</f>
        <v>1.02549884183511</v>
      </c>
      <c r="J136" s="1304" t="n">
        <f aca="false">IF(AND($A136&gt;J$16,MONTH($A136)=MONTH(J$16)),D135/D123,J135)</f>
        <v>1.02459576508431</v>
      </c>
      <c r="K136" s="1307" t="n">
        <f aca="false">IF($A136&gt;=K$16,IF(MONTH($A136)=MONTH(K$16),AVERAGE(E124:E135),K135),K135)</f>
        <v>19.6651736111111</v>
      </c>
      <c r="L136" s="1266" t="n">
        <f aca="false">L135+1</f>
        <v>124</v>
      </c>
      <c r="M136" s="1303" t="n">
        <f aca="false">HLOOKUP(M$14,Dec_Change,$L136)</f>
        <v>1.02799884183511</v>
      </c>
      <c r="N136" s="1304" t="n">
        <f aca="false">N135</f>
        <v>1.005</v>
      </c>
      <c r="O136" s="1307" t="n">
        <f aca="false">IF(AND($A136&gt;=O$16,MONTH($A136)=MONTH(O$16)),MAX(M136,N136)*O135,O135)</f>
        <v>1.26919095628799</v>
      </c>
      <c r="Q136" s="1303" t="n">
        <f aca="false">HLOOKUP(Q$14,Dec_Change,$L136)</f>
        <v>1.02799884183511</v>
      </c>
      <c r="R136" s="1304" t="n">
        <f aca="false">R135</f>
        <v>0</v>
      </c>
      <c r="S136" s="1307" t="n">
        <f aca="false">IF(AND($A136&gt;=S$16,MONTH($A136)=MONTH(S$16)),MAX(Q136,R136)*S135,S135)</f>
        <v>1.19500504879333</v>
      </c>
    </row>
    <row r="137" customFormat="false" ht="12.75" hidden="false" customHeight="false" outlineLevel="0" collapsed="false">
      <c r="A137" s="1305" t="n">
        <f aca="false">EDATE(A136,1)</f>
        <v>38991</v>
      </c>
      <c r="B137" s="1297" t="n">
        <f aca="false">'[3]Monthly Curve Calc.'!B140</f>
        <v>304.076429636667</v>
      </c>
      <c r="C137" s="1298" t="n">
        <f aca="false">'[3]Monthly Curve Calc.'!C140</f>
        <v>206.106879169401</v>
      </c>
      <c r="D137" s="1298" t="n">
        <f aca="false">'[3]Monthly Curve Calc.'!D140</f>
        <v>165.397238098037</v>
      </c>
      <c r="E137" s="1298" t="n">
        <f aca="false">'[3]Monthly Curve Calc.'!E140</f>
        <v>19.5853472222222</v>
      </c>
      <c r="F137" s="1299" t="n">
        <f aca="false">'[3]Monthly Curve Calc.'!F140</f>
        <v>2.38680829173927</v>
      </c>
      <c r="G137" s="1306" t="n">
        <f aca="false">IF(AND($A137&gt;G$16,MONTH($A137)=MONTH(G$16)),B136/B124,G136)</f>
        <v>1.075</v>
      </c>
      <c r="H137" s="1304" t="n">
        <f aca="false">IF(AND($A137&gt;H$16,MONTH($A137)=MONTH(H$16)),C136/C124,H136)</f>
        <v>1.02799884183511</v>
      </c>
      <c r="I137" s="1304" t="n">
        <f aca="false">IF(AND($A137&gt;I$16,MONTH($A137)=MONTH(I$16)),C136/C124-I$18,I136)</f>
        <v>1.02549884183511</v>
      </c>
      <c r="J137" s="1304" t="n">
        <f aca="false">IF(AND($A137&gt;J$16,MONTH($A137)=MONTH(J$16)),D136/D124,J136)</f>
        <v>1.02459576508431</v>
      </c>
      <c r="K137" s="1307" t="n">
        <f aca="false">IF($A137&gt;=K$16,IF(MONTH($A137)=MONTH(K$16),AVERAGE(E125:E136),K136),K136)</f>
        <v>19.6651736111111</v>
      </c>
      <c r="L137" s="1266" t="n">
        <f aca="false">L136+1</f>
        <v>125</v>
      </c>
      <c r="M137" s="1303" t="n">
        <f aca="false">HLOOKUP(M$14,Dec_Change,$L137)</f>
        <v>1.02799884183511</v>
      </c>
      <c r="N137" s="1304" t="n">
        <f aca="false">N136</f>
        <v>1.005</v>
      </c>
      <c r="O137" s="1307" t="n">
        <f aca="false">IF(AND($A137&gt;=O$16,MONTH($A137)=MONTH(O$16)),MAX(M137,N137)*O136,O136)</f>
        <v>1.26919095628799</v>
      </c>
      <c r="Q137" s="1303" t="n">
        <f aca="false">HLOOKUP(Q$14,Dec_Change,$L137)</f>
        <v>1.02799884183511</v>
      </c>
      <c r="R137" s="1304" t="n">
        <f aca="false">R136</f>
        <v>0</v>
      </c>
      <c r="S137" s="1307" t="n">
        <f aca="false">IF(AND($A137&gt;=S$16,MONTH($A137)=MONTH(S$16)),MAX(Q137,R137)*S136,S136)</f>
        <v>1.19500504879333</v>
      </c>
    </row>
    <row r="138" customFormat="false" ht="12.75" hidden="false" customHeight="false" outlineLevel="0" collapsed="false">
      <c r="A138" s="1305" t="n">
        <f aca="false">EDATE(A137,1)</f>
        <v>39022</v>
      </c>
      <c r="B138" s="1297" t="n">
        <f aca="false">'[3]Monthly Curve Calc.'!B141</f>
        <v>305.914547031016</v>
      </c>
      <c r="C138" s="1298" t="n">
        <f aca="false">'[3]Monthly Curve Calc.'!C141</f>
        <v>206.574315232615</v>
      </c>
      <c r="D138" s="1298" t="n">
        <f aca="false">'[3]Monthly Curve Calc.'!D141</f>
        <v>165.713485519744</v>
      </c>
      <c r="E138" s="1298" t="n">
        <f aca="false">'[3]Monthly Curve Calc.'!E141</f>
        <v>19.5826736111111</v>
      </c>
      <c r="F138" s="1299" t="n">
        <f aca="false">'[3]Monthly Curve Calc.'!F141</f>
        <v>2.39230729244276</v>
      </c>
      <c r="G138" s="1306" t="n">
        <f aca="false">IF(AND($A138&gt;G$16,MONTH($A138)=MONTH(G$16)),B137/B125,G137)</f>
        <v>1.075</v>
      </c>
      <c r="H138" s="1304" t="n">
        <f aca="false">IF(AND($A138&gt;H$16,MONTH($A138)=MONTH(H$16)),C137/C125,H137)</f>
        <v>1.02799884183511</v>
      </c>
      <c r="I138" s="1304" t="n">
        <f aca="false">IF(AND($A138&gt;I$16,MONTH($A138)=MONTH(I$16)),C137/C125-I$18,I137)</f>
        <v>1.02549884183511</v>
      </c>
      <c r="J138" s="1304" t="n">
        <f aca="false">IF(AND($A138&gt;J$16,MONTH($A138)=MONTH(J$16)),D137/D125,J137)</f>
        <v>1.02459576508431</v>
      </c>
      <c r="K138" s="1307" t="n">
        <f aca="false">IF($A138&gt;=K$16,IF(MONTH($A138)=MONTH(K$16),AVERAGE(E126:E137),K137),K137)</f>
        <v>19.6651736111111</v>
      </c>
      <c r="L138" s="1266" t="n">
        <f aca="false">L137+1</f>
        <v>126</v>
      </c>
      <c r="M138" s="1303" t="n">
        <f aca="false">HLOOKUP(M$14,Dec_Change,$L138)</f>
        <v>1.02799884183511</v>
      </c>
      <c r="N138" s="1304" t="n">
        <f aca="false">N137</f>
        <v>1.005</v>
      </c>
      <c r="O138" s="1307" t="n">
        <f aca="false">IF(AND($A138&gt;=O$16,MONTH($A138)=MONTH(O$16)),MAX(M138,N138)*O137,O137)</f>
        <v>1.26919095628799</v>
      </c>
      <c r="Q138" s="1303" t="n">
        <f aca="false">HLOOKUP(Q$14,Dec_Change,$L138)</f>
        <v>1.02799884183511</v>
      </c>
      <c r="R138" s="1304" t="n">
        <f aca="false">R137</f>
        <v>0</v>
      </c>
      <c r="S138" s="1307" t="n">
        <f aca="false">IF(AND($A138&gt;=S$16,MONTH($A138)=MONTH(S$16)),MAX(Q138,R138)*S137,S137)</f>
        <v>1.19500504879333</v>
      </c>
    </row>
    <row r="139" customFormat="false" ht="12.75" hidden="false" customHeight="false" outlineLevel="0" collapsed="false">
      <c r="A139" s="1305" t="n">
        <f aca="false">EDATE(A138,1)</f>
        <v>39052</v>
      </c>
      <c r="B139" s="1297" t="n">
        <f aca="false">'[3]Monthly Curve Calc.'!B142</f>
        <v>307.763775696172</v>
      </c>
      <c r="C139" s="1298" t="n">
        <f aca="false">'[3]Monthly Curve Calc.'!C142</f>
        <v>207.0428114083</v>
      </c>
      <c r="D139" s="1298" t="n">
        <f aca="false">'[3]Monthly Curve Calc.'!D142</f>
        <v>166.030337621631</v>
      </c>
      <c r="E139" s="1298" t="n">
        <f aca="false">'[3]Monthly Curve Calc.'!E142</f>
        <v>19.58</v>
      </c>
      <c r="F139" s="1299" t="n">
        <f aca="false">'[3]Monthly Curve Calc.'!F142</f>
        <v>2.39781896237018</v>
      </c>
      <c r="G139" s="1306" t="n">
        <f aca="false">IF(AND($A139&gt;G$16,MONTH($A139)=MONTH(G$16)),B138/B126,G138)</f>
        <v>1.075</v>
      </c>
      <c r="H139" s="1304" t="n">
        <f aca="false">IF(AND($A139&gt;H$16,MONTH($A139)=MONTH(H$16)),C138/C126,H138)</f>
        <v>1.02799884183511</v>
      </c>
      <c r="I139" s="1304" t="n">
        <f aca="false">IF(AND($A139&gt;I$16,MONTH($A139)=MONTH(I$16)),C138/C126-I$18,I138)</f>
        <v>1.02549884183511</v>
      </c>
      <c r="J139" s="1304" t="n">
        <f aca="false">IF(AND($A139&gt;J$16,MONTH($A139)=MONTH(J$16)),D138/D126,J138)</f>
        <v>1.02459576508431</v>
      </c>
      <c r="K139" s="1307" t="n">
        <f aca="false">IF($A139&gt;=K$16,IF(MONTH($A139)=MONTH(K$16),AVERAGE(E127:E138),K138),K138)</f>
        <v>19.6651736111111</v>
      </c>
      <c r="L139" s="1266" t="n">
        <f aca="false">L138+1</f>
        <v>127</v>
      </c>
      <c r="M139" s="1303" t="n">
        <f aca="false">HLOOKUP(M$14,Dec_Change,$L139)</f>
        <v>1.02799884183511</v>
      </c>
      <c r="N139" s="1304" t="n">
        <f aca="false">N138</f>
        <v>1.005</v>
      </c>
      <c r="O139" s="1307" t="n">
        <f aca="false">IF(AND($A139&gt;=O$16,MONTH($A139)=MONTH(O$16)),MAX(M139,N139)*O138,O138)</f>
        <v>1.26919095628799</v>
      </c>
      <c r="Q139" s="1303" t="n">
        <f aca="false">HLOOKUP(Q$14,Dec_Change,$L139)</f>
        <v>1.02799884183511</v>
      </c>
      <c r="R139" s="1304" t="n">
        <f aca="false">R138</f>
        <v>0</v>
      </c>
      <c r="S139" s="1307" t="n">
        <f aca="false">IF(AND($A139&gt;=S$16,MONTH($A139)=MONTH(S$16)),MAX(Q139,R139)*S138,S138)</f>
        <v>1.19500504879333</v>
      </c>
    </row>
    <row r="140" customFormat="false" ht="12.75" hidden="false" customHeight="false" outlineLevel="0" collapsed="false">
      <c r="A140" s="1305" t="n">
        <f aca="false">EDATE(A139,1)</f>
        <v>39083</v>
      </c>
      <c r="B140" s="1297" t="n">
        <f aca="false">'[3]Monthly Curve Calc.'!B143</f>
        <v>309.624182798865</v>
      </c>
      <c r="C140" s="1298" t="n">
        <f aca="false">'[3]Monthly Curve Calc.'!C143</f>
        <v>207.501638963156</v>
      </c>
      <c r="D140" s="1298" t="n">
        <f aca="false">'[3]Monthly Curve Calc.'!D143</f>
        <v>166.327459636305</v>
      </c>
      <c r="E140" s="1298" t="n">
        <f aca="false">'[3]Monthly Curve Calc.'!E143</f>
        <v>19.605</v>
      </c>
      <c r="F140" s="1299" t="n">
        <f aca="false">'[3]Monthly Curve Calc.'!F143</f>
        <v>2.40318207825579</v>
      </c>
      <c r="G140" s="1306" t="n">
        <f aca="false">IF(AND($A140&gt;G$16,MONTH($A140)=MONTH(G$16)),B139/B127,G139)</f>
        <v>1.075</v>
      </c>
      <c r="H140" s="1304" t="n">
        <f aca="false">IF(AND($A140&gt;H$16,MONTH($A140)=MONTH(H$16)),C139/C127,H139)</f>
        <v>1.02799884183511</v>
      </c>
      <c r="I140" s="1304" t="n">
        <f aca="false">IF(AND($A140&gt;I$16,MONTH($A140)=MONTH(I$16)),C139/C127-I$18,I139)</f>
        <v>1.02549884183511</v>
      </c>
      <c r="J140" s="1304" t="n">
        <f aca="false">IF(AND($A140&gt;J$16,MONTH($A140)=MONTH(J$16)),D139/D127,J139)</f>
        <v>1.02318740901084</v>
      </c>
      <c r="K140" s="1307" t="n">
        <f aca="false">IF($A140&gt;=K$16,IF(MONTH($A140)=MONTH(K$16),AVERAGE(E128:E139),K139),K139)</f>
        <v>19.5947048611111</v>
      </c>
      <c r="L140" s="1266" t="n">
        <f aca="false">L139+1</f>
        <v>128</v>
      </c>
      <c r="M140" s="1303" t="n">
        <f aca="false">HLOOKUP(M$14,Dec_Change,$L140)</f>
        <v>1.02799884183511</v>
      </c>
      <c r="N140" s="1304" t="n">
        <f aca="false">N139</f>
        <v>1.005</v>
      </c>
      <c r="O140" s="1307" t="n">
        <f aca="false">IF(AND($A140&gt;=O$16,MONTH($A140)=MONTH(O$16)),MAX(M140,N140)*O139,O139)</f>
        <v>1.26919095628799</v>
      </c>
      <c r="Q140" s="1303" t="n">
        <f aca="false">HLOOKUP(Q$14,Dec_Change,$L140)</f>
        <v>1.02799884183511</v>
      </c>
      <c r="R140" s="1304" t="n">
        <f aca="false">R139</f>
        <v>0</v>
      </c>
      <c r="S140" s="1307" t="n">
        <f aca="false">IF(AND($A140&gt;=S$16,MONTH($A140)=MONTH(S$16)),MAX(Q140,R140)*S139,S139)</f>
        <v>1.19500504879333</v>
      </c>
    </row>
    <row r="141" customFormat="false" ht="12.75" hidden="false" customHeight="false" outlineLevel="0" collapsed="false">
      <c r="A141" s="1305" t="n">
        <f aca="false">EDATE(A140,1)</f>
        <v>39114</v>
      </c>
      <c r="B141" s="1297" t="n">
        <f aca="false">'[3]Monthly Curve Calc.'!B144</f>
        <v>311.495835911847</v>
      </c>
      <c r="C141" s="1298" t="n">
        <f aca="false">'[3]Monthly Curve Calc.'!C144</f>
        <v>207.961483325712</v>
      </c>
      <c r="D141" s="1298" t="n">
        <f aca="false">'[3]Monthly Curve Calc.'!D144</f>
        <v>166.625113370018</v>
      </c>
      <c r="E141" s="1298" t="n">
        <f aca="false">'[3]Monthly Curve Calc.'!E144</f>
        <v>19.63</v>
      </c>
      <c r="F141" s="1299" t="n">
        <f aca="false">'[3]Monthly Curve Calc.'!F144</f>
        <v>2.40855718963083</v>
      </c>
      <c r="G141" s="1306" t="n">
        <f aca="false">IF(AND($A141&gt;G$16,MONTH($A141)=MONTH(G$16)),B140/B128,G140)</f>
        <v>1.075</v>
      </c>
      <c r="H141" s="1304" t="n">
        <f aca="false">IF(AND($A141&gt;H$16,MONTH($A141)=MONTH(H$16)),C140/C128,H140)</f>
        <v>1.02799884183511</v>
      </c>
      <c r="I141" s="1304" t="n">
        <f aca="false">IF(AND($A141&gt;I$16,MONTH($A141)=MONTH(I$16)),C140/C128-I$18,I140)</f>
        <v>1.02549884183511</v>
      </c>
      <c r="J141" s="1304" t="n">
        <f aca="false">IF(AND($A141&gt;J$16,MONTH($A141)=MONTH(J$16)),D140/D128,J140)</f>
        <v>1.02318740901084</v>
      </c>
      <c r="K141" s="1307" t="n">
        <f aca="false">IF($A141&gt;=K$16,IF(MONTH($A141)=MONTH(K$16),AVERAGE(E129:E140),K140),K140)</f>
        <v>19.5947048611111</v>
      </c>
      <c r="L141" s="1266" t="n">
        <f aca="false">L140+1</f>
        <v>129</v>
      </c>
      <c r="M141" s="1303" t="n">
        <f aca="false">HLOOKUP(M$14,Dec_Change,$L141)</f>
        <v>1.02799884183511</v>
      </c>
      <c r="N141" s="1304" t="n">
        <f aca="false">N140</f>
        <v>1.005</v>
      </c>
      <c r="O141" s="1307" t="n">
        <f aca="false">IF(AND($A141&gt;=O$16,MONTH($A141)=MONTH(O$16)),MAX(M141,N141)*O140,O140)</f>
        <v>1.26919095628799</v>
      </c>
      <c r="Q141" s="1303" t="n">
        <f aca="false">HLOOKUP(Q$14,Dec_Change,$L141)</f>
        <v>1.02799884183511</v>
      </c>
      <c r="R141" s="1304" t="n">
        <f aca="false">R140</f>
        <v>0</v>
      </c>
      <c r="S141" s="1307" t="n">
        <f aca="false">IF(AND($A141&gt;=S$16,MONTH($A141)=MONTH(S$16)),MAX(Q141,R141)*S140,S140)</f>
        <v>1.19500504879333</v>
      </c>
    </row>
    <row r="142" customFormat="false" ht="12.75" hidden="false" customHeight="false" outlineLevel="0" collapsed="false">
      <c r="A142" s="1305" t="n">
        <f aca="false">EDATE(A141,1)</f>
        <v>39142</v>
      </c>
      <c r="B142" s="1297" t="n">
        <f aca="false">'[3]Monthly Curve Calc.'!B145</f>
        <v>313.378803016338</v>
      </c>
      <c r="C142" s="1298" t="n">
        <f aca="false">'[3]Monthly Curve Calc.'!C145</f>
        <v>208.422346749317</v>
      </c>
      <c r="D142" s="1298" t="n">
        <f aca="false">'[3]Monthly Curve Calc.'!D145</f>
        <v>166.923299774316</v>
      </c>
      <c r="E142" s="1298" t="n">
        <f aca="false">'[3]Monthly Curve Calc.'!E145</f>
        <v>19.655</v>
      </c>
      <c r="F142" s="1299" t="n">
        <f aca="false">'[3]Monthly Curve Calc.'!F145</f>
        <v>2.41394432332517</v>
      </c>
      <c r="G142" s="1306" t="n">
        <f aca="false">IF(AND($A142&gt;G$16,MONTH($A142)=MONTH(G$16)),B141/B129,G141)</f>
        <v>1.075</v>
      </c>
      <c r="H142" s="1304" t="n">
        <f aca="false">IF(AND($A142&gt;H$16,MONTH($A142)=MONTH(H$16)),C141/C129,H141)</f>
        <v>1.02799884183511</v>
      </c>
      <c r="I142" s="1304" t="n">
        <f aca="false">IF(AND($A142&gt;I$16,MONTH($A142)=MONTH(I$16)),C141/C129-I$18,I141)</f>
        <v>1.02549884183511</v>
      </c>
      <c r="J142" s="1304" t="n">
        <f aca="false">IF(AND($A142&gt;J$16,MONTH($A142)=MONTH(J$16)),D141/D129,J141)</f>
        <v>1.02318740901084</v>
      </c>
      <c r="K142" s="1307" t="n">
        <f aca="false">IF($A142&gt;=K$16,IF(MONTH($A142)=MONTH(K$16),AVERAGE(E130:E141),K141),K141)</f>
        <v>19.5947048611111</v>
      </c>
      <c r="L142" s="1266" t="n">
        <f aca="false">L141+1</f>
        <v>130</v>
      </c>
      <c r="M142" s="1303" t="n">
        <f aca="false">HLOOKUP(M$14,Dec_Change,$L142)</f>
        <v>1.02799884183511</v>
      </c>
      <c r="N142" s="1304" t="n">
        <f aca="false">N141</f>
        <v>1.005</v>
      </c>
      <c r="O142" s="1307" t="n">
        <f aca="false">IF(AND($A142&gt;=O$16,MONTH($A142)=MONTH(O$16)),MAX(M142,N142)*O141,O141)</f>
        <v>1.26919095628799</v>
      </c>
      <c r="Q142" s="1303" t="n">
        <f aca="false">HLOOKUP(Q$14,Dec_Change,$L142)</f>
        <v>1.02799884183511</v>
      </c>
      <c r="R142" s="1304" t="n">
        <f aca="false">R141</f>
        <v>0</v>
      </c>
      <c r="S142" s="1307" t="n">
        <f aca="false">IF(AND($A142&gt;=S$16,MONTH($A142)=MONTH(S$16)),MAX(Q142,R142)*S141,S141)</f>
        <v>1.19500504879333</v>
      </c>
    </row>
    <row r="143" customFormat="false" ht="12.75" hidden="false" customHeight="false" outlineLevel="0" collapsed="false">
      <c r="A143" s="1305" t="n">
        <f aca="false">EDATE(A142,1)</f>
        <v>39173</v>
      </c>
      <c r="B143" s="1297" t="n">
        <f aca="false">'[3]Monthly Curve Calc.'!B146</f>
        <v>315.273152504501</v>
      </c>
      <c r="C143" s="1298" t="n">
        <f aca="false">'[3]Monthly Curve Calc.'!C146</f>
        <v>208.884231492312</v>
      </c>
      <c r="D143" s="1298" t="n">
        <f aca="false">'[3]Monthly Curve Calc.'!D146</f>
        <v>167.222019802447</v>
      </c>
      <c r="E143" s="1298" t="n">
        <f aca="false">'[3]Monthly Curve Calc.'!E146</f>
        <v>19.68</v>
      </c>
      <c r="F143" s="1299" t="n">
        <f aca="false">'[3]Monthly Curve Calc.'!F146</f>
        <v>2.41934350622871</v>
      </c>
      <c r="G143" s="1306" t="n">
        <f aca="false">IF(AND($A143&gt;G$16,MONTH($A143)=MONTH(G$16)),B142/B130,G142)</f>
        <v>1.075</v>
      </c>
      <c r="H143" s="1304" t="n">
        <f aca="false">IF(AND($A143&gt;H$16,MONTH($A143)=MONTH(H$16)),C142/C130,H142)</f>
        <v>1.02799884183511</v>
      </c>
      <c r="I143" s="1304" t="n">
        <f aca="false">IF(AND($A143&gt;I$16,MONTH($A143)=MONTH(I$16)),C142/C130-I$18,I142)</f>
        <v>1.02549884183511</v>
      </c>
      <c r="J143" s="1304" t="n">
        <f aca="false">IF(AND($A143&gt;J$16,MONTH($A143)=MONTH(J$16)),D142/D130,J142)</f>
        <v>1.02318740901084</v>
      </c>
      <c r="K143" s="1307" t="n">
        <f aca="false">IF($A143&gt;=K$16,IF(MONTH($A143)=MONTH(K$16),AVERAGE(E131:E142),K142),K142)</f>
        <v>19.5947048611111</v>
      </c>
      <c r="L143" s="1266" t="n">
        <f aca="false">L142+1</f>
        <v>131</v>
      </c>
      <c r="M143" s="1303" t="n">
        <f aca="false">HLOOKUP(M$14,Dec_Change,$L143)</f>
        <v>1.02799884183511</v>
      </c>
      <c r="N143" s="1304" t="n">
        <f aca="false">N142</f>
        <v>1.005</v>
      </c>
      <c r="O143" s="1307" t="n">
        <f aca="false">IF(AND($A143&gt;=O$16,MONTH($A143)=MONTH(O$16)),MAX(M143,N143)*O142,O142)</f>
        <v>1.26919095628799</v>
      </c>
      <c r="Q143" s="1303" t="n">
        <f aca="false">HLOOKUP(Q$14,Dec_Change,$L143)</f>
        <v>1.02799884183511</v>
      </c>
      <c r="R143" s="1304" t="n">
        <f aca="false">R142</f>
        <v>0</v>
      </c>
      <c r="S143" s="1307" t="n">
        <f aca="false">IF(AND($A143&gt;=S$16,MONTH($A143)=MONTH(S$16)),MAX(Q143,R143)*S142,S142)</f>
        <v>1.19500504879333</v>
      </c>
    </row>
    <row r="144" customFormat="false" ht="12.75" hidden="false" customHeight="false" outlineLevel="0" collapsed="false">
      <c r="A144" s="1305" t="n">
        <f aca="false">EDATE(A143,1)</f>
        <v>39203</v>
      </c>
      <c r="B144" s="1297" t="n">
        <f aca="false">'[3]Monthly Curve Calc.'!B147</f>
        <v>317.178953181924</v>
      </c>
      <c r="C144" s="1298" t="n">
        <f aca="false">'[3]Monthly Curve Calc.'!C147</f>
        <v>209.347139818042</v>
      </c>
      <c r="D144" s="1298" t="n">
        <f aca="false">'[3]Monthly Curve Calc.'!D147</f>
        <v>167.521274409365</v>
      </c>
      <c r="E144" s="1298" t="n">
        <f aca="false">'[3]Monthly Curve Calc.'!E147</f>
        <v>19.705</v>
      </c>
      <c r="F144" s="1299" t="n">
        <f aca="false">'[3]Monthly Curve Calc.'!F147</f>
        <v>2.42475476529148</v>
      </c>
      <c r="G144" s="1306" t="n">
        <f aca="false">IF(AND($A144&gt;G$16,MONTH($A144)=MONTH(G$16)),B143/B131,G143)</f>
        <v>1.075</v>
      </c>
      <c r="H144" s="1304" t="n">
        <f aca="false">IF(AND($A144&gt;H$16,MONTH($A144)=MONTH(H$16)),C143/C131,H143)</f>
        <v>1.02734467941714</v>
      </c>
      <c r="I144" s="1304" t="n">
        <f aca="false">IF(AND($A144&gt;I$16,MONTH($A144)=MONTH(I$16)),C143/C131-I$18,I143)</f>
        <v>1.02484467941714</v>
      </c>
      <c r="J144" s="1304" t="n">
        <f aca="false">IF(AND($A144&gt;J$16,MONTH($A144)=MONTH(J$16)),D143/D131,J143)</f>
        <v>1.02318740901084</v>
      </c>
      <c r="K144" s="1307" t="n">
        <f aca="false">IF($A144&gt;=K$16,IF(MONTH($A144)=MONTH(K$16),AVERAGE(E132:E143),K143),K143)</f>
        <v>19.5947048611111</v>
      </c>
      <c r="L144" s="1266" t="n">
        <f aca="false">L143+1</f>
        <v>132</v>
      </c>
      <c r="M144" s="1303" t="n">
        <f aca="false">HLOOKUP(M$14,Dec_Change,$L144)</f>
        <v>1.02734467941714</v>
      </c>
      <c r="N144" s="1304" t="n">
        <f aca="false">N143</f>
        <v>1.005</v>
      </c>
      <c r="O144" s="1307" t="n">
        <f aca="false">IF(AND($A144&gt;=O$16,MONTH($A144)=MONTH(O$16)),MAX(M144,N144)*O143,O143)</f>
        <v>1.30389657610682</v>
      </c>
      <c r="Q144" s="1303" t="n">
        <f aca="false">HLOOKUP(Q$14,Dec_Change,$L144)</f>
        <v>1.02734467941714</v>
      </c>
      <c r="R144" s="1304" t="n">
        <f aca="false">R143</f>
        <v>0</v>
      </c>
      <c r="S144" s="1307" t="n">
        <f aca="false">IF(AND($A144&gt;=S$16,MONTH($A144)=MONTH(S$16)),MAX(Q144,R144)*S143,S143)</f>
        <v>1.19500504879333</v>
      </c>
    </row>
    <row r="145" customFormat="false" ht="12.75" hidden="false" customHeight="false" outlineLevel="0" collapsed="false">
      <c r="A145" s="1305" t="n">
        <f aca="false">EDATE(A144,1)</f>
        <v>39234</v>
      </c>
      <c r="B145" s="1297" t="n">
        <f aca="false">'[3]Monthly Curve Calc.'!B148</f>
        <v>319.096274270119</v>
      </c>
      <c r="C145" s="1298" t="n">
        <f aca="false">'[3]Monthly Curve Calc.'!C148</f>
        <v>209.811073994869</v>
      </c>
      <c r="D145" s="1298" t="n">
        <f aca="false">'[3]Monthly Curve Calc.'!D148</f>
        <v>167.821064551734</v>
      </c>
      <c r="E145" s="1298" t="n">
        <f aca="false">'[3]Monthly Curve Calc.'!E148</f>
        <v>19.73</v>
      </c>
      <c r="F145" s="1299" t="n">
        <f aca="false">'[3]Monthly Curve Calc.'!F148</f>
        <v>2.4301781275238</v>
      </c>
      <c r="G145" s="1306" t="n">
        <f aca="false">IF(AND($A145&gt;G$16,MONTH($A145)=MONTH(G$16)),B144/B132,G144)</f>
        <v>1.075</v>
      </c>
      <c r="H145" s="1304" t="n">
        <f aca="false">IF(AND($A145&gt;H$16,MONTH($A145)=MONTH(H$16)),C144/C132,H144)</f>
        <v>1.02734467941714</v>
      </c>
      <c r="I145" s="1304" t="n">
        <f aca="false">IF(AND($A145&gt;I$16,MONTH($A145)=MONTH(I$16)),C144/C132-I$18,I144)</f>
        <v>1.02484467941714</v>
      </c>
      <c r="J145" s="1304" t="n">
        <f aca="false">IF(AND($A145&gt;J$16,MONTH($A145)=MONTH(J$16)),D144/D132,J144)</f>
        <v>1.02318740901084</v>
      </c>
      <c r="K145" s="1307" t="n">
        <f aca="false">IF($A145&gt;=K$16,IF(MONTH($A145)=MONTH(K$16),AVERAGE(E133:E144),K144),K144)</f>
        <v>19.5947048611111</v>
      </c>
      <c r="L145" s="1266" t="n">
        <f aca="false">L144+1</f>
        <v>133</v>
      </c>
      <c r="M145" s="1303" t="n">
        <f aca="false">HLOOKUP(M$14,Dec_Change,$L145)</f>
        <v>1.02734467941714</v>
      </c>
      <c r="N145" s="1304" t="n">
        <f aca="false">N144</f>
        <v>1.005</v>
      </c>
      <c r="O145" s="1307" t="n">
        <f aca="false">IF(AND($A145&gt;=O$16,MONTH($A145)=MONTH(O$16)),MAX(M145,N145)*O144,O144)</f>
        <v>1.30389657610682</v>
      </c>
      <c r="Q145" s="1303" t="n">
        <f aca="false">HLOOKUP(Q$14,Dec_Change,$L145)</f>
        <v>1.02734467941714</v>
      </c>
      <c r="R145" s="1304" t="n">
        <f aca="false">R144</f>
        <v>0</v>
      </c>
      <c r="S145" s="1307" t="n">
        <f aca="false">IF(AND($A145&gt;=S$16,MONTH($A145)=MONTH(S$16)),MAX(Q145,R145)*S144,S144)</f>
        <v>1.22768207875445</v>
      </c>
    </row>
    <row r="146" customFormat="false" ht="12.75" hidden="false" customHeight="false" outlineLevel="0" collapsed="false">
      <c r="A146" s="1305" t="n">
        <f aca="false">EDATE(A145,1)</f>
        <v>39264</v>
      </c>
      <c r="B146" s="1297" t="n">
        <f aca="false">'[3]Monthly Curve Calc.'!B149</f>
        <v>321.025185409035</v>
      </c>
      <c r="C146" s="1298" t="n">
        <f aca="false">'[3]Monthly Curve Calc.'!C149</f>
        <v>210.276036296182</v>
      </c>
      <c r="D146" s="1298" t="n">
        <f aca="false">'[3]Monthly Curve Calc.'!D149</f>
        <v>168.12139118793</v>
      </c>
      <c r="E146" s="1298" t="n">
        <f aca="false">'[3]Monthly Curve Calc.'!E149</f>
        <v>19.755</v>
      </c>
      <c r="F146" s="1299" t="n">
        <f aca="false">'[3]Monthly Curve Calc.'!F149</f>
        <v>2.43561361999639</v>
      </c>
      <c r="G146" s="1306" t="n">
        <f aca="false">IF(AND($A146&gt;G$16,MONTH($A146)=MONTH(G$16)),B145/B133,G145)</f>
        <v>1.075</v>
      </c>
      <c r="H146" s="1304" t="n">
        <f aca="false">IF(AND($A146&gt;H$16,MONTH($A146)=MONTH(H$16)),C145/C133,H145)</f>
        <v>1.02734467941714</v>
      </c>
      <c r="I146" s="1304" t="n">
        <f aca="false">IF(AND($A146&gt;I$16,MONTH($A146)=MONTH(I$16)),C145/C133-I$18,I145)</f>
        <v>1.02484467941714</v>
      </c>
      <c r="J146" s="1304" t="n">
        <f aca="false">IF(AND($A146&gt;J$16,MONTH($A146)=MONTH(J$16)),D145/D133,J145)</f>
        <v>1.02318740901084</v>
      </c>
      <c r="K146" s="1307" t="n">
        <f aca="false">IF($A146&gt;=K$16,IF(MONTH($A146)=MONTH(K$16),AVERAGE(E134:E145),K145),K145)</f>
        <v>19.5947048611111</v>
      </c>
      <c r="L146" s="1266" t="n">
        <f aca="false">L145+1</f>
        <v>134</v>
      </c>
      <c r="M146" s="1303" t="n">
        <f aca="false">HLOOKUP(M$14,Dec_Change,$L146)</f>
        <v>1.02734467941714</v>
      </c>
      <c r="N146" s="1304" t="n">
        <f aca="false">N145</f>
        <v>1.005</v>
      </c>
      <c r="O146" s="1307" t="n">
        <f aca="false">IF(AND($A146&gt;=O$16,MONTH($A146)=MONTH(O$16)),MAX(M146,N146)*O145,O145)</f>
        <v>1.30389657610682</v>
      </c>
      <c r="Q146" s="1303" t="n">
        <f aca="false">HLOOKUP(Q$14,Dec_Change,$L146)</f>
        <v>1.02734467941714</v>
      </c>
      <c r="R146" s="1304" t="n">
        <f aca="false">R145</f>
        <v>0</v>
      </c>
      <c r="S146" s="1307" t="n">
        <f aca="false">IF(AND($A146&gt;=S$16,MONTH($A146)=MONTH(S$16)),MAX(Q146,R146)*S145,S145)</f>
        <v>1.22768207875445</v>
      </c>
    </row>
    <row r="147" customFormat="false" ht="12.75" hidden="false" customHeight="false" outlineLevel="0" collapsed="false">
      <c r="A147" s="1305" t="n">
        <f aca="false">EDATE(A146,1)</f>
        <v>39295</v>
      </c>
      <c r="B147" s="1297" t="n">
        <f aca="false">'[3]Monthly Curve Calc.'!B150</f>
        <v>322.965756659591</v>
      </c>
      <c r="C147" s="1298" t="n">
        <f aca="false">'[3]Monthly Curve Calc.'!C150</f>
        <v>210.742029000406</v>
      </c>
      <c r="D147" s="1298" t="n">
        <f aca="false">'[3]Monthly Curve Calc.'!D150</f>
        <v>168.422255278042</v>
      </c>
      <c r="E147" s="1298" t="n">
        <f aca="false">'[3]Monthly Curve Calc.'!E150</f>
        <v>19.78</v>
      </c>
      <c r="F147" s="1299" t="n">
        <f aca="false">'[3]Monthly Curve Calc.'!F150</f>
        <v>2.44106126984052</v>
      </c>
      <c r="G147" s="1306" t="n">
        <f aca="false">IF(AND($A147&gt;G$16,MONTH($A147)=MONTH(G$16)),B146/B134,G146)</f>
        <v>1.075</v>
      </c>
      <c r="H147" s="1304" t="n">
        <f aca="false">IF(AND($A147&gt;H$16,MONTH($A147)=MONTH(H$16)),C146/C134,H146)</f>
        <v>1.02734467941714</v>
      </c>
      <c r="I147" s="1304" t="n">
        <f aca="false">IF(AND($A147&gt;I$16,MONTH($A147)=MONTH(I$16)),C146/C134-I$18,I146)</f>
        <v>1.02484467941714</v>
      </c>
      <c r="J147" s="1304" t="n">
        <f aca="false">IF(AND($A147&gt;J$16,MONTH($A147)=MONTH(J$16)),D146/D134,J146)</f>
        <v>1.02318740901084</v>
      </c>
      <c r="K147" s="1307" t="n">
        <f aca="false">IF($A147&gt;=K$16,IF(MONTH($A147)=MONTH(K$16),AVERAGE(E135:E146),K146),K146)</f>
        <v>19.5947048611111</v>
      </c>
      <c r="L147" s="1266" t="n">
        <f aca="false">L146+1</f>
        <v>135</v>
      </c>
      <c r="M147" s="1303" t="n">
        <f aca="false">HLOOKUP(M$14,Dec_Change,$L147)</f>
        <v>1.02734467941714</v>
      </c>
      <c r="N147" s="1304" t="n">
        <f aca="false">N146</f>
        <v>1.005</v>
      </c>
      <c r="O147" s="1307" t="n">
        <f aca="false">IF(AND($A147&gt;=O$16,MONTH($A147)=MONTH(O$16)),MAX(M147,N147)*O146,O146)</f>
        <v>1.30389657610682</v>
      </c>
      <c r="Q147" s="1303" t="n">
        <f aca="false">HLOOKUP(Q$14,Dec_Change,$L147)</f>
        <v>1.02734467941714</v>
      </c>
      <c r="R147" s="1304" t="n">
        <f aca="false">R146</f>
        <v>0</v>
      </c>
      <c r="S147" s="1307" t="n">
        <f aca="false">IF(AND($A147&gt;=S$16,MONTH($A147)=MONTH(S$16)),MAX(Q147,R147)*S146,S146)</f>
        <v>1.22768207875445</v>
      </c>
    </row>
    <row r="148" customFormat="false" ht="12.75" hidden="false" customHeight="false" outlineLevel="0" collapsed="false">
      <c r="A148" s="1305" t="n">
        <f aca="false">EDATE(A147,1)</f>
        <v>39326</v>
      </c>
      <c r="B148" s="1297" t="n">
        <f aca="false">'[3]Monthly Curve Calc.'!B151</f>
        <v>324.918058506217</v>
      </c>
      <c r="C148" s="1298" t="n">
        <f aca="false">'[3]Monthly Curve Calc.'!C151</f>
        <v>211.209054391019</v>
      </c>
      <c r="D148" s="1298" t="n">
        <f aca="false">'[3]Monthly Curve Calc.'!D151</f>
        <v>168.723657783878</v>
      </c>
      <c r="E148" s="1298" t="n">
        <f aca="false">'[3]Monthly Curve Calc.'!E151</f>
        <v>19.805</v>
      </c>
      <c r="F148" s="1299" t="n">
        <f aca="false">'[3]Monthly Curve Calc.'!F151</f>
        <v>2.44652110424816</v>
      </c>
      <c r="G148" s="1306" t="n">
        <f aca="false">IF(AND($A148&gt;G$16,MONTH($A148)=MONTH(G$16)),B147/B135,G147)</f>
        <v>1.075</v>
      </c>
      <c r="H148" s="1304" t="n">
        <f aca="false">IF(AND($A148&gt;H$16,MONTH($A148)=MONTH(H$16)),C147/C135,H147)</f>
        <v>1.02734467941714</v>
      </c>
      <c r="I148" s="1304" t="n">
        <f aca="false">IF(AND($A148&gt;I$16,MONTH($A148)=MONTH(I$16)),C147/C135-I$18,I147)</f>
        <v>1.02484467941714</v>
      </c>
      <c r="J148" s="1304" t="n">
        <f aca="false">IF(AND($A148&gt;J$16,MONTH($A148)=MONTH(J$16)),D147/D135,J147)</f>
        <v>1.02318740901084</v>
      </c>
      <c r="K148" s="1307" t="n">
        <f aca="false">IF($A148&gt;=K$16,IF(MONTH($A148)=MONTH(K$16),AVERAGE(E136:E147),K147),K147)</f>
        <v>19.5947048611111</v>
      </c>
      <c r="L148" s="1266" t="n">
        <f aca="false">L147+1</f>
        <v>136</v>
      </c>
      <c r="M148" s="1303" t="n">
        <f aca="false">HLOOKUP(M$14,Dec_Change,$L148)</f>
        <v>1.02734467941714</v>
      </c>
      <c r="N148" s="1304" t="n">
        <f aca="false">N147</f>
        <v>1.005</v>
      </c>
      <c r="O148" s="1307" t="n">
        <f aca="false">IF(AND($A148&gt;=O$16,MONTH($A148)=MONTH(O$16)),MAX(M148,N148)*O147,O147)</f>
        <v>1.30389657610682</v>
      </c>
      <c r="Q148" s="1303" t="n">
        <f aca="false">HLOOKUP(Q$14,Dec_Change,$L148)</f>
        <v>1.02734467941714</v>
      </c>
      <c r="R148" s="1304" t="n">
        <f aca="false">R147</f>
        <v>0</v>
      </c>
      <c r="S148" s="1307" t="n">
        <f aca="false">IF(AND($A148&gt;=S$16,MONTH($A148)=MONTH(S$16)),MAX(Q148,R148)*S147,S147)</f>
        <v>1.22768207875445</v>
      </c>
    </row>
    <row r="149" customFormat="false" ht="12.75" hidden="false" customHeight="false" outlineLevel="0" collapsed="false">
      <c r="A149" s="1305" t="n">
        <f aca="false">EDATE(A148,1)</f>
        <v>39356</v>
      </c>
      <c r="B149" s="1297" t="n">
        <f aca="false">'[3]Monthly Curve Calc.'!B152</f>
        <v>326.882161859417</v>
      </c>
      <c r="C149" s="1298" t="n">
        <f aca="false">'[3]Monthly Curve Calc.'!C152</f>
        <v>211.677114756556</v>
      </c>
      <c r="D149" s="1298" t="n">
        <f aca="false">'[3]Monthly Curve Calc.'!D152</f>
        <v>169.02559966897</v>
      </c>
      <c r="E149" s="1298" t="n">
        <f aca="false">'[3]Monthly Curve Calc.'!E152</f>
        <v>19.83</v>
      </c>
      <c r="F149" s="1299" t="n">
        <f aca="false">'[3]Monthly Curve Calc.'!F152</f>
        <v>2.45199315047208</v>
      </c>
      <c r="G149" s="1306" t="n">
        <f aca="false">IF(AND($A149&gt;G$16,MONTH($A149)=MONTH(G$16)),B148/B136,G148)</f>
        <v>1.075</v>
      </c>
      <c r="H149" s="1304" t="n">
        <f aca="false">IF(AND($A149&gt;H$16,MONTH($A149)=MONTH(H$16)),C148/C136,H148)</f>
        <v>1.02734467941714</v>
      </c>
      <c r="I149" s="1304" t="n">
        <f aca="false">IF(AND($A149&gt;I$16,MONTH($A149)=MONTH(I$16)),C148/C136-I$18,I148)</f>
        <v>1.02484467941714</v>
      </c>
      <c r="J149" s="1304" t="n">
        <f aca="false">IF(AND($A149&gt;J$16,MONTH($A149)=MONTH(J$16)),D148/D136,J148)</f>
        <v>1.02318740901084</v>
      </c>
      <c r="K149" s="1307" t="n">
        <f aca="false">IF($A149&gt;=K$16,IF(MONTH($A149)=MONTH(K$16),AVERAGE(E137:E148),K148),K148)</f>
        <v>19.5947048611111</v>
      </c>
      <c r="L149" s="1266" t="n">
        <f aca="false">L148+1</f>
        <v>137</v>
      </c>
      <c r="M149" s="1303" t="n">
        <f aca="false">HLOOKUP(M$14,Dec_Change,$L149)</f>
        <v>1.02734467941714</v>
      </c>
      <c r="N149" s="1304" t="n">
        <f aca="false">N148</f>
        <v>1.005</v>
      </c>
      <c r="O149" s="1307" t="n">
        <f aca="false">IF(AND($A149&gt;=O$16,MONTH($A149)=MONTH(O$16)),MAX(M149,N149)*O148,O148)</f>
        <v>1.30389657610682</v>
      </c>
      <c r="Q149" s="1303" t="n">
        <f aca="false">HLOOKUP(Q$14,Dec_Change,$L149)</f>
        <v>1.02734467941714</v>
      </c>
      <c r="R149" s="1304" t="n">
        <f aca="false">R148</f>
        <v>0</v>
      </c>
      <c r="S149" s="1307" t="n">
        <f aca="false">IF(AND($A149&gt;=S$16,MONTH($A149)=MONTH(S$16)),MAX(Q149,R149)*S148,S148)</f>
        <v>1.22768207875445</v>
      </c>
    </row>
    <row r="150" customFormat="false" ht="12.75" hidden="false" customHeight="false" outlineLevel="0" collapsed="false">
      <c r="A150" s="1305" t="n">
        <f aca="false">EDATE(A149,1)</f>
        <v>39387</v>
      </c>
      <c r="B150" s="1297" t="n">
        <f aca="false">'[3]Monthly Curve Calc.'!B153</f>
        <v>328.858138058343</v>
      </c>
      <c r="C150" s="1298" t="n">
        <f aca="false">'[3]Monthly Curve Calc.'!C153</f>
        <v>212.146212390625</v>
      </c>
      <c r="D150" s="1298" t="n">
        <f aca="false">'[3]Monthly Curve Calc.'!D153</f>
        <v>169.32808189857</v>
      </c>
      <c r="E150" s="1298" t="n">
        <f aca="false">'[3]Monthly Curve Calc.'!E153</f>
        <v>19.855</v>
      </c>
      <c r="F150" s="1299" t="n">
        <f aca="false">'[3]Monthly Curve Calc.'!F153</f>
        <v>2.45747743582601</v>
      </c>
      <c r="G150" s="1306" t="n">
        <f aca="false">IF(AND($A150&gt;G$16,MONTH($A150)=MONTH(G$16)),B149/B137,G149)</f>
        <v>1.075</v>
      </c>
      <c r="H150" s="1304" t="n">
        <f aca="false">IF(AND($A150&gt;H$16,MONTH($A150)=MONTH(H$16)),C149/C137,H149)</f>
        <v>1.02734467941714</v>
      </c>
      <c r="I150" s="1304" t="n">
        <f aca="false">IF(AND($A150&gt;I$16,MONTH($A150)=MONTH(I$16)),C149/C137-I$18,I149)</f>
        <v>1.02484467941714</v>
      </c>
      <c r="J150" s="1304" t="n">
        <f aca="false">IF(AND($A150&gt;J$16,MONTH($A150)=MONTH(J$16)),D149/D137,J149)</f>
        <v>1.02318740901084</v>
      </c>
      <c r="K150" s="1307" t="n">
        <f aca="false">IF($A150&gt;=K$16,IF(MONTH($A150)=MONTH(K$16),AVERAGE(E138:E149),K149),K149)</f>
        <v>19.5947048611111</v>
      </c>
      <c r="L150" s="1266" t="n">
        <f aca="false">L149+1</f>
        <v>138</v>
      </c>
      <c r="M150" s="1303" t="n">
        <f aca="false">HLOOKUP(M$14,Dec_Change,$L150)</f>
        <v>1.02734467941714</v>
      </c>
      <c r="N150" s="1304" t="n">
        <f aca="false">N149</f>
        <v>1.005</v>
      </c>
      <c r="O150" s="1307" t="n">
        <f aca="false">IF(AND($A150&gt;=O$16,MONTH($A150)=MONTH(O$16)),MAX(M150,N150)*O149,O149)</f>
        <v>1.30389657610682</v>
      </c>
      <c r="Q150" s="1303" t="n">
        <f aca="false">HLOOKUP(Q$14,Dec_Change,$L150)</f>
        <v>1.02734467941714</v>
      </c>
      <c r="R150" s="1304" t="n">
        <f aca="false">R149</f>
        <v>0</v>
      </c>
      <c r="S150" s="1307" t="n">
        <f aca="false">IF(AND($A150&gt;=S$16,MONTH($A150)=MONTH(S$16)),MAX(Q150,R150)*S149,S149)</f>
        <v>1.22768207875445</v>
      </c>
    </row>
    <row r="151" customFormat="false" ht="12.75" hidden="false" customHeight="false" outlineLevel="0" collapsed="false">
      <c r="A151" s="1305" t="n">
        <f aca="false">EDATE(A150,1)</f>
        <v>39417</v>
      </c>
      <c r="B151" s="1297" t="n">
        <f aca="false">'[3]Monthly Curve Calc.'!B154</f>
        <v>330.846058873385</v>
      </c>
      <c r="C151" s="1298" t="n">
        <f aca="false">'[3]Monthly Curve Calc.'!C154</f>
        <v>212.616349591916</v>
      </c>
      <c r="D151" s="1298" t="n">
        <f aca="false">'[3]Monthly Curve Calc.'!D154</f>
        <v>169.63110543966</v>
      </c>
      <c r="E151" s="1298" t="n">
        <f aca="false">'[3]Monthly Curve Calc.'!E154</f>
        <v>19.88</v>
      </c>
      <c r="F151" s="1299" t="n">
        <f aca="false">'[3]Monthly Curve Calc.'!F154</f>
        <v>2.46297398768479</v>
      </c>
      <c r="G151" s="1306" t="n">
        <f aca="false">IF(AND($A151&gt;G$16,MONTH($A151)=MONTH(G$16)),B150/B138,G150)</f>
        <v>1.075</v>
      </c>
      <c r="H151" s="1304" t="n">
        <f aca="false">IF(AND($A151&gt;H$16,MONTH($A151)=MONTH(H$16)),C150/C138,H150)</f>
        <v>1.02734467941714</v>
      </c>
      <c r="I151" s="1304" t="n">
        <f aca="false">IF(AND($A151&gt;I$16,MONTH($A151)=MONTH(I$16)),C150/C138-I$18,I150)</f>
        <v>1.02484467941714</v>
      </c>
      <c r="J151" s="1304" t="n">
        <f aca="false">IF(AND($A151&gt;J$16,MONTH($A151)=MONTH(J$16)),D150/D138,J150)</f>
        <v>1.02318740901084</v>
      </c>
      <c r="K151" s="1307" t="n">
        <f aca="false">IF($A151&gt;=K$16,IF(MONTH($A151)=MONTH(K$16),AVERAGE(E139:E150),K150),K150)</f>
        <v>19.5947048611111</v>
      </c>
      <c r="L151" s="1266" t="n">
        <f aca="false">L150+1</f>
        <v>139</v>
      </c>
      <c r="M151" s="1303" t="n">
        <f aca="false">HLOOKUP(M$14,Dec_Change,$L151)</f>
        <v>1.02734467941714</v>
      </c>
      <c r="N151" s="1304" t="n">
        <f aca="false">N150</f>
        <v>1.005</v>
      </c>
      <c r="O151" s="1307" t="n">
        <f aca="false">IF(AND($A151&gt;=O$16,MONTH($A151)=MONTH(O$16)),MAX(M151,N151)*O150,O150)</f>
        <v>1.30389657610682</v>
      </c>
      <c r="Q151" s="1303" t="n">
        <f aca="false">HLOOKUP(Q$14,Dec_Change,$L151)</f>
        <v>1.02734467941714</v>
      </c>
      <c r="R151" s="1304" t="n">
        <f aca="false">R150</f>
        <v>0</v>
      </c>
      <c r="S151" s="1307" t="n">
        <f aca="false">IF(AND($A151&gt;=S$16,MONTH($A151)=MONTH(S$16)),MAX(Q151,R151)*S150,S150)</f>
        <v>1.22768207875445</v>
      </c>
    </row>
    <row r="152" customFormat="false" ht="12.75" hidden="false" customHeight="false" outlineLevel="0" collapsed="false">
      <c r="A152" s="1305" t="n">
        <f aca="false">EDATE(A151,1)</f>
        <v>39448</v>
      </c>
      <c r="B152" s="1297" t="n">
        <f aca="false">'[3]Monthly Curve Calc.'!B155</f>
        <v>332.84599650878</v>
      </c>
      <c r="C152" s="1298" t="n">
        <f aca="false">'[3]Monthly Curve Calc.'!C155</f>
        <v>213.078880911827</v>
      </c>
      <c r="D152" s="1298" t="n">
        <f aca="false">'[3]Monthly Curve Calc.'!D155</f>
        <v>169.917625547035</v>
      </c>
      <c r="E152" s="1298" t="n">
        <f aca="false">'[3]Monthly Curve Calc.'!E155</f>
        <v>19.9320833333333</v>
      </c>
      <c r="F152" s="1299" t="n">
        <f aca="false">'[3]Monthly Curve Calc.'!F155</f>
        <v>2.4681826378384</v>
      </c>
      <c r="G152" s="1306" t="n">
        <f aca="false">IF(AND($A152&gt;G$16,MONTH($A152)=MONTH(G$16)),B151/B139,G151)</f>
        <v>1.075</v>
      </c>
      <c r="H152" s="1304" t="n">
        <f aca="false">IF(AND($A152&gt;H$16,MONTH($A152)=MONTH(H$16)),C151/C139,H151)</f>
        <v>1.02734467941714</v>
      </c>
      <c r="I152" s="1304" t="n">
        <f aca="false">IF(AND($A152&gt;I$16,MONTH($A152)=MONTH(I$16)),C151/C139-I$18,I151)</f>
        <v>1.02484467941714</v>
      </c>
      <c r="J152" s="1304" t="n">
        <f aca="false">IF(AND($A152&gt;J$16,MONTH($A152)=MONTH(J$16)),D151/D139,J151)</f>
        <v>1.02168740887725</v>
      </c>
      <c r="K152" s="1307" t="n">
        <f aca="false">IF($A152&gt;=K$16,IF(MONTH($A152)=MONTH(K$16),AVERAGE(E140:E151),K151),K151)</f>
        <v>19.7425</v>
      </c>
      <c r="L152" s="1266" t="n">
        <f aca="false">L151+1</f>
        <v>140</v>
      </c>
      <c r="M152" s="1303" t="n">
        <f aca="false">HLOOKUP(M$14,Dec_Change,$L152)</f>
        <v>1.02734467941714</v>
      </c>
      <c r="N152" s="1304" t="n">
        <f aca="false">N151</f>
        <v>1.005</v>
      </c>
      <c r="O152" s="1307" t="n">
        <f aca="false">IF(AND($A152&gt;=O$16,MONTH($A152)=MONTH(O$16)),MAX(M152,N152)*O151,O151)</f>
        <v>1.30389657610682</v>
      </c>
      <c r="Q152" s="1303" t="n">
        <f aca="false">HLOOKUP(Q$14,Dec_Change,$L152)</f>
        <v>1.02734467941714</v>
      </c>
      <c r="R152" s="1304" t="n">
        <f aca="false">R151</f>
        <v>0</v>
      </c>
      <c r="S152" s="1307" t="n">
        <f aca="false">IF(AND($A152&gt;=S$16,MONTH($A152)=MONTH(S$16)),MAX(Q152,R152)*S151,S151)</f>
        <v>1.22768207875445</v>
      </c>
    </row>
    <row r="153" customFormat="false" ht="12.75" hidden="false" customHeight="false" outlineLevel="0" collapsed="false">
      <c r="A153" s="1305" t="n">
        <f aca="false">EDATE(A152,1)</f>
        <v>39479</v>
      </c>
      <c r="B153" s="1297" t="n">
        <f aca="false">'[3]Monthly Curve Calc.'!B156</f>
        <v>334.858023605236</v>
      </c>
      <c r="C153" s="1298" t="n">
        <f aca="false">'[3]Monthly Curve Calc.'!C156</f>
        <v>213.542418434801</v>
      </c>
      <c r="D153" s="1298" t="n">
        <f aca="false">'[3]Monthly Curve Calc.'!D156</f>
        <v>170.204629609117</v>
      </c>
      <c r="E153" s="1298" t="n">
        <f aca="false">'[3]Monthly Curve Calc.'!E156</f>
        <v>19.9841666666667</v>
      </c>
      <c r="F153" s="1299" t="n">
        <f aca="false">'[3]Monthly Curve Calc.'!F156</f>
        <v>2.47340230314547</v>
      </c>
      <c r="G153" s="1306" t="n">
        <f aca="false">IF(AND($A153&gt;G$16,MONTH($A153)=MONTH(G$16)),B152/B140,G152)</f>
        <v>1.075</v>
      </c>
      <c r="H153" s="1304" t="n">
        <f aca="false">IF(AND($A153&gt;H$16,MONTH($A153)=MONTH(H$16)),C152/C140,H152)</f>
        <v>1.02734467941714</v>
      </c>
      <c r="I153" s="1304" t="n">
        <f aca="false">IF(AND($A153&gt;I$16,MONTH($A153)=MONTH(I$16)),C152/C140-I$18,I152)</f>
        <v>1.02484467941714</v>
      </c>
      <c r="J153" s="1304" t="n">
        <f aca="false">IF(AND($A153&gt;J$16,MONTH($A153)=MONTH(J$16)),D152/D140,J152)</f>
        <v>1.02168740887725</v>
      </c>
      <c r="K153" s="1307" t="n">
        <f aca="false">IF($A153&gt;=K$16,IF(MONTH($A153)=MONTH(K$16),AVERAGE(E141:E152),K152),K152)</f>
        <v>19.7425</v>
      </c>
      <c r="L153" s="1266" t="n">
        <f aca="false">L152+1</f>
        <v>141</v>
      </c>
      <c r="M153" s="1303" t="n">
        <f aca="false">HLOOKUP(M$14,Dec_Change,$L153)</f>
        <v>1.02734467941714</v>
      </c>
      <c r="N153" s="1304" t="n">
        <f aca="false">N152</f>
        <v>1.005</v>
      </c>
      <c r="O153" s="1307" t="n">
        <f aca="false">IF(AND($A153&gt;=O$16,MONTH($A153)=MONTH(O$16)),MAX(M153,N153)*O152,O152)</f>
        <v>1.30389657610682</v>
      </c>
      <c r="Q153" s="1303" t="n">
        <f aca="false">HLOOKUP(Q$14,Dec_Change,$L153)</f>
        <v>1.02734467941714</v>
      </c>
      <c r="R153" s="1304" t="n">
        <f aca="false">R152</f>
        <v>0</v>
      </c>
      <c r="S153" s="1307" t="n">
        <f aca="false">IF(AND($A153&gt;=S$16,MONTH($A153)=MONTH(S$16)),MAX(Q153,R153)*S152,S152)</f>
        <v>1.22768207875445</v>
      </c>
    </row>
    <row r="154" customFormat="false" ht="12.75" hidden="false" customHeight="false" outlineLevel="0" collapsed="false">
      <c r="A154" s="1305" t="n">
        <f aca="false">EDATE(A153,1)</f>
        <v>39508</v>
      </c>
      <c r="B154" s="1297" t="n">
        <f aca="false">'[3]Monthly Curve Calc.'!B157</f>
        <v>336.882213242564</v>
      </c>
      <c r="C154" s="1298" t="n">
        <f aca="false">'[3]Monthly Curve Calc.'!C157</f>
        <v>214.006964349756</v>
      </c>
      <c r="D154" s="1298" t="n">
        <f aca="false">'[3]Monthly Curve Calc.'!D157</f>
        <v>170.492118443343</v>
      </c>
      <c r="E154" s="1298" t="n">
        <f aca="false">'[3]Monthly Curve Calc.'!E157</f>
        <v>20.03625</v>
      </c>
      <c r="F154" s="1299" t="n">
        <f aca="false">'[3]Monthly Curve Calc.'!F157</f>
        <v>2.47863300690063</v>
      </c>
      <c r="G154" s="1306" t="n">
        <f aca="false">IF(AND($A154&gt;G$16,MONTH($A154)=MONTH(G$16)),B153/B141,G153)</f>
        <v>1.075</v>
      </c>
      <c r="H154" s="1304" t="n">
        <f aca="false">IF(AND($A154&gt;H$16,MONTH($A154)=MONTH(H$16)),C153/C141,H153)</f>
        <v>1.02734467941714</v>
      </c>
      <c r="I154" s="1304" t="n">
        <f aca="false">IF(AND($A154&gt;I$16,MONTH($A154)=MONTH(I$16)),C153/C141-I$18,I153)</f>
        <v>1.02484467941714</v>
      </c>
      <c r="J154" s="1304" t="n">
        <f aca="false">IF(AND($A154&gt;J$16,MONTH($A154)=MONTH(J$16)),D153/D141,J153)</f>
        <v>1.02168740887725</v>
      </c>
      <c r="K154" s="1307" t="n">
        <f aca="false">IF($A154&gt;=K$16,IF(MONTH($A154)=MONTH(K$16),AVERAGE(E142:E153),K153),K153)</f>
        <v>19.7425</v>
      </c>
      <c r="L154" s="1266" t="n">
        <f aca="false">L153+1</f>
        <v>142</v>
      </c>
      <c r="M154" s="1303" t="n">
        <f aca="false">HLOOKUP(M$14,Dec_Change,$L154)</f>
        <v>1.02734467941714</v>
      </c>
      <c r="N154" s="1304" t="n">
        <f aca="false">N153</f>
        <v>1.005</v>
      </c>
      <c r="O154" s="1307" t="n">
        <f aca="false">IF(AND($A154&gt;=O$16,MONTH($A154)=MONTH(O$16)),MAX(M154,N154)*O153,O153)</f>
        <v>1.30389657610682</v>
      </c>
      <c r="Q154" s="1303" t="n">
        <f aca="false">HLOOKUP(Q$14,Dec_Change,$L154)</f>
        <v>1.02734467941714</v>
      </c>
      <c r="R154" s="1304" t="n">
        <f aca="false">R153</f>
        <v>0</v>
      </c>
      <c r="S154" s="1307" t="n">
        <f aca="false">IF(AND($A154&gt;=S$16,MONTH($A154)=MONTH(S$16)),MAX(Q154,R154)*S153,S153)</f>
        <v>1.22768207875445</v>
      </c>
    </row>
    <row r="155" customFormat="false" ht="12.75" hidden="false" customHeight="false" outlineLevel="0" collapsed="false">
      <c r="A155" s="1305" t="n">
        <f aca="false">EDATE(A154,1)</f>
        <v>39539</v>
      </c>
      <c r="B155" s="1297" t="n">
        <f aca="false">'[3]Monthly Curve Calc.'!B158</f>
        <v>338.918638942339</v>
      </c>
      <c r="C155" s="1298" t="n">
        <f aca="false">'[3]Monthly Curve Calc.'!C158</f>
        <v>214.472520850378</v>
      </c>
      <c r="D155" s="1298" t="n">
        <f aca="false">'[3]Monthly Curve Calc.'!D158</f>
        <v>170.780092868531</v>
      </c>
      <c r="E155" s="1298" t="n">
        <f aca="false">'[3]Monthly Curve Calc.'!E158</f>
        <v>20.0883333333333</v>
      </c>
      <c r="F155" s="1299" t="n">
        <f aca="false">'[3]Monthly Curve Calc.'!F158</f>
        <v>2.48387477244777</v>
      </c>
      <c r="G155" s="1306" t="n">
        <f aca="false">IF(AND($A155&gt;G$16,MONTH($A155)=MONTH(G$16)),B154/B142,G154)</f>
        <v>1.075</v>
      </c>
      <c r="H155" s="1304" t="n">
        <f aca="false">IF(AND($A155&gt;H$16,MONTH($A155)=MONTH(H$16)),C154/C142,H154)</f>
        <v>1.02734467941714</v>
      </c>
      <c r="I155" s="1304" t="n">
        <f aca="false">IF(AND($A155&gt;I$16,MONTH($A155)=MONTH(I$16)),C154/C142-I$18,I154)</f>
        <v>1.02484467941714</v>
      </c>
      <c r="J155" s="1304" t="n">
        <f aca="false">IF(AND($A155&gt;J$16,MONTH($A155)=MONTH(J$16)),D154/D142,J154)</f>
        <v>1.02168740887725</v>
      </c>
      <c r="K155" s="1307" t="n">
        <f aca="false">IF($A155&gt;=K$16,IF(MONTH($A155)=MONTH(K$16),AVERAGE(E143:E154),K154),K154)</f>
        <v>19.7425</v>
      </c>
      <c r="L155" s="1266" t="n">
        <f aca="false">L154+1</f>
        <v>143</v>
      </c>
      <c r="M155" s="1303" t="n">
        <f aca="false">HLOOKUP(M$14,Dec_Change,$L155)</f>
        <v>1.02734467941714</v>
      </c>
      <c r="N155" s="1304" t="n">
        <f aca="false">N154</f>
        <v>1.005</v>
      </c>
      <c r="O155" s="1307" t="n">
        <f aca="false">IF(AND($A155&gt;=O$16,MONTH($A155)=MONTH(O$16)),MAX(M155,N155)*O154,O154)</f>
        <v>1.30389657610682</v>
      </c>
      <c r="Q155" s="1303" t="n">
        <f aca="false">HLOOKUP(Q$14,Dec_Change,$L155)</f>
        <v>1.02734467941714</v>
      </c>
      <c r="R155" s="1304" t="n">
        <f aca="false">R154</f>
        <v>0</v>
      </c>
      <c r="S155" s="1307" t="n">
        <f aca="false">IF(AND($A155&gt;=S$16,MONTH($A155)=MONTH(S$16)),MAX(Q155,R155)*S154,S154)</f>
        <v>1.22768207875445</v>
      </c>
    </row>
    <row r="156" customFormat="false" ht="12.75" hidden="false" customHeight="false" outlineLevel="0" collapsed="false">
      <c r="A156" s="1305" t="n">
        <f aca="false">EDATE(A155,1)</f>
        <v>39569</v>
      </c>
      <c r="B156" s="1297" t="n">
        <f aca="false">'[3]Monthly Curve Calc.'!B159</f>
        <v>340.967374670569</v>
      </c>
      <c r="C156" s="1298" t="n">
        <f aca="false">'[3]Monthly Curve Calc.'!C159</f>
        <v>214.93909013512</v>
      </c>
      <c r="D156" s="1298" t="n">
        <f aca="false">'[3]Monthly Curve Calc.'!D159</f>
        <v>171.068553704882</v>
      </c>
      <c r="E156" s="1298" t="n">
        <f aca="false">'[3]Monthly Curve Calc.'!E159</f>
        <v>20.1404166666667</v>
      </c>
      <c r="F156" s="1299" t="n">
        <f aca="false">'[3]Monthly Curve Calc.'!F159</f>
        <v>2.48912762318016</v>
      </c>
      <c r="G156" s="1306" t="n">
        <f aca="false">IF(AND($A156&gt;G$16,MONTH($A156)=MONTH(G$16)),B155/B143,G155)</f>
        <v>1.075</v>
      </c>
      <c r="H156" s="1304" t="n">
        <f aca="false">IF(AND($A156&gt;H$16,MONTH($A156)=MONTH(H$16)),C155/C143,H155)</f>
        <v>1.02675304554174</v>
      </c>
      <c r="I156" s="1304" t="n">
        <f aca="false">IF(AND($A156&gt;I$16,MONTH($A156)=MONTH(I$16)),C155/C143-I$18,I155)</f>
        <v>1.02425304554174</v>
      </c>
      <c r="J156" s="1304" t="n">
        <f aca="false">IF(AND($A156&gt;J$16,MONTH($A156)=MONTH(J$16)),D155/D143,J155)</f>
        <v>1.02168740887725</v>
      </c>
      <c r="K156" s="1307" t="n">
        <f aca="false">IF($A156&gt;=K$16,IF(MONTH($A156)=MONTH(K$16),AVERAGE(E144:E155),K155),K155)</f>
        <v>19.7425</v>
      </c>
      <c r="L156" s="1266" t="n">
        <f aca="false">L155+1</f>
        <v>144</v>
      </c>
      <c r="M156" s="1303" t="n">
        <f aca="false">HLOOKUP(M$14,Dec_Change,$L156)</f>
        <v>1.02675304554174</v>
      </c>
      <c r="N156" s="1304" t="n">
        <f aca="false">N155</f>
        <v>1.005</v>
      </c>
      <c r="O156" s="1307" t="n">
        <f aca="false">IF(AND($A156&gt;=O$16,MONTH($A156)=MONTH(O$16)),MAX(M156,N156)*O155,O155)</f>
        <v>1.33877978058913</v>
      </c>
      <c r="Q156" s="1303" t="n">
        <f aca="false">HLOOKUP(Q$14,Dec_Change,$L156)</f>
        <v>1.02675304554174</v>
      </c>
      <c r="R156" s="1304" t="n">
        <f aca="false">R155</f>
        <v>0</v>
      </c>
      <c r="S156" s="1307" t="n">
        <f aca="false">IF(AND($A156&gt;=S$16,MONTH($A156)=MONTH(S$16)),MAX(Q156,R156)*S155,S155)</f>
        <v>1.22768207875445</v>
      </c>
    </row>
    <row r="157" customFormat="false" ht="12.75" hidden="false" customHeight="false" outlineLevel="0" collapsed="false">
      <c r="A157" s="1305" t="n">
        <f aca="false">EDATE(A156,1)</f>
        <v>39600</v>
      </c>
      <c r="B157" s="1297" t="n">
        <f aca="false">'[3]Monthly Curve Calc.'!B160</f>
        <v>343.028494840378</v>
      </c>
      <c r="C157" s="1298" t="n">
        <f aca="false">'[3]Monthly Curve Calc.'!C160</f>
        <v>215.406674407222</v>
      </c>
      <c r="D157" s="1298" t="n">
        <f aca="false">'[3]Monthly Curve Calc.'!D160</f>
        <v>171.357501773981</v>
      </c>
      <c r="E157" s="1298" t="n">
        <f aca="false">'[3]Monthly Curve Calc.'!E160</f>
        <v>20.1925</v>
      </c>
      <c r="F157" s="1299" t="n">
        <f aca="false">'[3]Monthly Curve Calc.'!F160</f>
        <v>2.49439158254055</v>
      </c>
      <c r="G157" s="1306" t="n">
        <f aca="false">IF(AND($A157&gt;G$16,MONTH($A157)=MONTH(G$16)),B156/B144,G156)</f>
        <v>1.075</v>
      </c>
      <c r="H157" s="1304" t="n">
        <f aca="false">IF(AND($A157&gt;H$16,MONTH($A157)=MONTH(H$16)),C156/C144,H156)</f>
        <v>1.02675304554174</v>
      </c>
      <c r="I157" s="1304" t="n">
        <f aca="false">IF(AND($A157&gt;I$16,MONTH($A157)=MONTH(I$16)),C156/C144-I$18,I156)</f>
        <v>1.02425304554174</v>
      </c>
      <c r="J157" s="1304" t="n">
        <f aca="false">IF(AND($A157&gt;J$16,MONTH($A157)=MONTH(J$16)),D156/D144,J156)</f>
        <v>1.02168740887725</v>
      </c>
      <c r="K157" s="1307" t="n">
        <f aca="false">IF($A157&gt;=K$16,IF(MONTH($A157)=MONTH(K$16),AVERAGE(E145:E156),K156),K156)</f>
        <v>19.7425</v>
      </c>
      <c r="L157" s="1266" t="n">
        <f aca="false">L156+1</f>
        <v>145</v>
      </c>
      <c r="M157" s="1303" t="n">
        <f aca="false">HLOOKUP(M$14,Dec_Change,$L157)</f>
        <v>1.02675304554174</v>
      </c>
      <c r="N157" s="1304" t="n">
        <f aca="false">N156</f>
        <v>1.005</v>
      </c>
      <c r="O157" s="1307" t="n">
        <f aca="false">IF(AND($A157&gt;=O$16,MONTH($A157)=MONTH(O$16)),MAX(M157,N157)*O156,O156)</f>
        <v>1.33877978058913</v>
      </c>
      <c r="Q157" s="1303" t="n">
        <f aca="false">HLOOKUP(Q$14,Dec_Change,$L157)</f>
        <v>1.02675304554174</v>
      </c>
      <c r="R157" s="1304" t="n">
        <f aca="false">R156</f>
        <v>0</v>
      </c>
      <c r="S157" s="1307" t="n">
        <f aca="false">IF(AND($A157&gt;=S$16,MONTH($A157)=MONTH(S$16)),MAX(Q157,R157)*S156,S156)</f>
        <v>1.26052631331815</v>
      </c>
    </row>
    <row r="158" customFormat="false" ht="12.75" hidden="false" customHeight="false" outlineLevel="0" collapsed="false">
      <c r="A158" s="1305" t="n">
        <f aca="false">EDATE(A157,1)</f>
        <v>39630</v>
      </c>
      <c r="B158" s="1297" t="n">
        <f aca="false">'[3]Monthly Curve Calc.'!B161</f>
        <v>345.102074314712</v>
      </c>
      <c r="C158" s="1298" t="n">
        <f aca="false">'[3]Monthly Curve Calc.'!C161</f>
        <v>215.875275874712</v>
      </c>
      <c r="D158" s="1298" t="n">
        <f aca="false">'[3]Monthly Curve Calc.'!D161</f>
        <v>171.646937898804</v>
      </c>
      <c r="E158" s="1298" t="n">
        <f aca="false">'[3]Monthly Curve Calc.'!E161</f>
        <v>20.2445833333333</v>
      </c>
      <c r="F158" s="1299" t="n">
        <f aca="false">'[3]Monthly Curve Calc.'!F161</f>
        <v>2.49966667402123</v>
      </c>
      <c r="G158" s="1306" t="n">
        <f aca="false">IF(AND($A158&gt;G$16,MONTH($A158)=MONTH(G$16)),B157/B145,G157)</f>
        <v>1.075</v>
      </c>
      <c r="H158" s="1304" t="n">
        <f aca="false">IF(AND($A158&gt;H$16,MONTH($A158)=MONTH(H$16)),C157/C145,H157)</f>
        <v>1.02675304554174</v>
      </c>
      <c r="I158" s="1304" t="n">
        <f aca="false">IF(AND($A158&gt;I$16,MONTH($A158)=MONTH(I$16)),C157/C145-I$18,I157)</f>
        <v>1.02425304554174</v>
      </c>
      <c r="J158" s="1304" t="n">
        <f aca="false">IF(AND($A158&gt;J$16,MONTH($A158)=MONTH(J$16)),D157/D145,J157)</f>
        <v>1.02168740887725</v>
      </c>
      <c r="K158" s="1307" t="n">
        <f aca="false">IF($A158&gt;=K$16,IF(MONTH($A158)=MONTH(K$16),AVERAGE(E146:E157),K157),K157)</f>
        <v>19.7425</v>
      </c>
      <c r="L158" s="1266" t="n">
        <f aca="false">L157+1</f>
        <v>146</v>
      </c>
      <c r="M158" s="1303" t="n">
        <f aca="false">HLOOKUP(M$14,Dec_Change,$L158)</f>
        <v>1.02675304554174</v>
      </c>
      <c r="N158" s="1304" t="n">
        <f aca="false">N157</f>
        <v>1.005</v>
      </c>
      <c r="O158" s="1307" t="n">
        <f aca="false">IF(AND($A158&gt;=O$16,MONTH($A158)=MONTH(O$16)),MAX(M158,N158)*O157,O157)</f>
        <v>1.33877978058913</v>
      </c>
      <c r="Q158" s="1303" t="n">
        <f aca="false">HLOOKUP(Q$14,Dec_Change,$L158)</f>
        <v>1.02675304554174</v>
      </c>
      <c r="R158" s="1304" t="n">
        <f aca="false">R157</f>
        <v>0</v>
      </c>
      <c r="S158" s="1307" t="n">
        <f aca="false">IF(AND($A158&gt;=S$16,MONTH($A158)=MONTH(S$16)),MAX(Q158,R158)*S157,S157)</f>
        <v>1.26052631331815</v>
      </c>
    </row>
    <row r="159" customFormat="false" ht="12.75" hidden="false" customHeight="false" outlineLevel="0" collapsed="false">
      <c r="A159" s="1305" t="n">
        <f aca="false">EDATE(A158,1)</f>
        <v>39661</v>
      </c>
      <c r="B159" s="1297" t="n">
        <f aca="false">'[3]Monthly Curve Calc.'!B162</f>
        <v>347.18818840906</v>
      </c>
      <c r="C159" s="1298" t="n">
        <f aca="false">'[3]Monthly Curve Calc.'!C162</f>
        <v>216.344896750427</v>
      </c>
      <c r="D159" s="1298" t="n">
        <f aca="false">'[3]Monthly Curve Calc.'!D162</f>
        <v>171.936862903713</v>
      </c>
      <c r="E159" s="1298" t="n">
        <f aca="false">'[3]Monthly Curve Calc.'!E162</f>
        <v>20.2966666666667</v>
      </c>
      <c r="F159" s="1299" t="n">
        <f aca="false">'[3]Monthly Curve Calc.'!F162</f>
        <v>2.50495292116421</v>
      </c>
      <c r="G159" s="1306" t="n">
        <f aca="false">IF(AND($A159&gt;G$16,MONTH($A159)=MONTH(G$16)),B158/B146,G158)</f>
        <v>1.075</v>
      </c>
      <c r="H159" s="1304" t="n">
        <f aca="false">IF(AND($A159&gt;H$16,MONTH($A159)=MONTH(H$16)),C158/C146,H158)</f>
        <v>1.02675304554174</v>
      </c>
      <c r="I159" s="1304" t="n">
        <f aca="false">IF(AND($A159&gt;I$16,MONTH($A159)=MONTH(I$16)),C158/C146-I$18,I158)</f>
        <v>1.02425304554174</v>
      </c>
      <c r="J159" s="1304" t="n">
        <f aca="false">IF(AND($A159&gt;J$16,MONTH($A159)=MONTH(J$16)),D158/D146,J158)</f>
        <v>1.02168740887725</v>
      </c>
      <c r="K159" s="1307" t="n">
        <f aca="false">IF($A159&gt;=K$16,IF(MONTH($A159)=MONTH(K$16),AVERAGE(E147:E158),K158),K158)</f>
        <v>19.7425</v>
      </c>
      <c r="L159" s="1266" t="n">
        <f aca="false">L158+1</f>
        <v>147</v>
      </c>
      <c r="M159" s="1303" t="n">
        <f aca="false">HLOOKUP(M$14,Dec_Change,$L159)</f>
        <v>1.02675304554174</v>
      </c>
      <c r="N159" s="1304" t="n">
        <f aca="false">N158</f>
        <v>1.005</v>
      </c>
      <c r="O159" s="1307" t="n">
        <f aca="false">IF(AND($A159&gt;=O$16,MONTH($A159)=MONTH(O$16)),MAX(M159,N159)*O158,O158)</f>
        <v>1.33877978058913</v>
      </c>
      <c r="Q159" s="1303" t="n">
        <f aca="false">HLOOKUP(Q$14,Dec_Change,$L159)</f>
        <v>1.02675304554174</v>
      </c>
      <c r="R159" s="1304" t="n">
        <f aca="false">R158</f>
        <v>0</v>
      </c>
      <c r="S159" s="1307" t="n">
        <f aca="false">IF(AND($A159&gt;=S$16,MONTH($A159)=MONTH(S$16)),MAX(Q159,R159)*S158,S158)</f>
        <v>1.26052631331815</v>
      </c>
    </row>
    <row r="160" customFormat="false" ht="12.75" hidden="false" customHeight="false" outlineLevel="0" collapsed="false">
      <c r="A160" s="1305" t="n">
        <f aca="false">EDATE(A159,1)</f>
        <v>39692</v>
      </c>
      <c r="B160" s="1297" t="n">
        <f aca="false">'[3]Monthly Curve Calc.'!B163</f>
        <v>349.286912894183</v>
      </c>
      <c r="C160" s="1298" t="n">
        <f aca="false">'[3]Monthly Curve Calc.'!C163</f>
        <v>216.815539252013</v>
      </c>
      <c r="D160" s="1298" t="n">
        <f aca="false">'[3]Monthly Curve Calc.'!D163</f>
        <v>172.227277614466</v>
      </c>
      <c r="E160" s="1298" t="n">
        <f aca="false">'[3]Monthly Curve Calc.'!E163</f>
        <v>20.34875</v>
      </c>
      <c r="F160" s="1299" t="n">
        <f aca="false">'[3]Monthly Curve Calc.'!F163</f>
        <v>2.51025034756126</v>
      </c>
      <c r="G160" s="1306" t="n">
        <f aca="false">IF(AND($A160&gt;G$16,MONTH($A160)=MONTH(G$16)),B159/B147,G159)</f>
        <v>1.075</v>
      </c>
      <c r="H160" s="1304" t="n">
        <f aca="false">IF(AND($A160&gt;H$16,MONTH($A160)=MONTH(H$16)),C159/C147,H159)</f>
        <v>1.02675304554174</v>
      </c>
      <c r="I160" s="1304" t="n">
        <f aca="false">IF(AND($A160&gt;I$16,MONTH($A160)=MONTH(I$16)),C159/C147-I$18,I159)</f>
        <v>1.02425304554174</v>
      </c>
      <c r="J160" s="1304" t="n">
        <f aca="false">IF(AND($A160&gt;J$16,MONTH($A160)=MONTH(J$16)),D159/D147,J159)</f>
        <v>1.02168740887725</v>
      </c>
      <c r="K160" s="1307" t="n">
        <f aca="false">IF($A160&gt;=K$16,IF(MONTH($A160)=MONTH(K$16),AVERAGE(E148:E159),K159),K159)</f>
        <v>19.7425</v>
      </c>
      <c r="L160" s="1266" t="n">
        <f aca="false">L159+1</f>
        <v>148</v>
      </c>
      <c r="M160" s="1303" t="n">
        <f aca="false">HLOOKUP(M$14,Dec_Change,$L160)</f>
        <v>1.02675304554174</v>
      </c>
      <c r="N160" s="1304" t="n">
        <f aca="false">N159</f>
        <v>1.005</v>
      </c>
      <c r="O160" s="1307" t="n">
        <f aca="false">IF(AND($A160&gt;=O$16,MONTH($A160)=MONTH(O$16)),MAX(M160,N160)*O159,O159)</f>
        <v>1.33877978058913</v>
      </c>
      <c r="Q160" s="1303" t="n">
        <f aca="false">HLOOKUP(Q$14,Dec_Change,$L160)</f>
        <v>1.02675304554174</v>
      </c>
      <c r="R160" s="1304" t="n">
        <f aca="false">R159</f>
        <v>0</v>
      </c>
      <c r="S160" s="1307" t="n">
        <f aca="false">IF(AND($A160&gt;=S$16,MONTH($A160)=MONTH(S$16)),MAX(Q160,R160)*S159,S159)</f>
        <v>1.26052631331815</v>
      </c>
    </row>
    <row r="161" customFormat="false" ht="12.75" hidden="false" customHeight="false" outlineLevel="0" collapsed="false">
      <c r="A161" s="1305" t="n">
        <f aca="false">EDATE(A160,1)</f>
        <v>39722</v>
      </c>
      <c r="B161" s="1297" t="n">
        <f aca="false">'[3]Monthly Curve Calc.'!B164</f>
        <v>351.398323998873</v>
      </c>
      <c r="C161" s="1298" t="n">
        <f aca="false">'[3]Monthly Curve Calc.'!C164</f>
        <v>217.287205601944</v>
      </c>
      <c r="D161" s="1298" t="n">
        <f aca="false">'[3]Monthly Curve Calc.'!D164</f>
        <v>172.518182858213</v>
      </c>
      <c r="E161" s="1298" t="n">
        <f aca="false">'[3]Monthly Curve Calc.'!E164</f>
        <v>20.4008333333333</v>
      </c>
      <c r="F161" s="1299" t="n">
        <f aca="false">'[3]Monthly Curve Calc.'!F164</f>
        <v>2.51555897685407</v>
      </c>
      <c r="G161" s="1306" t="n">
        <f aca="false">IF(AND($A161&gt;G$16,MONTH($A161)=MONTH(G$16)),B160/B148,G160)</f>
        <v>1.075</v>
      </c>
      <c r="H161" s="1304" t="n">
        <f aca="false">IF(AND($A161&gt;H$16,MONTH($A161)=MONTH(H$16)),C160/C148,H160)</f>
        <v>1.02675304554174</v>
      </c>
      <c r="I161" s="1304" t="n">
        <f aca="false">IF(AND($A161&gt;I$16,MONTH($A161)=MONTH(I$16)),C160/C148-I$18,I160)</f>
        <v>1.02425304554174</v>
      </c>
      <c r="J161" s="1304" t="n">
        <f aca="false">IF(AND($A161&gt;J$16,MONTH($A161)=MONTH(J$16)),D160/D148,J160)</f>
        <v>1.02168740887725</v>
      </c>
      <c r="K161" s="1307" t="n">
        <f aca="false">IF($A161&gt;=K$16,IF(MONTH($A161)=MONTH(K$16),AVERAGE(E149:E160),K160),K160)</f>
        <v>19.7425</v>
      </c>
      <c r="L161" s="1266" t="n">
        <f aca="false">L160+1</f>
        <v>149</v>
      </c>
      <c r="M161" s="1303" t="n">
        <f aca="false">HLOOKUP(M$14,Dec_Change,$L161)</f>
        <v>1.02675304554174</v>
      </c>
      <c r="N161" s="1304" t="n">
        <f aca="false">N160</f>
        <v>1.005</v>
      </c>
      <c r="O161" s="1307" t="n">
        <f aca="false">IF(AND($A161&gt;=O$16,MONTH($A161)=MONTH(O$16)),MAX(M161,N161)*O160,O160)</f>
        <v>1.33877978058913</v>
      </c>
      <c r="Q161" s="1303" t="n">
        <f aca="false">HLOOKUP(Q$14,Dec_Change,$L161)</f>
        <v>1.02675304554174</v>
      </c>
      <c r="R161" s="1304" t="n">
        <f aca="false">R160</f>
        <v>0</v>
      </c>
      <c r="S161" s="1307" t="n">
        <f aca="false">IF(AND($A161&gt;=S$16,MONTH($A161)=MONTH(S$16)),MAX(Q161,R161)*S160,S160)</f>
        <v>1.26052631331815</v>
      </c>
    </row>
    <row r="162" customFormat="false" ht="12.75" hidden="false" customHeight="false" outlineLevel="0" collapsed="false">
      <c r="A162" s="1305" t="n">
        <f aca="false">EDATE(A161,1)</f>
        <v>39753</v>
      </c>
      <c r="B162" s="1297" t="n">
        <f aca="false">'[3]Monthly Curve Calc.'!B165</f>
        <v>353.522498412718</v>
      </c>
      <c r="C162" s="1298" t="n">
        <f aca="false">'[3]Monthly Curve Calc.'!C165</f>
        <v>217.759898027525</v>
      </c>
      <c r="D162" s="1298" t="n">
        <f aca="false">'[3]Monthly Curve Calc.'!D165</f>
        <v>172.809579463502</v>
      </c>
      <c r="E162" s="1298" t="n">
        <f aca="false">'[3]Monthly Curve Calc.'!E165</f>
        <v>20.4529166666667</v>
      </c>
      <c r="F162" s="1299" t="n">
        <f aca="false">'[3]Monthly Curve Calc.'!F165</f>
        <v>2.52087883273429</v>
      </c>
      <c r="G162" s="1306" t="n">
        <f aca="false">IF(AND($A162&gt;G$16,MONTH($A162)=MONTH(G$16)),B161/B149,G161)</f>
        <v>1.075</v>
      </c>
      <c r="H162" s="1304" t="n">
        <f aca="false">IF(AND($A162&gt;H$16,MONTH($A162)=MONTH(H$16)),C161/C149,H161)</f>
        <v>1.02675304554174</v>
      </c>
      <c r="I162" s="1304" t="n">
        <f aca="false">IF(AND($A162&gt;I$16,MONTH($A162)=MONTH(I$16)),C161/C149-I$18,I161)</f>
        <v>1.02425304554174</v>
      </c>
      <c r="J162" s="1304" t="n">
        <f aca="false">IF(AND($A162&gt;J$16,MONTH($A162)=MONTH(J$16)),D161/D149,J161)</f>
        <v>1.02168740887725</v>
      </c>
      <c r="K162" s="1307" t="n">
        <f aca="false">IF($A162&gt;=K$16,IF(MONTH($A162)=MONTH(K$16),AVERAGE(E150:E161),K161),K161)</f>
        <v>19.7425</v>
      </c>
      <c r="L162" s="1266" t="n">
        <f aca="false">L161+1</f>
        <v>150</v>
      </c>
      <c r="M162" s="1303" t="n">
        <f aca="false">HLOOKUP(M$14,Dec_Change,$L162)</f>
        <v>1.02675304554174</v>
      </c>
      <c r="N162" s="1304" t="n">
        <f aca="false">N161</f>
        <v>1.005</v>
      </c>
      <c r="O162" s="1307" t="n">
        <f aca="false">IF(AND($A162&gt;=O$16,MONTH($A162)=MONTH(O$16)),MAX(M162,N162)*O161,O161)</f>
        <v>1.33877978058913</v>
      </c>
      <c r="Q162" s="1303" t="n">
        <f aca="false">HLOOKUP(Q$14,Dec_Change,$L162)</f>
        <v>1.02675304554174</v>
      </c>
      <c r="R162" s="1304" t="n">
        <f aca="false">R161</f>
        <v>0</v>
      </c>
      <c r="S162" s="1307" t="n">
        <f aca="false">IF(AND($A162&gt;=S$16,MONTH($A162)=MONTH(S$16)),MAX(Q162,R162)*S161,S161)</f>
        <v>1.26052631331815</v>
      </c>
    </row>
    <row r="163" customFormat="false" ht="12.75" hidden="false" customHeight="false" outlineLevel="0" collapsed="false">
      <c r="A163" s="1305" t="n">
        <f aca="false">EDATE(A162,1)</f>
        <v>39783</v>
      </c>
      <c r="B163" s="1297" t="n">
        <f aca="false">'[3]Monthly Curve Calc.'!B166</f>
        <v>355.659513288888</v>
      </c>
      <c r="C163" s="1298" t="n">
        <f aca="false">'[3]Monthly Curve Calc.'!C166</f>
        <v>218.233618760911</v>
      </c>
      <c r="D163" s="1298" t="n">
        <f aca="false">'[3]Monthly Curve Calc.'!D166</f>
        <v>173.101468260283</v>
      </c>
      <c r="E163" s="1298" t="n">
        <f aca="false">'[3]Monthly Curve Calc.'!E166</f>
        <v>20.505</v>
      </c>
      <c r="F163" s="1299" t="n">
        <f aca="false">'[3]Monthly Curve Calc.'!F166</f>
        <v>2.52620993894371</v>
      </c>
      <c r="G163" s="1306" t="n">
        <f aca="false">IF(AND($A163&gt;G$16,MONTH($A163)=MONTH(G$16)),B162/B150,G162)</f>
        <v>1.075</v>
      </c>
      <c r="H163" s="1304" t="n">
        <f aca="false">IF(AND($A163&gt;H$16,MONTH($A163)=MONTH(H$16)),C162/C150,H162)</f>
        <v>1.02675304554174</v>
      </c>
      <c r="I163" s="1304" t="n">
        <f aca="false">IF(AND($A163&gt;I$16,MONTH($A163)=MONTH(I$16)),C162/C150-I$18,I162)</f>
        <v>1.02425304554174</v>
      </c>
      <c r="J163" s="1304" t="n">
        <f aca="false">IF(AND($A163&gt;J$16,MONTH($A163)=MONTH(J$16)),D162/D150,J162)</f>
        <v>1.02168740887725</v>
      </c>
      <c r="K163" s="1307" t="n">
        <f aca="false">IF($A163&gt;=K$16,IF(MONTH($A163)=MONTH(K$16),AVERAGE(E151:E162),K162),K162)</f>
        <v>19.7425</v>
      </c>
      <c r="L163" s="1266" t="n">
        <f aca="false">L162+1</f>
        <v>151</v>
      </c>
      <c r="M163" s="1303" t="n">
        <f aca="false">HLOOKUP(M$14,Dec_Change,$L163)</f>
        <v>1.02675304554174</v>
      </c>
      <c r="N163" s="1304" t="n">
        <f aca="false">N162</f>
        <v>1.005</v>
      </c>
      <c r="O163" s="1307" t="n">
        <f aca="false">IF(AND($A163&gt;=O$16,MONTH($A163)=MONTH(O$16)),MAX(M163,N163)*O162,O162)</f>
        <v>1.33877978058913</v>
      </c>
      <c r="Q163" s="1303" t="n">
        <f aca="false">HLOOKUP(Q$14,Dec_Change,$L163)</f>
        <v>1.02675304554174</v>
      </c>
      <c r="R163" s="1304" t="n">
        <f aca="false">R162</f>
        <v>0</v>
      </c>
      <c r="S163" s="1307" t="n">
        <f aca="false">IF(AND($A163&gt;=S$16,MONTH($A163)=MONTH(S$16)),MAX(Q163,R163)*S162,S162)</f>
        <v>1.26052631331815</v>
      </c>
    </row>
    <row r="164" customFormat="false" ht="12.75" hidden="false" customHeight="false" outlineLevel="0" collapsed="false">
      <c r="A164" s="1305" t="n">
        <f aca="false">EDATE(A163,1)</f>
        <v>39814</v>
      </c>
      <c r="B164" s="1297" t="n">
        <f aca="false">'[3]Monthly Curve Calc.'!B167</f>
        <v>357.726128124347</v>
      </c>
      <c r="C164" s="1298" t="n">
        <f aca="false">'[3]Monthly Curve Calc.'!C167</f>
        <v>218.700452127379</v>
      </c>
      <c r="D164" s="1298" t="n">
        <f aca="false">'[3]Monthly Curve Calc.'!D167</f>
        <v>173.38121940357</v>
      </c>
      <c r="E164" s="1298" t="n">
        <f aca="false">'[3]Monthly Curve Calc.'!E167</f>
        <v>20.555</v>
      </c>
      <c r="F164" s="1299" t="n">
        <f aca="false">'[3]Monthly Curve Calc.'!F167</f>
        <v>2.53141351780118</v>
      </c>
      <c r="G164" s="1306" t="n">
        <f aca="false">IF(AND($A164&gt;G$16,MONTH($A164)=MONTH(G$16)),B163/B151,G163)</f>
        <v>1.075</v>
      </c>
      <c r="H164" s="1304" t="n">
        <f aca="false">IF(AND($A164&gt;H$16,MONTH($A164)=MONTH(H$16)),C163/C151,H163)</f>
        <v>1.02675304554174</v>
      </c>
      <c r="I164" s="1304" t="n">
        <f aca="false">IF(AND($A164&gt;I$16,MONTH($A164)=MONTH(I$16)),C163/C151-I$18,I163)</f>
        <v>1.02425304554174</v>
      </c>
      <c r="J164" s="1304" t="n">
        <f aca="false">IF(AND($A164&gt;J$16,MONTH($A164)=MONTH(J$16)),D163/D151,J163)</f>
        <v>1.02045829278556</v>
      </c>
      <c r="K164" s="1307" t="n">
        <f aca="false">IF($A164&gt;=K$16,IF(MONTH($A164)=MONTH(K$16),AVERAGE(E152:E163),K163),K163)</f>
        <v>20.2185416666667</v>
      </c>
      <c r="L164" s="1266" t="n">
        <f aca="false">L163+1</f>
        <v>152</v>
      </c>
      <c r="M164" s="1303" t="n">
        <f aca="false">HLOOKUP(M$14,Dec_Change,$L164)</f>
        <v>1.02675304554174</v>
      </c>
      <c r="N164" s="1304" t="n">
        <f aca="false">N163</f>
        <v>1.005</v>
      </c>
      <c r="O164" s="1307" t="n">
        <f aca="false">IF(AND($A164&gt;=O$16,MONTH($A164)=MONTH(O$16)),MAX(M164,N164)*O163,O163)</f>
        <v>1.33877978058913</v>
      </c>
      <c r="Q164" s="1303" t="n">
        <f aca="false">HLOOKUP(Q$14,Dec_Change,$L164)</f>
        <v>1.02675304554174</v>
      </c>
      <c r="R164" s="1304" t="n">
        <f aca="false">R163</f>
        <v>0</v>
      </c>
      <c r="S164" s="1307" t="n">
        <f aca="false">IF(AND($A164&gt;=S$16,MONTH($A164)=MONTH(S$16)),MAX(Q164,R164)*S163,S163)</f>
        <v>1.26052631331815</v>
      </c>
    </row>
    <row r="165" customFormat="false" ht="12.75" hidden="false" customHeight="false" outlineLevel="0" collapsed="false">
      <c r="A165" s="1305" t="n">
        <f aca="false">EDATE(A164,1)</f>
        <v>39845</v>
      </c>
      <c r="B165" s="1297" t="n">
        <f aca="false">'[3]Monthly Curve Calc.'!B168</f>
        <v>359.80475134625</v>
      </c>
      <c r="C165" s="1298" t="n">
        <f aca="false">'[3]Monthly Curve Calc.'!C168</f>
        <v>219.168284118134</v>
      </c>
      <c r="D165" s="1298" t="n">
        <f aca="false">'[3]Monthly Curve Calc.'!D168</f>
        <v>173.661422655686</v>
      </c>
      <c r="E165" s="1298" t="n">
        <f aca="false">'[3]Monthly Curve Calc.'!E168</f>
        <v>20.605</v>
      </c>
      <c r="F165" s="1299" t="n">
        <f aca="false">'[3]Monthly Curve Calc.'!F168</f>
        <v>2.53662781517912</v>
      </c>
      <c r="G165" s="1306" t="n">
        <f aca="false">IF(AND($A165&gt;G$16,MONTH($A165)=MONTH(G$16)),B164/B152,G164)</f>
        <v>1.075</v>
      </c>
      <c r="H165" s="1304" t="n">
        <f aca="false">IF(AND($A165&gt;H$16,MONTH($A165)=MONTH(H$16)),C164/C152,H164)</f>
        <v>1.02675304554174</v>
      </c>
      <c r="I165" s="1304" t="n">
        <f aca="false">IF(AND($A165&gt;I$16,MONTH($A165)=MONTH(I$16)),C164/C152-I$18,I164)</f>
        <v>1.02425304554174</v>
      </c>
      <c r="J165" s="1304" t="n">
        <f aca="false">IF(AND($A165&gt;J$16,MONTH($A165)=MONTH(J$16)),D164/D152,J164)</f>
        <v>1.02045829278556</v>
      </c>
      <c r="K165" s="1307" t="n">
        <f aca="false">IF($A165&gt;=K$16,IF(MONTH($A165)=MONTH(K$16),AVERAGE(E153:E164),K164),K164)</f>
        <v>20.2185416666667</v>
      </c>
      <c r="L165" s="1266" t="n">
        <f aca="false">L164+1</f>
        <v>153</v>
      </c>
      <c r="M165" s="1303" t="n">
        <f aca="false">HLOOKUP(M$14,Dec_Change,$L165)</f>
        <v>1.02675304554174</v>
      </c>
      <c r="N165" s="1304" t="n">
        <f aca="false">N164</f>
        <v>1.005</v>
      </c>
      <c r="O165" s="1307" t="n">
        <f aca="false">IF(AND($A165&gt;=O$16,MONTH($A165)=MONTH(O$16)),MAX(M165,N165)*O164,O164)</f>
        <v>1.33877978058913</v>
      </c>
      <c r="Q165" s="1303" t="n">
        <f aca="false">HLOOKUP(Q$14,Dec_Change,$L165)</f>
        <v>1.02675304554174</v>
      </c>
      <c r="R165" s="1304" t="n">
        <f aca="false">R164</f>
        <v>0</v>
      </c>
      <c r="S165" s="1307" t="n">
        <f aca="false">IF(AND($A165&gt;=S$16,MONTH($A165)=MONTH(S$16)),MAX(Q165,R165)*S164,S164)</f>
        <v>1.26052631331815</v>
      </c>
    </row>
    <row r="166" customFormat="false" ht="12.75" hidden="false" customHeight="false" outlineLevel="0" collapsed="false">
      <c r="A166" s="1305" t="n">
        <f aca="false">EDATE(A165,1)</f>
        <v>39873</v>
      </c>
      <c r="B166" s="1297" t="n">
        <f aca="false">'[3]Monthly Curve Calc.'!B169</f>
        <v>361.895452731191</v>
      </c>
      <c r="C166" s="1298" t="n">
        <f aca="false">'[3]Monthly Curve Calc.'!C169</f>
        <v>219.637116869379</v>
      </c>
      <c r="D166" s="1298" t="n">
        <f aca="false">'[3]Monthly Curve Calc.'!D169</f>
        <v>173.94207874729</v>
      </c>
      <c r="E166" s="1298" t="n">
        <f aca="false">'[3]Monthly Curve Calc.'!E169</f>
        <v>20.655</v>
      </c>
      <c r="F166" s="1299" t="n">
        <f aca="false">'[3]Monthly Curve Calc.'!F169</f>
        <v>2.54185285315591</v>
      </c>
      <c r="G166" s="1306" t="n">
        <f aca="false">IF(AND($A166&gt;G$16,MONTH($A166)=MONTH(G$16)),B165/B153,G165)</f>
        <v>1.075</v>
      </c>
      <c r="H166" s="1304" t="n">
        <f aca="false">IF(AND($A166&gt;H$16,MONTH($A166)=MONTH(H$16)),C165/C153,H165)</f>
        <v>1.02675304554174</v>
      </c>
      <c r="I166" s="1304" t="n">
        <f aca="false">IF(AND($A166&gt;I$16,MONTH($A166)=MONTH(I$16)),C165/C153-I$18,I165)</f>
        <v>1.02425304554174</v>
      </c>
      <c r="J166" s="1304" t="n">
        <f aca="false">IF(AND($A166&gt;J$16,MONTH($A166)=MONTH(J$16)),D165/D153,J165)</f>
        <v>1.02045829278556</v>
      </c>
      <c r="K166" s="1307" t="n">
        <f aca="false">IF($A166&gt;=K$16,IF(MONTH($A166)=MONTH(K$16),AVERAGE(E154:E165),K165),K165)</f>
        <v>20.2185416666667</v>
      </c>
      <c r="L166" s="1266" t="n">
        <f aca="false">L165+1</f>
        <v>154</v>
      </c>
      <c r="M166" s="1303" t="n">
        <f aca="false">HLOOKUP(M$14,Dec_Change,$L166)</f>
        <v>1.02675304554174</v>
      </c>
      <c r="N166" s="1304" t="n">
        <f aca="false">N165</f>
        <v>1.005</v>
      </c>
      <c r="O166" s="1307" t="n">
        <f aca="false">IF(AND($A166&gt;=O$16,MONTH($A166)=MONTH(O$16)),MAX(M166,N166)*O165,O165)</f>
        <v>1.33877978058913</v>
      </c>
      <c r="Q166" s="1303" t="n">
        <f aca="false">HLOOKUP(Q$14,Dec_Change,$L166)</f>
        <v>1.02675304554174</v>
      </c>
      <c r="R166" s="1304" t="n">
        <f aca="false">R165</f>
        <v>0</v>
      </c>
      <c r="S166" s="1307" t="n">
        <f aca="false">IF(AND($A166&gt;=S$16,MONTH($A166)=MONTH(S$16)),MAX(Q166,R166)*S165,S165)</f>
        <v>1.26052631331815</v>
      </c>
    </row>
    <row r="167" customFormat="false" ht="12.75" hidden="false" customHeight="false" outlineLevel="0" collapsed="false">
      <c r="A167" s="1305" t="n">
        <f aca="false">EDATE(A166,1)</f>
        <v>39904</v>
      </c>
      <c r="B167" s="1297" t="n">
        <f aca="false">'[3]Monthly Curve Calc.'!B170</f>
        <v>363.998302461213</v>
      </c>
      <c r="C167" s="1298" t="n">
        <f aca="false">'[3]Monthly Curve Calc.'!C170</f>
        <v>220.106952521885</v>
      </c>
      <c r="D167" s="1298" t="n">
        <f aca="false">'[3]Monthly Curve Calc.'!D170</f>
        <v>174.223188410219</v>
      </c>
      <c r="E167" s="1298" t="n">
        <f aca="false">'[3]Monthly Curve Calc.'!E170</f>
        <v>20.705</v>
      </c>
      <c r="F167" s="1299" t="n">
        <f aca="false">'[3]Monthly Curve Calc.'!F170</f>
        <v>2.54708865385545</v>
      </c>
      <c r="G167" s="1306" t="n">
        <f aca="false">IF(AND($A167&gt;G$16,MONTH($A167)=MONTH(G$16)),B166/B154,G166)</f>
        <v>1.075</v>
      </c>
      <c r="H167" s="1304" t="n">
        <f aca="false">IF(AND($A167&gt;H$16,MONTH($A167)=MONTH(H$16)),C166/C154,H166)</f>
        <v>1.02675304554174</v>
      </c>
      <c r="I167" s="1304" t="n">
        <f aca="false">IF(AND($A167&gt;I$16,MONTH($A167)=MONTH(I$16)),C166/C154-I$18,I166)</f>
        <v>1.02425304554174</v>
      </c>
      <c r="J167" s="1304" t="n">
        <f aca="false">IF(AND($A167&gt;J$16,MONTH($A167)=MONTH(J$16)),D166/D154,J166)</f>
        <v>1.02045829278556</v>
      </c>
      <c r="K167" s="1307" t="n">
        <f aca="false">IF($A167&gt;=K$16,IF(MONTH($A167)=MONTH(K$16),AVERAGE(E155:E166),K166),K166)</f>
        <v>20.2185416666667</v>
      </c>
      <c r="L167" s="1266" t="n">
        <f aca="false">L166+1</f>
        <v>155</v>
      </c>
      <c r="M167" s="1303" t="n">
        <f aca="false">HLOOKUP(M$14,Dec_Change,$L167)</f>
        <v>1.02675304554174</v>
      </c>
      <c r="N167" s="1304" t="n">
        <f aca="false">N166</f>
        <v>1.005</v>
      </c>
      <c r="O167" s="1307" t="n">
        <f aca="false">IF(AND($A167&gt;=O$16,MONTH($A167)=MONTH(O$16)),MAX(M167,N167)*O166,O166)</f>
        <v>1.33877978058913</v>
      </c>
      <c r="Q167" s="1303" t="n">
        <f aca="false">HLOOKUP(Q$14,Dec_Change,$L167)</f>
        <v>1.02675304554174</v>
      </c>
      <c r="R167" s="1304" t="n">
        <f aca="false">R166</f>
        <v>0</v>
      </c>
      <c r="S167" s="1307" t="n">
        <f aca="false">IF(AND($A167&gt;=S$16,MONTH($A167)=MONTH(S$16)),MAX(Q167,R167)*S166,S166)</f>
        <v>1.26052631331815</v>
      </c>
    </row>
    <row r="168" customFormat="false" ht="12.75" hidden="false" customHeight="false" outlineLevel="0" collapsed="false">
      <c r="A168" s="1305" t="n">
        <f aca="false">EDATE(A167,1)</f>
        <v>39934</v>
      </c>
      <c r="B168" s="1297" t="n">
        <f aca="false">'[3]Monthly Curve Calc.'!B171</f>
        <v>366.113371126161</v>
      </c>
      <c r="C168" s="1298" t="n">
        <f aca="false">'[3]Monthly Curve Calc.'!C171</f>
        <v>220.577793221005</v>
      </c>
      <c r="D168" s="1298" t="n">
        <f aca="false">'[3]Monthly Curve Calc.'!D171</f>
        <v>174.504752377496</v>
      </c>
      <c r="E168" s="1298" t="n">
        <f aca="false">'[3]Monthly Curve Calc.'!E171</f>
        <v>20.755</v>
      </c>
      <c r="F168" s="1299" t="n">
        <f aca="false">'[3]Monthly Curve Calc.'!F171</f>
        <v>2.55233523944716</v>
      </c>
      <c r="G168" s="1306" t="n">
        <f aca="false">IF(AND($A168&gt;G$16,MONTH($A168)=MONTH(G$16)),B167/B155,G167)</f>
        <v>1.07399906832253</v>
      </c>
      <c r="H168" s="1304" t="n">
        <f aca="false">IF(AND($A168&gt;H$16,MONTH($A168)=MONTH(H$16)),C167/C155,H167)</f>
        <v>1.02627111225796</v>
      </c>
      <c r="I168" s="1304" t="n">
        <f aca="false">IF(AND($A168&gt;I$16,MONTH($A168)=MONTH(I$16)),C167/C155-I$18,I167)</f>
        <v>1.02377111225796</v>
      </c>
      <c r="J168" s="1304" t="n">
        <f aca="false">IF(AND($A168&gt;J$16,MONTH($A168)=MONTH(J$16)),D167/D155,J167)</f>
        <v>1.02045829278556</v>
      </c>
      <c r="K168" s="1307" t="n">
        <f aca="false">IF($A168&gt;=K$16,IF(MONTH($A168)=MONTH(K$16),AVERAGE(E156:E167),K167),K167)</f>
        <v>20.2185416666667</v>
      </c>
      <c r="L168" s="1266" t="n">
        <f aca="false">L167+1</f>
        <v>156</v>
      </c>
      <c r="M168" s="1303" t="n">
        <f aca="false">HLOOKUP(M$14,Dec_Change,$L168)</f>
        <v>1.02627111225796</v>
      </c>
      <c r="N168" s="1304" t="n">
        <f aca="false">N167</f>
        <v>1.005</v>
      </c>
      <c r="O168" s="1307" t="n">
        <f aca="false">IF(AND($A168&gt;=O$16,MONTH($A168)=MONTH(O$16)),MAX(M168,N168)*O167,O167)</f>
        <v>1.37395101449367</v>
      </c>
      <c r="Q168" s="1303" t="n">
        <f aca="false">HLOOKUP(Q$14,Dec_Change,$L168)</f>
        <v>1.02627111225796</v>
      </c>
      <c r="R168" s="1304" t="n">
        <f aca="false">R167</f>
        <v>0</v>
      </c>
      <c r="S168" s="1307" t="n">
        <f aca="false">IF(AND($A168&gt;=S$16,MONTH($A168)=MONTH(S$16)),MAX(Q168,R168)*S167,S167)</f>
        <v>1.26052631331815</v>
      </c>
    </row>
    <row r="169" customFormat="false" ht="12.75" hidden="false" customHeight="false" outlineLevel="0" collapsed="false">
      <c r="A169" s="1305" t="n">
        <f aca="false">EDATE(A168,1)</f>
        <v>39965</v>
      </c>
      <c r="B169" s="1297" t="n">
        <f aca="false">'[3]Monthly Curve Calc.'!B172</f>
        <v>368.240729726054</v>
      </c>
      <c r="C169" s="1298" t="n">
        <f aca="false">'[3]Monthly Curve Calc.'!C172</f>
        <v>221.049641116678</v>
      </c>
      <c r="D169" s="1298" t="n">
        <f aca="false">'[3]Monthly Curve Calc.'!D172</f>
        <v>174.786771383327</v>
      </c>
      <c r="E169" s="1298" t="n">
        <f aca="false">'[3]Monthly Curve Calc.'!E172</f>
        <v>20.805</v>
      </c>
      <c r="F169" s="1299" t="n">
        <f aca="false">'[3]Monthly Curve Calc.'!F172</f>
        <v>2.55759263214617</v>
      </c>
      <c r="G169" s="1306" t="n">
        <f aca="false">IF(AND($A169&gt;G$16,MONTH($A169)=MONTH(G$16)),B168/B156,G168)</f>
        <v>1.07399906832253</v>
      </c>
      <c r="H169" s="1304" t="n">
        <f aca="false">IF(AND($A169&gt;H$16,MONTH($A169)=MONTH(H$16)),C168/C156,H168)</f>
        <v>1.02627111225796</v>
      </c>
      <c r="I169" s="1304" t="n">
        <f aca="false">IF(AND($A169&gt;I$16,MONTH($A169)=MONTH(I$16)),C168/C156-I$18,I168)</f>
        <v>1.02377111225796</v>
      </c>
      <c r="J169" s="1304" t="n">
        <f aca="false">IF(AND($A169&gt;J$16,MONTH($A169)=MONTH(J$16)),D168/D156,J168)</f>
        <v>1.02045829278556</v>
      </c>
      <c r="K169" s="1307" t="n">
        <f aca="false">IF($A169&gt;=K$16,IF(MONTH($A169)=MONTH(K$16),AVERAGE(E157:E168),K168),K168)</f>
        <v>20.2185416666667</v>
      </c>
      <c r="L169" s="1266" t="n">
        <f aca="false">L168+1</f>
        <v>157</v>
      </c>
      <c r="M169" s="1303" t="n">
        <f aca="false">HLOOKUP(M$14,Dec_Change,$L169)</f>
        <v>1.02627111225796</v>
      </c>
      <c r="N169" s="1304" t="n">
        <f aca="false">N168</f>
        <v>1.005</v>
      </c>
      <c r="O169" s="1307" t="n">
        <f aca="false">IF(AND($A169&gt;=O$16,MONTH($A169)=MONTH(O$16)),MAX(M169,N169)*O168,O168)</f>
        <v>1.37395101449367</v>
      </c>
      <c r="Q169" s="1303" t="n">
        <f aca="false">HLOOKUP(Q$14,Dec_Change,$L169)</f>
        <v>1.02627111225796</v>
      </c>
      <c r="R169" s="1304" t="n">
        <f aca="false">R168</f>
        <v>0</v>
      </c>
      <c r="S169" s="1307" t="n">
        <f aca="false">IF(AND($A169&gt;=S$16,MONTH($A169)=MONTH(S$16)),MAX(Q169,R169)*S168,S168)</f>
        <v>1.29364174159944</v>
      </c>
    </row>
    <row r="170" customFormat="false" ht="12.75" hidden="false" customHeight="false" outlineLevel="0" collapsed="false">
      <c r="A170" s="1305" t="n">
        <f aca="false">EDATE(A169,1)</f>
        <v>39995</v>
      </c>
      <c r="B170" s="1297" t="n">
        <f aca="false">'[3]Monthly Curve Calc.'!B173</f>
        <v>370.380449673469</v>
      </c>
      <c r="C170" s="1298" t="n">
        <f aca="false">'[3]Monthly Curve Calc.'!C173</f>
        <v>221.522498363443</v>
      </c>
      <c r="D170" s="1298" t="n">
        <f aca="false">'[3]Monthly Curve Calc.'!D173</f>
        <v>175.069246163104</v>
      </c>
      <c r="E170" s="1298" t="n">
        <f aca="false">'[3]Monthly Curve Calc.'!E173</f>
        <v>20.855</v>
      </c>
      <c r="F170" s="1299" t="n">
        <f aca="false">'[3]Monthly Curve Calc.'!F173</f>
        <v>2.56286085421335</v>
      </c>
      <c r="G170" s="1306" t="n">
        <f aca="false">IF(AND($A170&gt;G$16,MONTH($A170)=MONTH(G$16)),B169/B157,G169)</f>
        <v>1.07399906832253</v>
      </c>
      <c r="H170" s="1304" t="n">
        <f aca="false">IF(AND($A170&gt;H$16,MONTH($A170)=MONTH(H$16)),C169/C157,H169)</f>
        <v>1.02627111225796</v>
      </c>
      <c r="I170" s="1304" t="n">
        <f aca="false">IF(AND($A170&gt;I$16,MONTH($A170)=MONTH(I$16)),C169/C157-I$18,I169)</f>
        <v>1.02377111225796</v>
      </c>
      <c r="J170" s="1304" t="n">
        <f aca="false">IF(AND($A170&gt;J$16,MONTH($A170)=MONTH(J$16)),D169/D157,J169)</f>
        <v>1.02045829278556</v>
      </c>
      <c r="K170" s="1307" t="n">
        <f aca="false">IF($A170&gt;=K$16,IF(MONTH($A170)=MONTH(K$16),AVERAGE(E158:E169),K169),K169)</f>
        <v>20.2185416666667</v>
      </c>
      <c r="L170" s="1266" t="n">
        <f aca="false">L169+1</f>
        <v>158</v>
      </c>
      <c r="M170" s="1303" t="n">
        <f aca="false">HLOOKUP(M$14,Dec_Change,$L170)</f>
        <v>1.02627111225796</v>
      </c>
      <c r="N170" s="1304" t="n">
        <f aca="false">N169</f>
        <v>1.005</v>
      </c>
      <c r="O170" s="1307" t="n">
        <f aca="false">IF(AND($A170&gt;=O$16,MONTH($A170)=MONTH(O$16)),MAX(M170,N170)*O169,O169)</f>
        <v>1.37395101449367</v>
      </c>
      <c r="Q170" s="1303" t="n">
        <f aca="false">HLOOKUP(Q$14,Dec_Change,$L170)</f>
        <v>1.02627111225796</v>
      </c>
      <c r="R170" s="1304" t="n">
        <f aca="false">R169</f>
        <v>0</v>
      </c>
      <c r="S170" s="1307" t="n">
        <f aca="false">IF(AND($A170&gt;=S$16,MONTH($A170)=MONTH(S$16)),MAX(Q170,R170)*S169,S169)</f>
        <v>1.29364174159944</v>
      </c>
    </row>
    <row r="171" customFormat="false" ht="12.75" hidden="false" customHeight="false" outlineLevel="0" collapsed="false">
      <c r="A171" s="1305" t="n">
        <f aca="false">EDATE(A170,1)</f>
        <v>40026</v>
      </c>
      <c r="B171" s="1297" t="n">
        <f aca="false">'[3]Monthly Curve Calc.'!B174</f>
        <v>372.532602795934</v>
      </c>
      <c r="C171" s="1298" t="n">
        <f aca="false">'[3]Monthly Curve Calc.'!C174</f>
        <v>221.99636712045</v>
      </c>
      <c r="D171" s="1298" t="n">
        <f aca="false">'[3]Monthly Curve Calc.'!D174</f>
        <v>175.352177453409</v>
      </c>
      <c r="E171" s="1298" t="n">
        <f aca="false">'[3]Monthly Curve Calc.'!E174</f>
        <v>20.905</v>
      </c>
      <c r="F171" s="1299" t="n">
        <f aca="false">'[3]Monthly Curve Calc.'!F174</f>
        <v>2.56813992795542</v>
      </c>
      <c r="G171" s="1306" t="n">
        <f aca="false">IF(AND($A171&gt;G$16,MONTH($A171)=MONTH(G$16)),B170/B158,G170)</f>
        <v>1.07399906832253</v>
      </c>
      <c r="H171" s="1304" t="n">
        <f aca="false">IF(AND($A171&gt;H$16,MONTH($A171)=MONTH(H$16)),C170/C158,H170)</f>
        <v>1.02627111225796</v>
      </c>
      <c r="I171" s="1304" t="n">
        <f aca="false">IF(AND($A171&gt;I$16,MONTH($A171)=MONTH(I$16)),C170/C158-I$18,I170)</f>
        <v>1.02377111225796</v>
      </c>
      <c r="J171" s="1304" t="n">
        <f aca="false">IF(AND($A171&gt;J$16,MONTH($A171)=MONTH(J$16)),D170/D158,J170)</f>
        <v>1.02045829278556</v>
      </c>
      <c r="K171" s="1307" t="n">
        <f aca="false">IF($A171&gt;=K$16,IF(MONTH($A171)=MONTH(K$16),AVERAGE(E159:E170),K170),K170)</f>
        <v>20.2185416666667</v>
      </c>
      <c r="L171" s="1266" t="n">
        <f aca="false">L170+1</f>
        <v>159</v>
      </c>
      <c r="M171" s="1303" t="n">
        <f aca="false">HLOOKUP(M$14,Dec_Change,$L171)</f>
        <v>1.02627111225796</v>
      </c>
      <c r="N171" s="1304" t="n">
        <f aca="false">N170</f>
        <v>1.005</v>
      </c>
      <c r="O171" s="1307" t="n">
        <f aca="false">IF(AND($A171&gt;=O$16,MONTH($A171)=MONTH(O$16)),MAX(M171,N171)*O170,O170)</f>
        <v>1.37395101449367</v>
      </c>
      <c r="Q171" s="1303" t="n">
        <f aca="false">HLOOKUP(Q$14,Dec_Change,$L171)</f>
        <v>1.02627111225796</v>
      </c>
      <c r="R171" s="1304" t="n">
        <f aca="false">R170</f>
        <v>0</v>
      </c>
      <c r="S171" s="1307" t="n">
        <f aca="false">IF(AND($A171&gt;=S$16,MONTH($A171)=MONTH(S$16)),MAX(Q171,R171)*S170,S170)</f>
        <v>1.29364174159944</v>
      </c>
    </row>
    <row r="172" customFormat="false" ht="12.75" hidden="false" customHeight="false" outlineLevel="0" collapsed="false">
      <c r="A172" s="1305" t="n">
        <f aca="false">EDATE(A171,1)</f>
        <v>40057</v>
      </c>
      <c r="B172" s="1297" t="n">
        <f aca="false">'[3]Monthly Curve Calc.'!B175</f>
        <v>374.697261338343</v>
      </c>
      <c r="C172" s="1298" t="n">
        <f aca="false">'[3]Monthly Curve Calc.'!C175</f>
        <v>222.471249551465</v>
      </c>
      <c r="D172" s="1298" t="n">
        <f aca="false">'[3]Monthly Curve Calc.'!D175</f>
        <v>175.635565992013</v>
      </c>
      <c r="E172" s="1298" t="n">
        <f aca="false">'[3]Monthly Curve Calc.'!E175</f>
        <v>20.955</v>
      </c>
      <c r="F172" s="1299" t="n">
        <f aca="false">'[3]Monthly Curve Calc.'!F175</f>
        <v>2.57342987572505</v>
      </c>
      <c r="G172" s="1306" t="n">
        <f aca="false">IF(AND($A172&gt;G$16,MONTH($A172)=MONTH(G$16)),B171/B159,G171)</f>
        <v>1.07399906832253</v>
      </c>
      <c r="H172" s="1304" t="n">
        <f aca="false">IF(AND($A172&gt;H$16,MONTH($A172)=MONTH(H$16)),C171/C159,H171)</f>
        <v>1.02627111225796</v>
      </c>
      <c r="I172" s="1304" t="n">
        <f aca="false">IF(AND($A172&gt;I$16,MONTH($A172)=MONTH(I$16)),C171/C159-I$18,I171)</f>
        <v>1.02377111225796</v>
      </c>
      <c r="J172" s="1304" t="n">
        <f aca="false">IF(AND($A172&gt;J$16,MONTH($A172)=MONTH(J$16)),D171/D159,J171)</f>
        <v>1.02045829278556</v>
      </c>
      <c r="K172" s="1307" t="n">
        <f aca="false">IF($A172&gt;=K$16,IF(MONTH($A172)=MONTH(K$16),AVERAGE(E160:E171),K171),K171)</f>
        <v>20.2185416666667</v>
      </c>
      <c r="L172" s="1266" t="n">
        <f aca="false">L171+1</f>
        <v>160</v>
      </c>
      <c r="M172" s="1303" t="n">
        <f aca="false">HLOOKUP(M$14,Dec_Change,$L172)</f>
        <v>1.02627111225796</v>
      </c>
      <c r="N172" s="1304" t="n">
        <f aca="false">N171</f>
        <v>1.005</v>
      </c>
      <c r="O172" s="1307" t="n">
        <f aca="false">IF(AND($A172&gt;=O$16,MONTH($A172)=MONTH(O$16)),MAX(M172,N172)*O171,O171)</f>
        <v>1.37395101449367</v>
      </c>
      <c r="Q172" s="1303" t="n">
        <f aca="false">HLOOKUP(Q$14,Dec_Change,$L172)</f>
        <v>1.02627111225796</v>
      </c>
      <c r="R172" s="1304" t="n">
        <f aca="false">R171</f>
        <v>0</v>
      </c>
      <c r="S172" s="1307" t="n">
        <f aca="false">IF(AND($A172&gt;=S$16,MONTH($A172)=MONTH(S$16)),MAX(Q172,R172)*S171,S171)</f>
        <v>1.29364174159944</v>
      </c>
    </row>
    <row r="173" customFormat="false" ht="12.75" hidden="false" customHeight="false" outlineLevel="0" collapsed="false">
      <c r="A173" s="1305" t="n">
        <f aca="false">EDATE(A172,1)</f>
        <v>40087</v>
      </c>
      <c r="B173" s="1297" t="n">
        <f aca="false">'[3]Monthly Curve Calc.'!B176</f>
        <v>376.874497965382</v>
      </c>
      <c r="C173" s="1298" t="n">
        <f aca="false">'[3]Monthly Curve Calc.'!C176</f>
        <v>222.947147824885</v>
      </c>
      <c r="D173" s="1298" t="n">
        <f aca="false">'[3]Monthly Curve Calc.'!D176</f>
        <v>175.91941251788</v>
      </c>
      <c r="E173" s="1298" t="n">
        <f aca="false">'[3]Monthly Curve Calc.'!E176</f>
        <v>21.005</v>
      </c>
      <c r="F173" s="1299" t="n">
        <f aca="false">'[3]Monthly Curve Calc.'!F176</f>
        <v>2.57873071992097</v>
      </c>
      <c r="G173" s="1306" t="n">
        <f aca="false">IF(AND($A173&gt;G$16,MONTH($A173)=MONTH(G$16)),B172/B160,G172)</f>
        <v>1.07399906832253</v>
      </c>
      <c r="H173" s="1304" t="n">
        <f aca="false">IF(AND($A173&gt;H$16,MONTH($A173)=MONTH(H$16)),C172/C160,H172)</f>
        <v>1.02627111225796</v>
      </c>
      <c r="I173" s="1304" t="n">
        <f aca="false">IF(AND($A173&gt;I$16,MONTH($A173)=MONTH(I$16)),C172/C160-I$18,I172)</f>
        <v>1.02377111225796</v>
      </c>
      <c r="J173" s="1304" t="n">
        <f aca="false">IF(AND($A173&gt;J$16,MONTH($A173)=MONTH(J$16)),D172/D160,J172)</f>
        <v>1.02045829278556</v>
      </c>
      <c r="K173" s="1307" t="n">
        <f aca="false">IF($A173&gt;=K$16,IF(MONTH($A173)=MONTH(K$16),AVERAGE(E161:E172),K172),K172)</f>
        <v>20.2185416666667</v>
      </c>
      <c r="L173" s="1266" t="n">
        <f aca="false">L172+1</f>
        <v>161</v>
      </c>
      <c r="M173" s="1303" t="n">
        <f aca="false">HLOOKUP(M$14,Dec_Change,$L173)</f>
        <v>1.02627111225796</v>
      </c>
      <c r="N173" s="1304" t="n">
        <f aca="false">N172</f>
        <v>1.005</v>
      </c>
      <c r="O173" s="1307" t="n">
        <f aca="false">IF(AND($A173&gt;=O$16,MONTH($A173)=MONTH(O$16)),MAX(M173,N173)*O172,O172)</f>
        <v>1.37395101449367</v>
      </c>
      <c r="Q173" s="1303" t="n">
        <f aca="false">HLOOKUP(Q$14,Dec_Change,$L173)</f>
        <v>1.02627111225796</v>
      </c>
      <c r="R173" s="1304" t="n">
        <f aca="false">R172</f>
        <v>0</v>
      </c>
      <c r="S173" s="1307" t="n">
        <f aca="false">IF(AND($A173&gt;=S$16,MONTH($A173)=MONTH(S$16)),MAX(Q173,R173)*S172,S172)</f>
        <v>1.29364174159944</v>
      </c>
    </row>
    <row r="174" customFormat="false" ht="12.75" hidden="false" customHeight="false" outlineLevel="0" collapsed="false">
      <c r="A174" s="1305" t="n">
        <f aca="false">EDATE(A173,1)</f>
        <v>40118</v>
      </c>
      <c r="B174" s="1297" t="n">
        <f aca="false">'[3]Monthly Curve Calc.'!B177</f>
        <v>379.064385763965</v>
      </c>
      <c r="C174" s="1298" t="n">
        <f aca="false">'[3]Monthly Curve Calc.'!C177</f>
        <v>223.424064113743</v>
      </c>
      <c r="D174" s="1298" t="n">
        <f aca="false">'[3]Monthly Curve Calc.'!D177</f>
        <v>176.203717771168</v>
      </c>
      <c r="E174" s="1298" t="n">
        <f aca="false">'[3]Monthly Curve Calc.'!E177</f>
        <v>21.055</v>
      </c>
      <c r="F174" s="1299" t="n">
        <f aca="false">'[3]Monthly Curve Calc.'!F177</f>
        <v>2.58404248298802</v>
      </c>
      <c r="G174" s="1306" t="n">
        <f aca="false">IF(AND($A174&gt;G$16,MONTH($A174)=MONTH(G$16)),B173/B161,G173)</f>
        <v>1.07399906832253</v>
      </c>
      <c r="H174" s="1304" t="n">
        <f aca="false">IF(AND($A174&gt;H$16,MONTH($A174)=MONTH(H$16)),C173/C161,H173)</f>
        <v>1.02627111225796</v>
      </c>
      <c r="I174" s="1304" t="n">
        <f aca="false">IF(AND($A174&gt;I$16,MONTH($A174)=MONTH(I$16)),C173/C161-I$18,I173)</f>
        <v>1.02377111225796</v>
      </c>
      <c r="J174" s="1304" t="n">
        <f aca="false">IF(AND($A174&gt;J$16,MONTH($A174)=MONTH(J$16)),D173/D161,J173)</f>
        <v>1.02045829278556</v>
      </c>
      <c r="K174" s="1307" t="n">
        <f aca="false">IF($A174&gt;=K$16,IF(MONTH($A174)=MONTH(K$16),AVERAGE(E162:E173),K173),K173)</f>
        <v>20.2185416666667</v>
      </c>
      <c r="L174" s="1266" t="n">
        <f aca="false">L173+1</f>
        <v>162</v>
      </c>
      <c r="M174" s="1303" t="n">
        <f aca="false">HLOOKUP(M$14,Dec_Change,$L174)</f>
        <v>1.02627111225796</v>
      </c>
      <c r="N174" s="1304" t="n">
        <f aca="false">N173</f>
        <v>1.005</v>
      </c>
      <c r="O174" s="1307" t="n">
        <f aca="false">IF(AND($A174&gt;=O$16,MONTH($A174)=MONTH(O$16)),MAX(M174,N174)*O173,O173)</f>
        <v>1.37395101449367</v>
      </c>
      <c r="Q174" s="1303" t="n">
        <f aca="false">HLOOKUP(Q$14,Dec_Change,$L174)</f>
        <v>1.02627111225796</v>
      </c>
      <c r="R174" s="1304" t="n">
        <f aca="false">R173</f>
        <v>0</v>
      </c>
      <c r="S174" s="1307" t="n">
        <f aca="false">IF(AND($A174&gt;=S$16,MONTH($A174)=MONTH(S$16)),MAX(Q174,R174)*S173,S173)</f>
        <v>1.29364174159944</v>
      </c>
    </row>
    <row r="175" customFormat="false" ht="12.75" hidden="false" customHeight="false" outlineLevel="0" collapsed="false">
      <c r="A175" s="1305" t="n">
        <f aca="false">EDATE(A174,1)</f>
        <v>40148</v>
      </c>
      <c r="B175" s="1297" t="n">
        <f aca="false">'[3]Monthly Curve Calc.'!B178</f>
        <v>381.266998245689</v>
      </c>
      <c r="C175" s="1298" t="n">
        <f aca="false">'[3]Monthly Curve Calc.'!C178</f>
        <v>223.902000595721</v>
      </c>
      <c r="D175" s="1298" t="n">
        <f aca="false">'[3]Monthly Curve Calc.'!D178</f>
        <v>176.488482493231</v>
      </c>
      <c r="E175" s="1298" t="n">
        <f aca="false">'[3]Monthly Curve Calc.'!E178</f>
        <v>21.105</v>
      </c>
      <c r="F175" s="1299" t="n">
        <f aca="false">'[3]Monthly Curve Calc.'!F178</f>
        <v>2.58936518741729</v>
      </c>
      <c r="G175" s="1306" t="n">
        <f aca="false">IF(AND($A175&gt;G$16,MONTH($A175)=MONTH(G$16)),B174/B162,G174)</f>
        <v>1.07399906832253</v>
      </c>
      <c r="H175" s="1304" t="n">
        <f aca="false">IF(AND($A175&gt;H$16,MONTH($A175)=MONTH(H$16)),C174/C162,H174)</f>
        <v>1.02627111225796</v>
      </c>
      <c r="I175" s="1304" t="n">
        <f aca="false">IF(AND($A175&gt;I$16,MONTH($A175)=MONTH(I$16)),C174/C162-I$18,I174)</f>
        <v>1.02377111225796</v>
      </c>
      <c r="J175" s="1304" t="n">
        <f aca="false">IF(AND($A175&gt;J$16,MONTH($A175)=MONTH(J$16)),D174/D162,J174)</f>
        <v>1.02045829278556</v>
      </c>
      <c r="K175" s="1307" t="n">
        <f aca="false">IF($A175&gt;=K$16,IF(MONTH($A175)=MONTH(K$16),AVERAGE(E163:E174),K174),K174)</f>
        <v>20.2185416666667</v>
      </c>
      <c r="L175" s="1266" t="n">
        <f aca="false">L174+1</f>
        <v>163</v>
      </c>
      <c r="M175" s="1303" t="n">
        <f aca="false">HLOOKUP(M$14,Dec_Change,$L175)</f>
        <v>1.02627111225796</v>
      </c>
      <c r="N175" s="1304" t="n">
        <f aca="false">N174</f>
        <v>1.005</v>
      </c>
      <c r="O175" s="1307" t="n">
        <f aca="false">IF(AND($A175&gt;=O$16,MONTH($A175)=MONTH(O$16)),MAX(M175,N175)*O174,O174)</f>
        <v>1.37395101449367</v>
      </c>
      <c r="Q175" s="1303" t="n">
        <f aca="false">HLOOKUP(Q$14,Dec_Change,$L175)</f>
        <v>1.02627111225796</v>
      </c>
      <c r="R175" s="1304" t="n">
        <f aca="false">R174</f>
        <v>0</v>
      </c>
      <c r="S175" s="1307" t="n">
        <f aca="false">IF(AND($A175&gt;=S$16,MONTH($A175)=MONTH(S$16)),MAX(Q175,R175)*S174,S174)</f>
        <v>1.29364174159944</v>
      </c>
    </row>
    <row r="176" customFormat="false" ht="12.75" hidden="false" customHeight="false" outlineLevel="0" collapsed="false">
      <c r="A176" s="1305" t="n">
        <f aca="false">EDATE(A175,1)</f>
        <v>40179</v>
      </c>
      <c r="B176" s="1297" t="n">
        <f aca="false">'[3]Monthly Curve Calc.'!B179</f>
        <v>383.4824093493</v>
      </c>
      <c r="C176" s="1298" t="n">
        <f aca="false">'[3]Monthly Curve Calc.'!C179</f>
        <v>224.373668201941</v>
      </c>
      <c r="D176" s="1298" t="n">
        <f aca="false">'[3]Monthly Curve Calc.'!D179</f>
        <v>176.759010996359</v>
      </c>
      <c r="E176" s="1298" t="n">
        <f aca="false">'[3]Monthly Curve Calc.'!E179</f>
        <v>21.155</v>
      </c>
      <c r="F176" s="1299" t="n">
        <f aca="false">'[3]Monthly Curve Calc.'!F179</f>
        <v>2.59440828709463</v>
      </c>
      <c r="G176" s="1306" t="n">
        <f aca="false">IF(AND($A176&gt;G$16,MONTH($A176)=MONTH(G$16)),B175/B163,G175)</f>
        <v>1.07399906832253</v>
      </c>
      <c r="H176" s="1304" t="n">
        <f aca="false">IF(AND($A176&gt;H$16,MONTH($A176)=MONTH(H$16)),C175/C163,H175)</f>
        <v>1.02627111225796</v>
      </c>
      <c r="I176" s="1304" t="n">
        <f aca="false">IF(AND($A176&gt;I$16,MONTH($A176)=MONTH(I$16)),C175/C163-I$18,I175)</f>
        <v>1.02377111225796</v>
      </c>
      <c r="J176" s="1304" t="n">
        <f aca="false">IF(AND($A176&gt;J$16,MONTH($A176)=MONTH(J$16)),D175/D163,J175)</f>
        <v>1.0195666406934</v>
      </c>
      <c r="K176" s="1307" t="n">
        <f aca="false">IF($A176&gt;=K$16,IF(MONTH($A176)=MONTH(K$16),AVERAGE(E164:E175),K175),K175)</f>
        <v>20.83</v>
      </c>
      <c r="L176" s="1266" t="n">
        <f aca="false">L175+1</f>
        <v>164</v>
      </c>
      <c r="M176" s="1303" t="n">
        <f aca="false">HLOOKUP(M$14,Dec_Change,$L176)</f>
        <v>1.02627111225796</v>
      </c>
      <c r="N176" s="1304" t="n">
        <f aca="false">N175</f>
        <v>1.005</v>
      </c>
      <c r="O176" s="1307" t="n">
        <f aca="false">IF(AND($A176&gt;=O$16,MONTH($A176)=MONTH(O$16)),MAX(M176,N176)*O175,O175)</f>
        <v>1.37395101449367</v>
      </c>
      <c r="Q176" s="1303" t="n">
        <f aca="false">HLOOKUP(Q$14,Dec_Change,$L176)</f>
        <v>1.02627111225796</v>
      </c>
      <c r="R176" s="1304" t="n">
        <f aca="false">R175</f>
        <v>0</v>
      </c>
      <c r="S176" s="1307" t="n">
        <f aca="false">IF(AND($A176&gt;=S$16,MONTH($A176)=MONTH(S$16)),MAX(Q176,R176)*S175,S175)</f>
        <v>1.29364174159944</v>
      </c>
    </row>
    <row r="177" customFormat="false" ht="12.75" hidden="false" customHeight="false" outlineLevel="0" collapsed="false">
      <c r="A177" s="1305" t="n">
        <f aca="false">EDATE(A176,1)</f>
        <v>40210</v>
      </c>
      <c r="B177" s="1297" t="n">
        <f aca="false">'[3]Monthly Curve Calc.'!B180</f>
        <v>385.71069344318</v>
      </c>
      <c r="C177" s="1298" t="n">
        <f aca="false">'[3]Monthly Curve Calc.'!C180</f>
        <v>224.846329413979</v>
      </c>
      <c r="D177" s="1298" t="n">
        <f aca="false">'[3]Monthly Curve Calc.'!D180</f>
        <v>177.02995417624</v>
      </c>
      <c r="E177" s="1298" t="n">
        <f aca="false">'[3]Monthly Curve Calc.'!E180</f>
        <v>21.205</v>
      </c>
      <c r="F177" s="1299" t="n">
        <f aca="false">'[3]Monthly Curve Calc.'!F180</f>
        <v>2.59946120881426</v>
      </c>
      <c r="G177" s="1306" t="n">
        <f aca="false">IF(AND($A177&gt;G$16,MONTH($A177)=MONTH(G$16)),B176/B164,G176)</f>
        <v>1.07399906832253</v>
      </c>
      <c r="H177" s="1304" t="n">
        <f aca="false">IF(AND($A177&gt;H$16,MONTH($A177)=MONTH(H$16)),C176/C164,H176)</f>
        <v>1.02627111225796</v>
      </c>
      <c r="I177" s="1304" t="n">
        <f aca="false">IF(AND($A177&gt;I$16,MONTH($A177)=MONTH(I$16)),C176/C164-I$18,I176)</f>
        <v>1.02377111225796</v>
      </c>
      <c r="J177" s="1304" t="n">
        <f aca="false">IF(AND($A177&gt;J$16,MONTH($A177)=MONTH(J$16)),D176/D164,J176)</f>
        <v>1.0195666406934</v>
      </c>
      <c r="K177" s="1307" t="n">
        <f aca="false">IF($A177&gt;=K$16,IF(MONTH($A177)=MONTH(K$16),AVERAGE(E165:E176),K176),K176)</f>
        <v>20.83</v>
      </c>
      <c r="L177" s="1266" t="n">
        <f aca="false">L176+1</f>
        <v>165</v>
      </c>
      <c r="M177" s="1303" t="n">
        <f aca="false">HLOOKUP(M$14,Dec_Change,$L177)</f>
        <v>1.02627111225796</v>
      </c>
      <c r="N177" s="1304" t="n">
        <f aca="false">N176</f>
        <v>1.005</v>
      </c>
      <c r="O177" s="1307" t="n">
        <f aca="false">IF(AND($A177&gt;=O$16,MONTH($A177)=MONTH(O$16)),MAX(M177,N177)*O176,O176)</f>
        <v>1.37395101449367</v>
      </c>
      <c r="Q177" s="1303" t="n">
        <f aca="false">HLOOKUP(Q$14,Dec_Change,$L177)</f>
        <v>1.02627111225796</v>
      </c>
      <c r="R177" s="1304" t="n">
        <f aca="false">R176</f>
        <v>0</v>
      </c>
      <c r="S177" s="1307" t="n">
        <f aca="false">IF(AND($A177&gt;=S$16,MONTH($A177)=MONTH(S$16)),MAX(Q177,R177)*S176,S176)</f>
        <v>1.29364174159944</v>
      </c>
    </row>
    <row r="178" customFormat="false" ht="12.75" hidden="false" customHeight="false" outlineLevel="0" collapsed="false">
      <c r="A178" s="1305" t="n">
        <f aca="false">EDATE(A177,1)</f>
        <v>40238</v>
      </c>
      <c r="B178" s="1297" t="n">
        <f aca="false">'[3]Monthly Curve Calc.'!B181</f>
        <v>387.951925327837</v>
      </c>
      <c r="C178" s="1298" t="n">
        <f aca="false">'[3]Monthly Curve Calc.'!C181</f>
        <v>225.319986324948</v>
      </c>
      <c r="D178" s="1298" t="n">
        <f aca="false">'[3]Monthly Curve Calc.'!D181</f>
        <v>177.301312668508</v>
      </c>
      <c r="E178" s="1298" t="n">
        <f aca="false">'[3]Monthly Curve Calc.'!E181</f>
        <v>21.255</v>
      </c>
      <c r="F178" s="1299" t="n">
        <f aca="false">'[3]Monthly Curve Calc.'!F181</f>
        <v>2.60452397170578</v>
      </c>
      <c r="G178" s="1306" t="n">
        <f aca="false">IF(AND($A178&gt;G$16,MONTH($A178)=MONTH(G$16)),B177/B165,G177)</f>
        <v>1.07399906832253</v>
      </c>
      <c r="H178" s="1304" t="n">
        <f aca="false">IF(AND($A178&gt;H$16,MONTH($A178)=MONTH(H$16)),C177/C165,H177)</f>
        <v>1.02627111225796</v>
      </c>
      <c r="I178" s="1304" t="n">
        <f aca="false">IF(AND($A178&gt;I$16,MONTH($A178)=MONTH(I$16)),C177/C165-I$18,I177)</f>
        <v>1.02377111225796</v>
      </c>
      <c r="J178" s="1304" t="n">
        <f aca="false">IF(AND($A178&gt;J$16,MONTH($A178)=MONTH(J$16)),D177/D165,J177)</f>
        <v>1.0195666406934</v>
      </c>
      <c r="K178" s="1307" t="n">
        <f aca="false">IF($A178&gt;=K$16,IF(MONTH($A178)=MONTH(K$16),AVERAGE(E166:E177),K177),K177)</f>
        <v>20.83</v>
      </c>
      <c r="L178" s="1266" t="n">
        <f aca="false">L177+1</f>
        <v>166</v>
      </c>
      <c r="M178" s="1303" t="n">
        <f aca="false">HLOOKUP(M$14,Dec_Change,$L178)</f>
        <v>1.02627111225796</v>
      </c>
      <c r="N178" s="1304" t="n">
        <f aca="false">N177</f>
        <v>1.005</v>
      </c>
      <c r="O178" s="1307" t="n">
        <f aca="false">IF(AND($A178&gt;=O$16,MONTH($A178)=MONTH(O$16)),MAX(M178,N178)*O177,O177)</f>
        <v>1.37395101449367</v>
      </c>
      <c r="Q178" s="1303" t="n">
        <f aca="false">HLOOKUP(Q$14,Dec_Change,$L178)</f>
        <v>1.02627111225796</v>
      </c>
      <c r="R178" s="1304" t="n">
        <f aca="false">R177</f>
        <v>0</v>
      </c>
      <c r="S178" s="1307" t="n">
        <f aca="false">IF(AND($A178&gt;=S$16,MONTH($A178)=MONTH(S$16)),MAX(Q178,R178)*S177,S177)</f>
        <v>1.29364174159944</v>
      </c>
    </row>
    <row r="179" customFormat="false" ht="12.75" hidden="false" customHeight="false" outlineLevel="0" collapsed="false">
      <c r="A179" s="1305" t="n">
        <f aca="false">EDATE(A178,1)</f>
        <v>40269</v>
      </c>
      <c r="B179" s="1297" t="n">
        <f aca="false">'[3]Monthly Curve Calc.'!B182</f>
        <v>390.20618023842</v>
      </c>
      <c r="C179" s="1298" t="n">
        <f aca="false">'[3]Monthly Curve Calc.'!C182</f>
        <v>225.794641032367</v>
      </c>
      <c r="D179" s="1298" t="n">
        <f aca="false">'[3]Monthly Curve Calc.'!D182</f>
        <v>177.57308710977</v>
      </c>
      <c r="E179" s="1298" t="n">
        <f aca="false">'[3]Monthly Curve Calc.'!E182</f>
        <v>21.305</v>
      </c>
      <c r="F179" s="1299" t="n">
        <f aca="false">'[3]Monthly Curve Calc.'!F182</f>
        <v>2.60959659493605</v>
      </c>
      <c r="G179" s="1306" t="n">
        <f aca="false">IF(AND($A179&gt;G$16,MONTH($A179)=MONTH(G$16)),B178/B166,G178)</f>
        <v>1.07399906832253</v>
      </c>
      <c r="H179" s="1304" t="n">
        <f aca="false">IF(AND($A179&gt;H$16,MONTH($A179)=MONTH(H$16)),C178/C166,H178)</f>
        <v>1.02627111225796</v>
      </c>
      <c r="I179" s="1304" t="n">
        <f aca="false">IF(AND($A179&gt;I$16,MONTH($A179)=MONTH(I$16)),C178/C166-I$18,I178)</f>
        <v>1.02377111225796</v>
      </c>
      <c r="J179" s="1304" t="n">
        <f aca="false">IF(AND($A179&gt;J$16,MONTH($A179)=MONTH(J$16)),D178/D166,J178)</f>
        <v>1.0195666406934</v>
      </c>
      <c r="K179" s="1307" t="n">
        <f aca="false">IF($A179&gt;=K$16,IF(MONTH($A179)=MONTH(K$16),AVERAGE(E167:E178),K178),K178)</f>
        <v>20.83</v>
      </c>
      <c r="L179" s="1266" t="n">
        <f aca="false">L178+1</f>
        <v>167</v>
      </c>
      <c r="M179" s="1303" t="n">
        <f aca="false">HLOOKUP(M$14,Dec_Change,$L179)</f>
        <v>1.02627111225796</v>
      </c>
      <c r="N179" s="1304" t="n">
        <f aca="false">N178</f>
        <v>1.005</v>
      </c>
      <c r="O179" s="1307" t="n">
        <f aca="false">IF(AND($A179&gt;=O$16,MONTH($A179)=MONTH(O$16)),MAX(M179,N179)*O178,O178)</f>
        <v>1.37395101449367</v>
      </c>
      <c r="Q179" s="1303" t="n">
        <f aca="false">HLOOKUP(Q$14,Dec_Change,$L179)</f>
        <v>1.02627111225796</v>
      </c>
      <c r="R179" s="1304" t="n">
        <f aca="false">R178</f>
        <v>0</v>
      </c>
      <c r="S179" s="1307" t="n">
        <f aca="false">IF(AND($A179&gt;=S$16,MONTH($A179)=MONTH(S$16)),MAX(Q179,R179)*S178,S178)</f>
        <v>1.29364174159944</v>
      </c>
    </row>
    <row r="180" customFormat="false" ht="12.75" hidden="false" customHeight="false" outlineLevel="0" collapsed="false">
      <c r="A180" s="1305" t="n">
        <f aca="false">EDATE(A179,1)</f>
        <v>40299</v>
      </c>
      <c r="B180" s="1297" t="n">
        <f aca="false">'[3]Monthly Curve Calc.'!B183</f>
        <v>392.473533847245</v>
      </c>
      <c r="C180" s="1298" t="n">
        <f aca="false">'[3]Monthly Curve Calc.'!C183</f>
        <v>226.270295638174</v>
      </c>
      <c r="D180" s="1298" t="n">
        <f aca="false">'[3]Monthly Curve Calc.'!D183</f>
        <v>177.845278137609</v>
      </c>
      <c r="E180" s="1298" t="n">
        <f aca="false">'[3]Monthly Curve Calc.'!E183</f>
        <v>21.355</v>
      </c>
      <c r="F180" s="1299" t="n">
        <f aca="false">'[3]Monthly Curve Calc.'!F183</f>
        <v>2.61467909770927</v>
      </c>
      <c r="G180" s="1306" t="n">
        <f aca="false">IF(AND($A180&gt;G$16,MONTH($A180)=MONTH(G$16)),B179/B167,G179)</f>
        <v>1.072</v>
      </c>
      <c r="H180" s="1304" t="n">
        <f aca="false">IF(AND($A180&gt;H$16,MONTH($A180)=MONTH(H$16)),C179/C167,H179)</f>
        <v>1.02584056725748</v>
      </c>
      <c r="I180" s="1304" t="n">
        <f aca="false">IF(AND($A180&gt;I$16,MONTH($A180)=MONTH(I$16)),C179/C167-I$18,I179)</f>
        <v>1.02334056725748</v>
      </c>
      <c r="J180" s="1304" t="n">
        <f aca="false">IF(AND($A180&gt;J$16,MONTH($A180)=MONTH(J$16)),D179/D167,J179)</f>
        <v>1.0195666406934</v>
      </c>
      <c r="K180" s="1307" t="n">
        <f aca="false">IF($A180&gt;=K$16,IF(MONTH($A180)=MONTH(K$16),AVERAGE(E168:E179),K179),K179)</f>
        <v>20.83</v>
      </c>
      <c r="L180" s="1266" t="n">
        <f aca="false">L179+1</f>
        <v>168</v>
      </c>
      <c r="M180" s="1303" t="n">
        <f aca="false">HLOOKUP(M$14,Dec_Change,$L180)</f>
        <v>1.02584056725748</v>
      </c>
      <c r="N180" s="1304" t="n">
        <f aca="false">N179</f>
        <v>1.005</v>
      </c>
      <c r="O180" s="1307" t="n">
        <f aca="false">IF(AND($A180&gt;=O$16,MONTH($A180)=MONTH(O$16)),MAX(M180,N180)*O179,O179)</f>
        <v>1.40945468809218</v>
      </c>
      <c r="Q180" s="1303" t="n">
        <f aca="false">HLOOKUP(Q$14,Dec_Change,$L180)</f>
        <v>1.02584056725748</v>
      </c>
      <c r="R180" s="1304" t="n">
        <f aca="false">R179</f>
        <v>0</v>
      </c>
      <c r="S180" s="1307" t="n">
        <f aca="false">IF(AND($A180&gt;=S$16,MONTH($A180)=MONTH(S$16)),MAX(Q180,R180)*S179,S179)</f>
        <v>1.29364174159944</v>
      </c>
    </row>
    <row r="181" customFormat="false" ht="12.75" hidden="false" customHeight="false" outlineLevel="0" collapsed="false">
      <c r="A181" s="1305" t="n">
        <f aca="false">EDATE(A180,1)</f>
        <v>40330</v>
      </c>
      <c r="B181" s="1297" t="n">
        <f aca="false">'[3]Monthly Curve Calc.'!B184</f>
        <v>394.754062266331</v>
      </c>
      <c r="C181" s="1298" t="n">
        <f aca="false">'[3]Monthly Curve Calc.'!C184</f>
        <v>226.746952248737</v>
      </c>
      <c r="D181" s="1298" t="n">
        <f aca="false">'[3]Monthly Curve Calc.'!D184</f>
        <v>178.117886390586</v>
      </c>
      <c r="E181" s="1298" t="n">
        <f aca="false">'[3]Monthly Curve Calc.'!E184</f>
        <v>21.405</v>
      </c>
      <c r="F181" s="1299" t="n">
        <f aca="false">'[3]Monthly Curve Calc.'!F184</f>
        <v>2.61977149926703</v>
      </c>
      <c r="G181" s="1306" t="n">
        <f aca="false">IF(AND($A181&gt;G$16,MONTH($A181)=MONTH(G$16)),B180/B168,G180)</f>
        <v>1.072</v>
      </c>
      <c r="H181" s="1304" t="n">
        <f aca="false">IF(AND($A181&gt;H$16,MONTH($A181)=MONTH(H$16)),C180/C168,H180)</f>
        <v>1.02584056725748</v>
      </c>
      <c r="I181" s="1304" t="n">
        <f aca="false">IF(AND($A181&gt;I$16,MONTH($A181)=MONTH(I$16)),C180/C168-I$18,I180)</f>
        <v>1.02334056725748</v>
      </c>
      <c r="J181" s="1304" t="n">
        <f aca="false">IF(AND($A181&gt;J$16,MONTH($A181)=MONTH(J$16)),D180/D168,J180)</f>
        <v>1.0195666406934</v>
      </c>
      <c r="K181" s="1307" t="n">
        <f aca="false">IF($A181&gt;=K$16,IF(MONTH($A181)=MONTH(K$16),AVERAGE(E169:E180),K180),K180)</f>
        <v>20.83</v>
      </c>
      <c r="L181" s="1266" t="n">
        <f aca="false">L180+1</f>
        <v>169</v>
      </c>
      <c r="M181" s="1303" t="n">
        <f aca="false">HLOOKUP(M$14,Dec_Change,$L181)</f>
        <v>1.02584056725748</v>
      </c>
      <c r="N181" s="1304" t="n">
        <f aca="false">N180</f>
        <v>1.005</v>
      </c>
      <c r="O181" s="1307" t="n">
        <f aca="false">IF(AND($A181&gt;=O$16,MONTH($A181)=MONTH(O$16)),MAX(M181,N181)*O180,O180)</f>
        <v>1.40945468809218</v>
      </c>
      <c r="Q181" s="1303" t="n">
        <f aca="false">HLOOKUP(Q$14,Dec_Change,$L181)</f>
        <v>1.02584056725748</v>
      </c>
      <c r="R181" s="1304" t="n">
        <f aca="false">R180</f>
        <v>0</v>
      </c>
      <c r="S181" s="1307" t="n">
        <f aca="false">IF(AND($A181&gt;=S$16,MONTH($A181)=MONTH(S$16)),MAX(Q181,R181)*S180,S180)</f>
        <v>1.32707017803033</v>
      </c>
    </row>
    <row r="182" customFormat="false" ht="12.75" hidden="false" customHeight="false" outlineLevel="0" collapsed="false">
      <c r="A182" s="1305" t="n">
        <f aca="false">EDATE(A181,1)</f>
        <v>40360</v>
      </c>
      <c r="B182" s="1297" t="n">
        <f aca="false">'[3]Monthly Curve Calc.'!B185</f>
        <v>397.047842049959</v>
      </c>
      <c r="C182" s="1298" t="n">
        <f aca="false">'[3]Monthly Curve Calc.'!C185</f>
        <v>227.224612974859</v>
      </c>
      <c r="D182" s="1298" t="n">
        <f aca="false">'[3]Monthly Curve Calc.'!D185</f>
        <v>178.390912508238</v>
      </c>
      <c r="E182" s="1298" t="n">
        <f aca="false">'[3]Monthly Curve Calc.'!E185</f>
        <v>21.455</v>
      </c>
      <c r="F182" s="1299" t="n">
        <f aca="false">'[3]Monthly Curve Calc.'!F185</f>
        <v>2.62487381888841</v>
      </c>
      <c r="G182" s="1306" t="n">
        <f aca="false">IF(AND($A182&gt;G$16,MONTH($A182)=MONTH(G$16)),B181/B169,G181)</f>
        <v>1.072</v>
      </c>
      <c r="H182" s="1304" t="n">
        <f aca="false">IF(AND($A182&gt;H$16,MONTH($A182)=MONTH(H$16)),C181/C169,H181)</f>
        <v>1.02584056725748</v>
      </c>
      <c r="I182" s="1304" t="n">
        <f aca="false">IF(AND($A182&gt;I$16,MONTH($A182)=MONTH(I$16)),C181/C169-I$18,I181)</f>
        <v>1.02334056725748</v>
      </c>
      <c r="J182" s="1304" t="n">
        <f aca="false">IF(AND($A182&gt;J$16,MONTH($A182)=MONTH(J$16)),D181/D169,J181)</f>
        <v>1.0195666406934</v>
      </c>
      <c r="K182" s="1307" t="n">
        <f aca="false">IF($A182&gt;=K$16,IF(MONTH($A182)=MONTH(K$16),AVERAGE(E170:E181),K181),K181)</f>
        <v>20.83</v>
      </c>
      <c r="L182" s="1266" t="n">
        <f aca="false">L181+1</f>
        <v>170</v>
      </c>
      <c r="M182" s="1303" t="n">
        <f aca="false">HLOOKUP(M$14,Dec_Change,$L182)</f>
        <v>1.02584056725748</v>
      </c>
      <c r="N182" s="1304" t="n">
        <f aca="false">N181</f>
        <v>1.005</v>
      </c>
      <c r="O182" s="1307" t="n">
        <f aca="false">IF(AND($A182&gt;=O$16,MONTH($A182)=MONTH(O$16)),MAX(M182,N182)*O181,O181)</f>
        <v>1.40945468809218</v>
      </c>
      <c r="Q182" s="1303" t="n">
        <f aca="false">HLOOKUP(Q$14,Dec_Change,$L182)</f>
        <v>1.02584056725748</v>
      </c>
      <c r="R182" s="1304" t="n">
        <f aca="false">R181</f>
        <v>0</v>
      </c>
      <c r="S182" s="1307" t="n">
        <f aca="false">IF(AND($A182&gt;=S$16,MONTH($A182)=MONTH(S$16)),MAX(Q182,R182)*S181,S181)</f>
        <v>1.32707017803033</v>
      </c>
    </row>
    <row r="183" customFormat="false" ht="12.75" hidden="false" customHeight="false" outlineLevel="0" collapsed="false">
      <c r="A183" s="1305" t="n">
        <f aca="false">EDATE(A182,1)</f>
        <v>40391</v>
      </c>
      <c r="B183" s="1297" t="n">
        <f aca="false">'[3]Monthly Curve Calc.'!B186</f>
        <v>399.354950197241</v>
      </c>
      <c r="C183" s="1298" t="n">
        <f aca="false">'[3]Monthly Curve Calc.'!C186</f>
        <v>227.70327993179</v>
      </c>
      <c r="D183" s="1298" t="n">
        <f aca="false">'[3]Monthly Curve Calc.'!D186</f>
        <v>178.664357131087</v>
      </c>
      <c r="E183" s="1298" t="n">
        <f aca="false">'[3]Monthly Curve Calc.'!E186</f>
        <v>21.505</v>
      </c>
      <c r="F183" s="1299" t="n">
        <f aca="false">'[3]Monthly Curve Calc.'!F186</f>
        <v>2.62998607589002</v>
      </c>
      <c r="G183" s="1306" t="n">
        <f aca="false">IF(AND($A183&gt;G$16,MONTH($A183)=MONTH(G$16)),B182/B170,G182)</f>
        <v>1.072</v>
      </c>
      <c r="H183" s="1304" t="n">
        <f aca="false">IF(AND($A183&gt;H$16,MONTH($A183)=MONTH(H$16)),C182/C170,H182)</f>
        <v>1.02584056725748</v>
      </c>
      <c r="I183" s="1304" t="n">
        <f aca="false">IF(AND($A183&gt;I$16,MONTH($A183)=MONTH(I$16)),C182/C170-I$18,I182)</f>
        <v>1.02334056725748</v>
      </c>
      <c r="J183" s="1304" t="n">
        <f aca="false">IF(AND($A183&gt;J$16,MONTH($A183)=MONTH(J$16)),D182/D170,J182)</f>
        <v>1.0195666406934</v>
      </c>
      <c r="K183" s="1307" t="n">
        <f aca="false">IF($A183&gt;=K$16,IF(MONTH($A183)=MONTH(K$16),AVERAGE(E171:E182),K182),K182)</f>
        <v>20.83</v>
      </c>
      <c r="L183" s="1266" t="n">
        <f aca="false">L182+1</f>
        <v>171</v>
      </c>
      <c r="M183" s="1303" t="n">
        <f aca="false">HLOOKUP(M$14,Dec_Change,$L183)</f>
        <v>1.02584056725748</v>
      </c>
      <c r="N183" s="1304" t="n">
        <f aca="false">N182</f>
        <v>1.005</v>
      </c>
      <c r="O183" s="1307" t="n">
        <f aca="false">IF(AND($A183&gt;=O$16,MONTH($A183)=MONTH(O$16)),MAX(M183,N183)*O182,O182)</f>
        <v>1.40945468809218</v>
      </c>
      <c r="Q183" s="1303" t="n">
        <f aca="false">HLOOKUP(Q$14,Dec_Change,$L183)</f>
        <v>1.02584056725748</v>
      </c>
      <c r="R183" s="1304" t="n">
        <f aca="false">R182</f>
        <v>0</v>
      </c>
      <c r="S183" s="1307" t="n">
        <f aca="false">IF(AND($A183&gt;=S$16,MONTH($A183)=MONTH(S$16)),MAX(Q183,R183)*S182,S182)</f>
        <v>1.32707017803033</v>
      </c>
    </row>
    <row r="184" customFormat="false" ht="12.75" hidden="false" customHeight="false" outlineLevel="0" collapsed="false">
      <c r="A184" s="1305" t="n">
        <f aca="false">EDATE(A183,1)</f>
        <v>40422</v>
      </c>
      <c r="B184" s="1297" t="n">
        <f aca="false">'[3]Monthly Curve Calc.'!B187</f>
        <v>401.675464154704</v>
      </c>
      <c r="C184" s="1298" t="n">
        <f aca="false">'[3]Monthly Curve Calc.'!C187</f>
        <v>228.182955239237</v>
      </c>
      <c r="D184" s="1298" t="n">
        <f aca="false">'[3]Monthly Curve Calc.'!D187</f>
        <v>178.938220900632</v>
      </c>
      <c r="E184" s="1298" t="n">
        <f aca="false">'[3]Monthly Curve Calc.'!E187</f>
        <v>21.555</v>
      </c>
      <c r="F184" s="1299" t="n">
        <f aca="false">'[3]Monthly Curve Calc.'!F187</f>
        <v>2.63510828962611</v>
      </c>
      <c r="G184" s="1306" t="n">
        <f aca="false">IF(AND($A184&gt;G$16,MONTH($A184)=MONTH(G$16)),B183/B171,G183)</f>
        <v>1.072</v>
      </c>
      <c r="H184" s="1304" t="n">
        <f aca="false">IF(AND($A184&gt;H$16,MONTH($A184)=MONTH(H$16)),C183/C171,H183)</f>
        <v>1.02584056725748</v>
      </c>
      <c r="I184" s="1304" t="n">
        <f aca="false">IF(AND($A184&gt;I$16,MONTH($A184)=MONTH(I$16)),C183/C171-I$18,I183)</f>
        <v>1.02334056725748</v>
      </c>
      <c r="J184" s="1304" t="n">
        <f aca="false">IF(AND($A184&gt;J$16,MONTH($A184)=MONTH(J$16)),D183/D171,J183)</f>
        <v>1.0195666406934</v>
      </c>
      <c r="K184" s="1307" t="n">
        <f aca="false">IF($A184&gt;=K$16,IF(MONTH($A184)=MONTH(K$16),AVERAGE(E172:E183),K183),K183)</f>
        <v>20.83</v>
      </c>
      <c r="L184" s="1266" t="n">
        <f aca="false">L183+1</f>
        <v>172</v>
      </c>
      <c r="M184" s="1303" t="n">
        <f aca="false">HLOOKUP(M$14,Dec_Change,$L184)</f>
        <v>1.02584056725748</v>
      </c>
      <c r="N184" s="1304" t="n">
        <f aca="false">N183</f>
        <v>1.005</v>
      </c>
      <c r="O184" s="1307" t="n">
        <f aca="false">IF(AND($A184&gt;=O$16,MONTH($A184)=MONTH(O$16)),MAX(M184,N184)*O183,O183)</f>
        <v>1.40945468809218</v>
      </c>
      <c r="Q184" s="1303" t="n">
        <f aca="false">HLOOKUP(Q$14,Dec_Change,$L184)</f>
        <v>1.02584056725748</v>
      </c>
      <c r="R184" s="1304" t="n">
        <f aca="false">R183</f>
        <v>0</v>
      </c>
      <c r="S184" s="1307" t="n">
        <f aca="false">IF(AND($A184&gt;=S$16,MONTH($A184)=MONTH(S$16)),MAX(Q184,R184)*S183,S183)</f>
        <v>1.32707017803033</v>
      </c>
    </row>
    <row r="185" customFormat="false" ht="12.75" hidden="false" customHeight="false" outlineLevel="0" collapsed="false">
      <c r="A185" s="1305" t="n">
        <f aca="false">EDATE(A184,1)</f>
        <v>40452</v>
      </c>
      <c r="B185" s="1297" t="n">
        <f aca="false">'[3]Monthly Curve Calc.'!B188</f>
        <v>404.00946181889</v>
      </c>
      <c r="C185" s="1298" t="n">
        <f aca="false">'[3]Monthly Curve Calc.'!C188</f>
        <v>228.663641021371</v>
      </c>
      <c r="D185" s="1298" t="n">
        <f aca="false">'[3]Monthly Curve Calc.'!D188</f>
        <v>179.212504459359</v>
      </c>
      <c r="E185" s="1298" t="n">
        <f aca="false">'[3]Monthly Curve Calc.'!E188</f>
        <v>21.605</v>
      </c>
      <c r="F185" s="1299" t="n">
        <f aca="false">'[3]Monthly Curve Calc.'!F188</f>
        <v>2.64024047948862</v>
      </c>
      <c r="G185" s="1306" t="n">
        <f aca="false">IF(AND($A185&gt;G$16,MONTH($A185)=MONTH(G$16)),B184/B172,G184)</f>
        <v>1.072</v>
      </c>
      <c r="H185" s="1304" t="n">
        <f aca="false">IF(AND($A185&gt;H$16,MONTH($A185)=MONTH(H$16)),C184/C172,H184)</f>
        <v>1.02584056725748</v>
      </c>
      <c r="I185" s="1304" t="n">
        <f aca="false">IF(AND($A185&gt;I$16,MONTH($A185)=MONTH(I$16)),C184/C172-I$18,I184)</f>
        <v>1.02334056725748</v>
      </c>
      <c r="J185" s="1304" t="n">
        <f aca="false">IF(AND($A185&gt;J$16,MONTH($A185)=MONTH(J$16)),D184/D172,J184)</f>
        <v>1.0195666406934</v>
      </c>
      <c r="K185" s="1307" t="n">
        <f aca="false">IF($A185&gt;=K$16,IF(MONTH($A185)=MONTH(K$16),AVERAGE(E173:E184),K184),K184)</f>
        <v>20.83</v>
      </c>
      <c r="L185" s="1266" t="n">
        <f aca="false">L184+1</f>
        <v>173</v>
      </c>
      <c r="M185" s="1303" t="n">
        <f aca="false">HLOOKUP(M$14,Dec_Change,$L185)</f>
        <v>1.02584056725748</v>
      </c>
      <c r="N185" s="1304" t="n">
        <f aca="false">N184</f>
        <v>1.005</v>
      </c>
      <c r="O185" s="1307" t="n">
        <f aca="false">IF(AND($A185&gt;=O$16,MONTH($A185)=MONTH(O$16)),MAX(M185,N185)*O184,O184)</f>
        <v>1.40945468809218</v>
      </c>
      <c r="Q185" s="1303" t="n">
        <f aca="false">HLOOKUP(Q$14,Dec_Change,$L185)</f>
        <v>1.02584056725748</v>
      </c>
      <c r="R185" s="1304" t="n">
        <f aca="false">R184</f>
        <v>0</v>
      </c>
      <c r="S185" s="1307" t="n">
        <f aca="false">IF(AND($A185&gt;=S$16,MONTH($A185)=MONTH(S$16)),MAX(Q185,R185)*S184,S184)</f>
        <v>1.32707017803033</v>
      </c>
    </row>
    <row r="186" customFormat="false" ht="12.75" hidden="false" customHeight="false" outlineLevel="0" collapsed="false">
      <c r="A186" s="1305" t="n">
        <f aca="false">EDATE(A185,1)</f>
        <v>40483</v>
      </c>
      <c r="B186" s="1297" t="n">
        <f aca="false">'[3]Monthly Curve Calc.'!B189</f>
        <v>406.357021538971</v>
      </c>
      <c r="C186" s="1298" t="n">
        <f aca="false">'[3]Monthly Curve Calc.'!C189</f>
        <v>229.145339406839</v>
      </c>
      <c r="D186" s="1298" t="n">
        <f aca="false">'[3]Monthly Curve Calc.'!D189</f>
        <v>179.487208450737</v>
      </c>
      <c r="E186" s="1298" t="n">
        <f aca="false">'[3]Monthly Curve Calc.'!E189</f>
        <v>21.655</v>
      </c>
      <c r="F186" s="1299" t="n">
        <f aca="false">'[3]Monthly Curve Calc.'!F189</f>
        <v>2.64538266490724</v>
      </c>
      <c r="G186" s="1306" t="n">
        <f aca="false">IF(AND($A186&gt;G$16,MONTH($A186)=MONTH(G$16)),B185/B173,G185)</f>
        <v>1.072</v>
      </c>
      <c r="H186" s="1304" t="n">
        <f aca="false">IF(AND($A186&gt;H$16,MONTH($A186)=MONTH(H$16)),C185/C173,H185)</f>
        <v>1.02584056725748</v>
      </c>
      <c r="I186" s="1304" t="n">
        <f aca="false">IF(AND($A186&gt;I$16,MONTH($A186)=MONTH(I$16)),C185/C173-I$18,I185)</f>
        <v>1.02334056725748</v>
      </c>
      <c r="J186" s="1304" t="n">
        <f aca="false">IF(AND($A186&gt;J$16,MONTH($A186)=MONTH(J$16)),D185/D173,J185)</f>
        <v>1.0195666406934</v>
      </c>
      <c r="K186" s="1307" t="n">
        <f aca="false">IF($A186&gt;=K$16,IF(MONTH($A186)=MONTH(K$16),AVERAGE(E174:E185),K185),K185)</f>
        <v>20.83</v>
      </c>
      <c r="L186" s="1266" t="n">
        <f aca="false">L185+1</f>
        <v>174</v>
      </c>
      <c r="M186" s="1303" t="n">
        <f aca="false">HLOOKUP(M$14,Dec_Change,$L186)</f>
        <v>1.02584056725748</v>
      </c>
      <c r="N186" s="1304" t="n">
        <f aca="false">N185</f>
        <v>1.005</v>
      </c>
      <c r="O186" s="1307" t="n">
        <f aca="false">IF(AND($A186&gt;=O$16,MONTH($A186)=MONTH(O$16)),MAX(M186,N186)*O185,O185)</f>
        <v>1.40945468809218</v>
      </c>
      <c r="Q186" s="1303" t="n">
        <f aca="false">HLOOKUP(Q$14,Dec_Change,$L186)</f>
        <v>1.02584056725748</v>
      </c>
      <c r="R186" s="1304" t="n">
        <f aca="false">R185</f>
        <v>0</v>
      </c>
      <c r="S186" s="1307" t="n">
        <f aca="false">IF(AND($A186&gt;=S$16,MONTH($A186)=MONTH(S$16)),MAX(Q186,R186)*S185,S185)</f>
        <v>1.32707017803033</v>
      </c>
    </row>
    <row r="187" customFormat="false" ht="12.75" hidden="false" customHeight="false" outlineLevel="0" collapsed="false">
      <c r="A187" s="1305" t="n">
        <f aca="false">EDATE(A186,1)</f>
        <v>40513</v>
      </c>
      <c r="B187" s="1297" t="n">
        <f aca="false">'[3]Monthly Curve Calc.'!B190</f>
        <v>408.718222119378</v>
      </c>
      <c r="C187" s="1298" t="n">
        <f aca="false">'[3]Monthly Curve Calc.'!C190</f>
        <v>229.62805252877</v>
      </c>
      <c r="D187" s="1298" t="n">
        <f aca="false">'[3]Monthly Curve Calc.'!D190</f>
        <v>179.762333519222</v>
      </c>
      <c r="E187" s="1298" t="n">
        <f aca="false">'[3]Monthly Curve Calc.'!E190</f>
        <v>21.705</v>
      </c>
      <c r="F187" s="1299" t="n">
        <f aca="false">'[3]Monthly Curve Calc.'!F190</f>
        <v>2.65053486534952</v>
      </c>
      <c r="G187" s="1306" t="n">
        <f aca="false">IF(AND($A187&gt;G$16,MONTH($A187)=MONTH(G$16)),B186/B174,G186)</f>
        <v>1.072</v>
      </c>
      <c r="H187" s="1304" t="n">
        <f aca="false">IF(AND($A187&gt;H$16,MONTH($A187)=MONTH(H$16)),C186/C174,H186)</f>
        <v>1.02584056725748</v>
      </c>
      <c r="I187" s="1304" t="n">
        <f aca="false">IF(AND($A187&gt;I$16,MONTH($A187)=MONTH(I$16)),C186/C174-I$18,I186)</f>
        <v>1.02334056725748</v>
      </c>
      <c r="J187" s="1304" t="n">
        <f aca="false">IF(AND($A187&gt;J$16,MONTH($A187)=MONTH(J$16)),D186/D174,J186)</f>
        <v>1.0195666406934</v>
      </c>
      <c r="K187" s="1307" t="n">
        <f aca="false">IF($A187&gt;=K$16,IF(MONTH($A187)=MONTH(K$16),AVERAGE(E175:E186),K186),K186)</f>
        <v>20.83</v>
      </c>
      <c r="L187" s="1266" t="n">
        <f aca="false">L186+1</f>
        <v>175</v>
      </c>
      <c r="M187" s="1303" t="n">
        <f aca="false">HLOOKUP(M$14,Dec_Change,$L187)</f>
        <v>1.02584056725748</v>
      </c>
      <c r="N187" s="1304" t="n">
        <f aca="false">N186</f>
        <v>1.005</v>
      </c>
      <c r="O187" s="1307" t="n">
        <f aca="false">IF(AND($A187&gt;=O$16,MONTH($A187)=MONTH(O$16)),MAX(M187,N187)*O186,O186)</f>
        <v>1.40945468809218</v>
      </c>
      <c r="Q187" s="1303" t="n">
        <f aca="false">HLOOKUP(Q$14,Dec_Change,$L187)</f>
        <v>1.02584056725748</v>
      </c>
      <c r="R187" s="1304" t="n">
        <f aca="false">R186</f>
        <v>0</v>
      </c>
      <c r="S187" s="1307" t="n">
        <f aca="false">IF(AND($A187&gt;=S$16,MONTH($A187)=MONTH(S$16)),MAX(Q187,R187)*S186,S186)</f>
        <v>1.32707017803033</v>
      </c>
    </row>
    <row r="188" customFormat="false" ht="12.75" hidden="false" customHeight="false" outlineLevel="0" collapsed="false">
      <c r="A188" s="1305" t="n">
        <f aca="false">EDATE(A187,1)</f>
        <v>40544</v>
      </c>
      <c r="B188" s="1297" t="n">
        <f aca="false">'[3]Monthly Curve Calc.'!B191</f>
        <v>411.09314282245</v>
      </c>
      <c r="C188" s="1298" t="n">
        <f aca="false">'[3]Monthly Curve Calc.'!C191</f>
        <v>230.106328427722</v>
      </c>
      <c r="D188" s="1298" t="n">
        <f aca="false">'[3]Monthly Curve Calc.'!D191</f>
        <v>180.020993707922</v>
      </c>
      <c r="E188" s="1298" t="n">
        <f aca="false">'[3]Monthly Curve Calc.'!E191</f>
        <v>21.755</v>
      </c>
      <c r="F188" s="1299" t="n">
        <f aca="false">'[3]Monthly Curve Calc.'!F191</f>
        <v>2.65513335215341</v>
      </c>
      <c r="G188" s="1306" t="n">
        <f aca="false">IF(AND($A188&gt;G$16,MONTH($A188)=MONTH(G$16)),B187/B175,G187)</f>
        <v>1.072</v>
      </c>
      <c r="H188" s="1304" t="n">
        <f aca="false">IF(AND($A188&gt;H$16,MONTH($A188)=MONTH(H$16)),C187/C175,H187)</f>
        <v>1.02584056725748</v>
      </c>
      <c r="I188" s="1304" t="n">
        <f aca="false">IF(AND($A188&gt;I$16,MONTH($A188)=MONTH(I$16)),C187/C175-I$18,I187)</f>
        <v>1.02334056725748</v>
      </c>
      <c r="J188" s="1304" t="n">
        <f aca="false">IF(AND($A188&gt;J$16,MONTH($A188)=MONTH(J$16)),D187/D175,J187)</f>
        <v>1.0185499415018</v>
      </c>
      <c r="K188" s="1307" t="n">
        <f aca="false">IF($A188&gt;=K$16,IF(MONTH($A188)=MONTH(K$16),AVERAGE(E176:E187),K187),K187)</f>
        <v>21.43</v>
      </c>
      <c r="L188" s="1266" t="n">
        <f aca="false">L187+1</f>
        <v>176</v>
      </c>
      <c r="M188" s="1303" t="n">
        <f aca="false">HLOOKUP(M$14,Dec_Change,$L188)</f>
        <v>1.02584056725748</v>
      </c>
      <c r="N188" s="1304" t="n">
        <f aca="false">N187</f>
        <v>1.005</v>
      </c>
      <c r="O188" s="1307" t="n">
        <f aca="false">IF(AND($A188&gt;=O$16,MONTH($A188)=MONTH(O$16)),MAX(M188,N188)*O187,O187)</f>
        <v>1.40945468809218</v>
      </c>
      <c r="Q188" s="1303" t="n">
        <f aca="false">HLOOKUP(Q$14,Dec_Change,$L188)</f>
        <v>1.02584056725748</v>
      </c>
      <c r="R188" s="1304" t="n">
        <f aca="false">R187</f>
        <v>0</v>
      </c>
      <c r="S188" s="1307" t="n">
        <f aca="false">IF(AND($A188&gt;=S$16,MONTH($A188)=MONTH(S$16)),MAX(Q188,R188)*S187,S187)</f>
        <v>1.32707017803033</v>
      </c>
    </row>
    <row r="189" customFormat="false" ht="12.75" hidden="false" customHeight="false" outlineLevel="0" collapsed="false">
      <c r="A189" s="1305" t="n">
        <f aca="false">EDATE(A188,1)</f>
        <v>40575</v>
      </c>
      <c r="B189" s="1297" t="n">
        <f aca="false">'[3]Monthly Curve Calc.'!B192</f>
        <v>413.481863371089</v>
      </c>
      <c r="C189" s="1298" t="n">
        <f aca="false">'[3]Monthly Curve Calc.'!C192</f>
        <v>230.585600493445</v>
      </c>
      <c r="D189" s="1298" t="n">
        <f aca="false">'[3]Monthly Curve Calc.'!D192</f>
        <v>180.280026083008</v>
      </c>
      <c r="E189" s="1298" t="n">
        <f aca="false">'[3]Monthly Curve Calc.'!E192</f>
        <v>21.805</v>
      </c>
      <c r="F189" s="1299" t="n">
        <f aca="false">'[3]Monthly Curve Calc.'!F192</f>
        <v>2.6597398170002</v>
      </c>
      <c r="G189" s="1306" t="n">
        <f aca="false">IF(AND($A189&gt;G$16,MONTH($A189)=MONTH(G$16)),B188/B176,G188)</f>
        <v>1.072</v>
      </c>
      <c r="H189" s="1304" t="n">
        <f aca="false">IF(AND($A189&gt;H$16,MONTH($A189)=MONTH(H$16)),C188/C176,H188)</f>
        <v>1.02584056725748</v>
      </c>
      <c r="I189" s="1304" t="n">
        <f aca="false">IF(AND($A189&gt;I$16,MONTH($A189)=MONTH(I$16)),C188/C176-I$18,I188)</f>
        <v>1.02334056725748</v>
      </c>
      <c r="J189" s="1304" t="n">
        <f aca="false">IF(AND($A189&gt;J$16,MONTH($A189)=MONTH(J$16)),D188/D176,J188)</f>
        <v>1.0185499415018</v>
      </c>
      <c r="K189" s="1307" t="n">
        <f aca="false">IF($A189&gt;=K$16,IF(MONTH($A189)=MONTH(K$16),AVERAGE(E177:E188),K188),K188)</f>
        <v>21.43</v>
      </c>
      <c r="L189" s="1266" t="n">
        <f aca="false">L188+1</f>
        <v>177</v>
      </c>
      <c r="M189" s="1303" t="n">
        <f aca="false">HLOOKUP(M$14,Dec_Change,$L189)</f>
        <v>1.02584056725748</v>
      </c>
      <c r="N189" s="1304" t="n">
        <f aca="false">N188</f>
        <v>1.005</v>
      </c>
      <c r="O189" s="1307" t="n">
        <f aca="false">IF(AND($A189&gt;=O$16,MONTH($A189)=MONTH(O$16)),MAX(M189,N189)*O188,O188)</f>
        <v>1.40945468809218</v>
      </c>
      <c r="Q189" s="1303" t="n">
        <f aca="false">HLOOKUP(Q$14,Dec_Change,$L189)</f>
        <v>1.02584056725748</v>
      </c>
      <c r="R189" s="1304" t="n">
        <f aca="false">R188</f>
        <v>0</v>
      </c>
      <c r="S189" s="1307" t="n">
        <f aca="false">IF(AND($A189&gt;=S$16,MONTH($A189)=MONTH(S$16)),MAX(Q189,R189)*S188,S188)</f>
        <v>1.32707017803033</v>
      </c>
    </row>
    <row r="190" customFormat="false" ht="12.75" hidden="false" customHeight="false" outlineLevel="0" collapsed="false">
      <c r="A190" s="1305" t="n">
        <f aca="false">EDATE(A189,1)</f>
        <v>40603</v>
      </c>
      <c r="B190" s="1297" t="n">
        <f aca="false">'[3]Monthly Curve Calc.'!B193</f>
        <v>415.884463951441</v>
      </c>
      <c r="C190" s="1298" t="n">
        <f aca="false">'[3]Monthly Curve Calc.'!C193</f>
        <v>231.065870800783</v>
      </c>
      <c r="D190" s="1298" t="n">
        <f aca="false">'[3]Monthly Curve Calc.'!D193</f>
        <v>180.539431180018</v>
      </c>
      <c r="E190" s="1298" t="n">
        <f aca="false">'[3]Monthly Curve Calc.'!E193</f>
        <v>21.855</v>
      </c>
      <c r="F190" s="1299" t="n">
        <f aca="false">'[3]Monthly Curve Calc.'!F193</f>
        <v>2.66435427373123</v>
      </c>
      <c r="G190" s="1306" t="n">
        <f aca="false">IF(AND($A190&gt;G$16,MONTH($A190)=MONTH(G$16)),B189/B177,G189)</f>
        <v>1.072</v>
      </c>
      <c r="H190" s="1304" t="n">
        <f aca="false">IF(AND($A190&gt;H$16,MONTH($A190)=MONTH(H$16)),C189/C177,H189)</f>
        <v>1.02584056725748</v>
      </c>
      <c r="I190" s="1304" t="n">
        <f aca="false">IF(AND($A190&gt;I$16,MONTH($A190)=MONTH(I$16)),C189/C177-I$18,I189)</f>
        <v>1.02334056725748</v>
      </c>
      <c r="J190" s="1304" t="n">
        <f aca="false">IF(AND($A190&gt;J$16,MONTH($A190)=MONTH(J$16)),D189/D177,J189)</f>
        <v>1.0185499415018</v>
      </c>
      <c r="K190" s="1307" t="n">
        <f aca="false">IF($A190&gt;=K$16,IF(MONTH($A190)=MONTH(K$16),AVERAGE(E178:E189),K189),K189)</f>
        <v>21.43</v>
      </c>
      <c r="L190" s="1266" t="n">
        <f aca="false">L189+1</f>
        <v>178</v>
      </c>
      <c r="M190" s="1303" t="n">
        <f aca="false">HLOOKUP(M$14,Dec_Change,$L190)</f>
        <v>1.02584056725748</v>
      </c>
      <c r="N190" s="1304" t="n">
        <f aca="false">N189</f>
        <v>1.005</v>
      </c>
      <c r="O190" s="1307" t="n">
        <f aca="false">IF(AND($A190&gt;=O$16,MONTH($A190)=MONTH(O$16)),MAX(M190,N190)*O189,O189)</f>
        <v>1.40945468809218</v>
      </c>
      <c r="Q190" s="1303" t="n">
        <f aca="false">HLOOKUP(Q$14,Dec_Change,$L190)</f>
        <v>1.02584056725748</v>
      </c>
      <c r="R190" s="1304" t="n">
        <f aca="false">R189</f>
        <v>0</v>
      </c>
      <c r="S190" s="1307" t="n">
        <f aca="false">IF(AND($A190&gt;=S$16,MONTH($A190)=MONTH(S$16)),MAX(Q190,R190)*S189,S189)</f>
        <v>1.32707017803033</v>
      </c>
    </row>
    <row r="191" customFormat="false" ht="12.75" hidden="false" customHeight="false" outlineLevel="0" collapsed="false">
      <c r="A191" s="1305" t="n">
        <f aca="false">EDATE(A190,1)</f>
        <v>40634</v>
      </c>
      <c r="B191" s="1297" t="n">
        <f aca="false">'[3]Monthly Curve Calc.'!B194</f>
        <v>418.301025215587</v>
      </c>
      <c r="C191" s="1298" t="n">
        <f aca="false">'[3]Monthly Curve Calc.'!C194</f>
        <v>231.547141428902</v>
      </c>
      <c r="D191" s="1298" t="n">
        <f aca="false">'[3]Monthly Curve Calc.'!D194</f>
        <v>180.799209535264</v>
      </c>
      <c r="E191" s="1298" t="n">
        <f aca="false">'[3]Monthly Curve Calc.'!E194</f>
        <v>21.905</v>
      </c>
      <c r="F191" s="1299" t="n">
        <f aca="false">'[3]Monthly Curve Calc.'!F194</f>
        <v>2.66897673621184</v>
      </c>
      <c r="G191" s="1306" t="n">
        <f aca="false">IF(AND($A191&gt;G$16,MONTH($A191)=MONTH(G$16)),B190/B178,G190)</f>
        <v>1.072</v>
      </c>
      <c r="H191" s="1304" t="n">
        <f aca="false">IF(AND($A191&gt;H$16,MONTH($A191)=MONTH(H$16)),C190/C178,H190)</f>
        <v>1.02584056725748</v>
      </c>
      <c r="I191" s="1304" t="n">
        <f aca="false">IF(AND($A191&gt;I$16,MONTH($A191)=MONTH(I$16)),C190/C178-I$18,I190)</f>
        <v>1.02334056725748</v>
      </c>
      <c r="J191" s="1304" t="n">
        <f aca="false">IF(AND($A191&gt;J$16,MONTH($A191)=MONTH(J$16)),D190/D178,J190)</f>
        <v>1.0185499415018</v>
      </c>
      <c r="K191" s="1307" t="n">
        <f aca="false">IF($A191&gt;=K$16,IF(MONTH($A191)=MONTH(K$16),AVERAGE(E179:E190),K190),K190)</f>
        <v>21.43</v>
      </c>
      <c r="L191" s="1266" t="n">
        <f aca="false">L190+1</f>
        <v>179</v>
      </c>
      <c r="M191" s="1303" t="n">
        <f aca="false">HLOOKUP(M$14,Dec_Change,$L191)</f>
        <v>1.02584056725748</v>
      </c>
      <c r="N191" s="1304" t="n">
        <f aca="false">N190</f>
        <v>1.005</v>
      </c>
      <c r="O191" s="1307" t="n">
        <f aca="false">IF(AND($A191&gt;=O$16,MONTH($A191)=MONTH(O$16)),MAX(M191,N191)*O190,O190)</f>
        <v>1.40945468809218</v>
      </c>
      <c r="Q191" s="1303" t="n">
        <f aca="false">HLOOKUP(Q$14,Dec_Change,$L191)</f>
        <v>1.02584056725748</v>
      </c>
      <c r="R191" s="1304" t="n">
        <f aca="false">R190</f>
        <v>0</v>
      </c>
      <c r="S191" s="1307" t="n">
        <f aca="false">IF(AND($A191&gt;=S$16,MONTH($A191)=MONTH(S$16)),MAX(Q191,R191)*S190,S190)</f>
        <v>1.32707017803033</v>
      </c>
    </row>
    <row r="192" customFormat="false" ht="12.75" hidden="false" customHeight="false" outlineLevel="0" collapsed="false">
      <c r="A192" s="1305" t="n">
        <f aca="false">EDATE(A191,1)</f>
        <v>40664</v>
      </c>
      <c r="B192" s="1297" t="n">
        <f aca="false">'[3]Monthly Curve Calc.'!B195</f>
        <v>420.731628284247</v>
      </c>
      <c r="C192" s="1298" t="n">
        <f aca="false">'[3]Monthly Curve Calc.'!C195</f>
        <v>232.0294144613</v>
      </c>
      <c r="D192" s="1298" t="n">
        <f aca="false">'[3]Monthly Curve Calc.'!D195</f>
        <v>181.059361685827</v>
      </c>
      <c r="E192" s="1298" t="n">
        <f aca="false">'[3]Monthly Curve Calc.'!E195</f>
        <v>21.955</v>
      </c>
      <c r="F192" s="1299" t="n">
        <f aca="false">'[3]Monthly Curve Calc.'!F195</f>
        <v>2.67360721833143</v>
      </c>
      <c r="G192" s="1306" t="n">
        <f aca="false">IF(AND($A192&gt;G$16,MONTH($A192)=MONTH(G$16)),B191/B179,G191)</f>
        <v>1.072</v>
      </c>
      <c r="H192" s="1304" t="n">
        <f aca="false">IF(AND($A192&gt;H$16,MONTH($A192)=MONTH(H$16)),C191/C179,H191)</f>
        <v>1.0254766914318</v>
      </c>
      <c r="I192" s="1304" t="n">
        <f aca="false">IF(AND($A192&gt;I$16,MONTH($A192)=MONTH(I$16)),C191/C179-I$18,I191)</f>
        <v>1.0229766914318</v>
      </c>
      <c r="J192" s="1304" t="n">
        <f aca="false">IF(AND($A192&gt;J$16,MONTH($A192)=MONTH(J$16)),D191/D179,J191)</f>
        <v>1.0185499415018</v>
      </c>
      <c r="K192" s="1307" t="n">
        <f aca="false">IF($A192&gt;=K$16,IF(MONTH($A192)=MONTH(K$16),AVERAGE(E180:E191),K191),K191)</f>
        <v>21.43</v>
      </c>
      <c r="L192" s="1266" t="n">
        <f aca="false">L191+1</f>
        <v>180</v>
      </c>
      <c r="M192" s="1303" t="n">
        <f aca="false">HLOOKUP(M$14,Dec_Change,$L192)</f>
        <v>1.0254766914318</v>
      </c>
      <c r="N192" s="1304" t="n">
        <f aca="false">N191</f>
        <v>1.005</v>
      </c>
      <c r="O192" s="1307" t="n">
        <f aca="false">IF(AND($A192&gt;=O$16,MONTH($A192)=MONTH(O$16)),MAX(M192,N192)*O191,O191)</f>
        <v>1.44536293026781</v>
      </c>
      <c r="Q192" s="1303" t="n">
        <f aca="false">HLOOKUP(Q$14,Dec_Change,$L192)</f>
        <v>1.0254766914318</v>
      </c>
      <c r="R192" s="1304" t="n">
        <f aca="false">R191</f>
        <v>0</v>
      </c>
      <c r="S192" s="1307" t="n">
        <f aca="false">IF(AND($A192&gt;=S$16,MONTH($A192)=MONTH(S$16)),MAX(Q192,R192)*S191,S191)</f>
        <v>1.32707017803033</v>
      </c>
    </row>
    <row r="193" customFormat="false" ht="12.75" hidden="false" customHeight="false" outlineLevel="0" collapsed="false">
      <c r="A193" s="1305" t="n">
        <f aca="false">EDATE(A192,1)</f>
        <v>40695</v>
      </c>
      <c r="B193" s="1297" t="n">
        <f aca="false">'[3]Monthly Curve Calc.'!B196</f>
        <v>423.176354749506</v>
      </c>
      <c r="C193" s="1298" t="n">
        <f aca="false">'[3]Monthly Curve Calc.'!C196</f>
        <v>232.512691985813</v>
      </c>
      <c r="D193" s="1298" t="n">
        <f aca="false">'[3]Monthly Curve Calc.'!D196</f>
        <v>181.319888169561</v>
      </c>
      <c r="E193" s="1298" t="n">
        <f aca="false">'[3]Monthly Curve Calc.'!E196</f>
        <v>22.005</v>
      </c>
      <c r="F193" s="1299" t="n">
        <f aca="false">'[3]Monthly Curve Calc.'!F196</f>
        <v>2.67824573400349</v>
      </c>
      <c r="G193" s="1306" t="n">
        <f aca="false">IF(AND($A193&gt;G$16,MONTH($A193)=MONTH(G$16)),B192/B180,G192)</f>
        <v>1.072</v>
      </c>
      <c r="H193" s="1304" t="n">
        <f aca="false">IF(AND($A193&gt;H$16,MONTH($A193)=MONTH(H$16)),C192/C180,H192)</f>
        <v>1.0254766914318</v>
      </c>
      <c r="I193" s="1304" t="n">
        <f aca="false">IF(AND($A193&gt;I$16,MONTH($A193)=MONTH(I$16)),C192/C180-I$18,I192)</f>
        <v>1.0229766914318</v>
      </c>
      <c r="J193" s="1304" t="n">
        <f aca="false">IF(AND($A193&gt;J$16,MONTH($A193)=MONTH(J$16)),D192/D180,J192)</f>
        <v>1.0185499415018</v>
      </c>
      <c r="K193" s="1307" t="n">
        <f aca="false">IF($A193&gt;=K$16,IF(MONTH($A193)=MONTH(K$16),AVERAGE(E181:E192),K192),K192)</f>
        <v>21.43</v>
      </c>
      <c r="L193" s="1266" t="n">
        <f aca="false">L192+1</f>
        <v>181</v>
      </c>
      <c r="M193" s="1303" t="n">
        <f aca="false">HLOOKUP(M$14,Dec_Change,$L193)</f>
        <v>1.0254766914318</v>
      </c>
      <c r="N193" s="1304" t="n">
        <f aca="false">N192</f>
        <v>1.005</v>
      </c>
      <c r="O193" s="1307" t="n">
        <f aca="false">IF(AND($A193&gt;=O$16,MONTH($A193)=MONTH(O$16)),MAX(M193,N193)*O192,O192)</f>
        <v>1.44536293026781</v>
      </c>
      <c r="Q193" s="1303" t="n">
        <f aca="false">HLOOKUP(Q$14,Dec_Change,$L193)</f>
        <v>1.0254766914318</v>
      </c>
      <c r="R193" s="1304" t="n">
        <f aca="false">R192</f>
        <v>0</v>
      </c>
      <c r="S193" s="1307" t="n">
        <f aca="false">IF(AND($A193&gt;=S$16,MONTH($A193)=MONTH(S$16)),MAX(Q193,R193)*S192,S192)</f>
        <v>1.36087953546435</v>
      </c>
    </row>
    <row r="194" customFormat="false" ht="12.75" hidden="false" customHeight="false" outlineLevel="0" collapsed="false">
      <c r="A194" s="1305" t="n">
        <f aca="false">EDATE(A193,1)</f>
        <v>40725</v>
      </c>
      <c r="B194" s="1297" t="n">
        <f aca="false">'[3]Monthly Curve Calc.'!B197</f>
        <v>425.635286677556</v>
      </c>
      <c r="C194" s="1298" t="n">
        <f aca="false">'[3]Monthly Curve Calc.'!C197</f>
        <v>232.996976094626</v>
      </c>
      <c r="D194" s="1298" t="n">
        <f aca="false">'[3]Monthly Curve Calc.'!D197</f>
        <v>181.580789525094</v>
      </c>
      <c r="E194" s="1298" t="n">
        <f aca="false">'[3]Monthly Curve Calc.'!E197</f>
        <v>22.055</v>
      </c>
      <c r="F194" s="1299" t="n">
        <f aca="false">'[3]Monthly Curve Calc.'!F197</f>
        <v>2.68289229716566</v>
      </c>
      <c r="G194" s="1306" t="n">
        <f aca="false">IF(AND($A194&gt;G$16,MONTH($A194)=MONTH(G$16)),B193/B181,G193)</f>
        <v>1.072</v>
      </c>
      <c r="H194" s="1304" t="n">
        <f aca="false">IF(AND($A194&gt;H$16,MONTH($A194)=MONTH(H$16)),C193/C181,H193)</f>
        <v>1.0254766914318</v>
      </c>
      <c r="I194" s="1304" t="n">
        <f aca="false">IF(AND($A194&gt;I$16,MONTH($A194)=MONTH(I$16)),C193/C181-I$18,I193)</f>
        <v>1.0229766914318</v>
      </c>
      <c r="J194" s="1304" t="n">
        <f aca="false">IF(AND($A194&gt;J$16,MONTH($A194)=MONTH(J$16)),D193/D181,J193)</f>
        <v>1.0185499415018</v>
      </c>
      <c r="K194" s="1307" t="n">
        <f aca="false">IF($A194&gt;=K$16,IF(MONTH($A194)=MONTH(K$16),AVERAGE(E182:E193),K193),K193)</f>
        <v>21.43</v>
      </c>
      <c r="L194" s="1266" t="n">
        <f aca="false">L193+1</f>
        <v>182</v>
      </c>
      <c r="M194" s="1303" t="n">
        <f aca="false">HLOOKUP(M$14,Dec_Change,$L194)</f>
        <v>1.0254766914318</v>
      </c>
      <c r="N194" s="1304" t="n">
        <f aca="false">N193</f>
        <v>1.005</v>
      </c>
      <c r="O194" s="1307" t="n">
        <f aca="false">IF(AND($A194&gt;=O$16,MONTH($A194)=MONTH(O$16)),MAX(M194,N194)*O193,O193)</f>
        <v>1.44536293026781</v>
      </c>
      <c r="Q194" s="1303" t="n">
        <f aca="false">HLOOKUP(Q$14,Dec_Change,$L194)</f>
        <v>1.0254766914318</v>
      </c>
      <c r="R194" s="1304" t="n">
        <f aca="false">R193</f>
        <v>0</v>
      </c>
      <c r="S194" s="1307" t="n">
        <f aca="false">IF(AND($A194&gt;=S$16,MONTH($A194)=MONTH(S$16)),MAX(Q194,R194)*S193,S193)</f>
        <v>1.36087953546435</v>
      </c>
    </row>
    <row r="195" customFormat="false" ht="12.75" hidden="false" customHeight="false" outlineLevel="0" collapsed="false">
      <c r="A195" s="1305" t="n">
        <f aca="false">EDATE(A194,1)</f>
        <v>40756</v>
      </c>
      <c r="B195" s="1297" t="n">
        <f aca="false">'[3]Monthly Curve Calc.'!B198</f>
        <v>428.108506611442</v>
      </c>
      <c r="C195" s="1298" t="n">
        <f aca="false">'[3]Monthly Curve Calc.'!C198</f>
        <v>233.482268884281</v>
      </c>
      <c r="D195" s="1298" t="n">
        <f aca="false">'[3]Monthly Curve Calc.'!D198</f>
        <v>181.84206629183</v>
      </c>
      <c r="E195" s="1298" t="n">
        <f aca="false">'[3]Monthly Curve Calc.'!E198</f>
        <v>22.105</v>
      </c>
      <c r="F195" s="1299" t="n">
        <f aca="false">'[3]Monthly Curve Calc.'!F198</f>
        <v>2.68754692177975</v>
      </c>
      <c r="G195" s="1306" t="n">
        <f aca="false">IF(AND($A195&gt;G$16,MONTH($A195)=MONTH(G$16)),B194/B182,G194)</f>
        <v>1.072</v>
      </c>
      <c r="H195" s="1304" t="n">
        <f aca="false">IF(AND($A195&gt;H$16,MONTH($A195)=MONTH(H$16)),C194/C182,H194)</f>
        <v>1.0254766914318</v>
      </c>
      <c r="I195" s="1304" t="n">
        <f aca="false">IF(AND($A195&gt;I$16,MONTH($A195)=MONTH(I$16)),C194/C182-I$18,I194)</f>
        <v>1.0229766914318</v>
      </c>
      <c r="J195" s="1304" t="n">
        <f aca="false">IF(AND($A195&gt;J$16,MONTH($A195)=MONTH(J$16)),D194/D182,J194)</f>
        <v>1.0185499415018</v>
      </c>
      <c r="K195" s="1307" t="n">
        <f aca="false">IF($A195&gt;=K$16,IF(MONTH($A195)=MONTH(K$16),AVERAGE(E183:E194),K194),K194)</f>
        <v>21.43</v>
      </c>
      <c r="L195" s="1266" t="n">
        <f aca="false">L194+1</f>
        <v>183</v>
      </c>
      <c r="M195" s="1303" t="n">
        <f aca="false">HLOOKUP(M$14,Dec_Change,$L195)</f>
        <v>1.0254766914318</v>
      </c>
      <c r="N195" s="1304" t="n">
        <f aca="false">N194</f>
        <v>1.005</v>
      </c>
      <c r="O195" s="1307" t="n">
        <f aca="false">IF(AND($A195&gt;=O$16,MONTH($A195)=MONTH(O$16)),MAX(M195,N195)*O194,O194)</f>
        <v>1.44536293026781</v>
      </c>
      <c r="Q195" s="1303" t="n">
        <f aca="false">HLOOKUP(Q$14,Dec_Change,$L195)</f>
        <v>1.0254766914318</v>
      </c>
      <c r="R195" s="1304" t="n">
        <f aca="false">R194</f>
        <v>0</v>
      </c>
      <c r="S195" s="1307" t="n">
        <f aca="false">IF(AND($A195&gt;=S$16,MONTH($A195)=MONTH(S$16)),MAX(Q195,R195)*S194,S194)</f>
        <v>1.36087953546435</v>
      </c>
    </row>
    <row r="196" customFormat="false" ht="12.75" hidden="false" customHeight="false" outlineLevel="0" collapsed="false">
      <c r="A196" s="1305" t="n">
        <f aca="false">EDATE(A195,1)</f>
        <v>40787</v>
      </c>
      <c r="B196" s="1297" t="n">
        <f aca="false">'[3]Monthly Curve Calc.'!B199</f>
        <v>430.596097573843</v>
      </c>
      <c r="C196" s="1298" t="n">
        <f aca="false">'[3]Monthly Curve Calc.'!C199</f>
        <v>233.968572455688</v>
      </c>
      <c r="D196" s="1298" t="n">
        <f aca="false">'[3]Monthly Curve Calc.'!D199</f>
        <v>182.103719009948</v>
      </c>
      <c r="E196" s="1298" t="n">
        <f aca="false">'[3]Monthly Curve Calc.'!E199</f>
        <v>22.155</v>
      </c>
      <c r="F196" s="1299" t="n">
        <f aca="false">'[3]Monthly Curve Calc.'!F199</f>
        <v>2.6922096218318</v>
      </c>
      <c r="G196" s="1306" t="n">
        <f aca="false">IF(AND($A196&gt;G$16,MONTH($A196)=MONTH(G$16)),B195/B183,G195)</f>
        <v>1.072</v>
      </c>
      <c r="H196" s="1304" t="n">
        <f aca="false">IF(AND($A196&gt;H$16,MONTH($A196)=MONTH(H$16)),C195/C183,H195)</f>
        <v>1.0254766914318</v>
      </c>
      <c r="I196" s="1304" t="n">
        <f aca="false">IF(AND($A196&gt;I$16,MONTH($A196)=MONTH(I$16)),C195/C183-I$18,I195)</f>
        <v>1.0229766914318</v>
      </c>
      <c r="J196" s="1304" t="n">
        <f aca="false">IF(AND($A196&gt;J$16,MONTH($A196)=MONTH(J$16)),D195/D183,J195)</f>
        <v>1.0185499415018</v>
      </c>
      <c r="K196" s="1307" t="n">
        <f aca="false">IF($A196&gt;=K$16,IF(MONTH($A196)=MONTH(K$16),AVERAGE(E184:E195),K195),K195)</f>
        <v>21.43</v>
      </c>
      <c r="L196" s="1266" t="n">
        <f aca="false">L195+1</f>
        <v>184</v>
      </c>
      <c r="M196" s="1303" t="n">
        <f aca="false">HLOOKUP(M$14,Dec_Change,$L196)</f>
        <v>1.0254766914318</v>
      </c>
      <c r="N196" s="1304" t="n">
        <f aca="false">N195</f>
        <v>1.005</v>
      </c>
      <c r="O196" s="1307" t="n">
        <f aca="false">IF(AND($A196&gt;=O$16,MONTH($A196)=MONTH(O$16)),MAX(M196,N196)*O195,O195)</f>
        <v>1.44536293026781</v>
      </c>
      <c r="Q196" s="1303" t="n">
        <f aca="false">HLOOKUP(Q$14,Dec_Change,$L196)</f>
        <v>1.0254766914318</v>
      </c>
      <c r="R196" s="1304" t="n">
        <f aca="false">R195</f>
        <v>0</v>
      </c>
      <c r="S196" s="1307" t="n">
        <f aca="false">IF(AND($A196&gt;=S$16,MONTH($A196)=MONTH(S$16)),MAX(Q196,R196)*S195,S195)</f>
        <v>1.36087953546435</v>
      </c>
    </row>
    <row r="197" customFormat="false" ht="12.75" hidden="false" customHeight="false" outlineLevel="0" collapsed="false">
      <c r="A197" s="1305" t="n">
        <f aca="false">EDATE(A196,1)</f>
        <v>40817</v>
      </c>
      <c r="B197" s="1297" t="n">
        <f aca="false">'[3]Monthly Curve Calc.'!B200</f>
        <v>433.09814306985</v>
      </c>
      <c r="C197" s="1298" t="n">
        <f aca="false">'[3]Monthly Curve Calc.'!C200</f>
        <v>234.455888914132</v>
      </c>
      <c r="D197" s="1298" t="n">
        <f aca="false">'[3]Monthly Curve Calc.'!D200</f>
        <v>182.365748220406</v>
      </c>
      <c r="E197" s="1298" t="n">
        <f aca="false">'[3]Monthly Curve Calc.'!E200</f>
        <v>22.205</v>
      </c>
      <c r="F197" s="1299" t="n">
        <f aca="false">'[3]Monthly Curve Calc.'!F200</f>
        <v>2.69688041133211</v>
      </c>
      <c r="G197" s="1306" t="n">
        <f aca="false">IF(AND($A197&gt;G$16,MONTH($A197)=MONTH(G$16)),B196/B184,G196)</f>
        <v>1.072</v>
      </c>
      <c r="H197" s="1304" t="n">
        <f aca="false">IF(AND($A197&gt;H$16,MONTH($A197)=MONTH(H$16)),C196/C184,H196)</f>
        <v>1.0254766914318</v>
      </c>
      <c r="I197" s="1304" t="n">
        <f aca="false">IF(AND($A197&gt;I$16,MONTH($A197)=MONTH(I$16)),C196/C184-I$18,I196)</f>
        <v>1.0229766914318</v>
      </c>
      <c r="J197" s="1304" t="n">
        <f aca="false">IF(AND($A197&gt;J$16,MONTH($A197)=MONTH(J$16)),D196/D184,J196)</f>
        <v>1.0185499415018</v>
      </c>
      <c r="K197" s="1307" t="n">
        <f aca="false">IF($A197&gt;=K$16,IF(MONTH($A197)=MONTH(K$16),AVERAGE(E185:E196),K196),K196)</f>
        <v>21.43</v>
      </c>
      <c r="L197" s="1266" t="n">
        <f aca="false">L196+1</f>
        <v>185</v>
      </c>
      <c r="M197" s="1303" t="n">
        <f aca="false">HLOOKUP(M$14,Dec_Change,$L197)</f>
        <v>1.0254766914318</v>
      </c>
      <c r="N197" s="1304" t="n">
        <f aca="false">N196</f>
        <v>1.005</v>
      </c>
      <c r="O197" s="1307" t="n">
        <f aca="false">IF(AND($A197&gt;=O$16,MONTH($A197)=MONTH(O$16)),MAX(M197,N197)*O196,O196)</f>
        <v>1.44536293026781</v>
      </c>
      <c r="Q197" s="1303" t="n">
        <f aca="false">HLOOKUP(Q$14,Dec_Change,$L197)</f>
        <v>1.0254766914318</v>
      </c>
      <c r="R197" s="1304" t="n">
        <f aca="false">R196</f>
        <v>0</v>
      </c>
      <c r="S197" s="1307" t="n">
        <f aca="false">IF(AND($A197&gt;=S$16,MONTH($A197)=MONTH(S$16)),MAX(Q197,R197)*S196,S196)</f>
        <v>1.36087953546435</v>
      </c>
    </row>
    <row r="198" customFormat="false" ht="12.75" hidden="false" customHeight="false" outlineLevel="0" collapsed="false">
      <c r="A198" s="1305" t="n">
        <f aca="false">EDATE(A197,1)</f>
        <v>40848</v>
      </c>
      <c r="B198" s="1297" t="n">
        <f aca="false">'[3]Monthly Curve Calc.'!B201</f>
        <v>435.614727089777</v>
      </c>
      <c r="C198" s="1298" t="n">
        <f aca="false">'[3]Monthly Curve Calc.'!C201</f>
        <v>234.944220369284</v>
      </c>
      <c r="D198" s="1298" t="n">
        <f aca="false">'[3]Monthly Curve Calc.'!D201</f>
        <v>182.628154464937</v>
      </c>
      <c r="E198" s="1298" t="n">
        <f aca="false">'[3]Monthly Curve Calc.'!E201</f>
        <v>22.255</v>
      </c>
      <c r="F198" s="1299" t="n">
        <f aca="false">'[3]Monthly Curve Calc.'!F201</f>
        <v>2.70155930431529</v>
      </c>
      <c r="G198" s="1306" t="n">
        <f aca="false">IF(AND($A198&gt;G$16,MONTH($A198)=MONTH(G$16)),B197/B185,G197)</f>
        <v>1.072</v>
      </c>
      <c r="H198" s="1304" t="n">
        <f aca="false">IF(AND($A198&gt;H$16,MONTH($A198)=MONTH(H$16)),C197/C185,H197)</f>
        <v>1.0254766914318</v>
      </c>
      <c r="I198" s="1304" t="n">
        <f aca="false">IF(AND($A198&gt;I$16,MONTH($A198)=MONTH(I$16)),C197/C185-I$18,I197)</f>
        <v>1.0229766914318</v>
      </c>
      <c r="J198" s="1304" t="n">
        <f aca="false">IF(AND($A198&gt;J$16,MONTH($A198)=MONTH(J$16)),D197/D185,J197)</f>
        <v>1.0185499415018</v>
      </c>
      <c r="K198" s="1307" t="n">
        <f aca="false">IF($A198&gt;=K$16,IF(MONTH($A198)=MONTH(K$16),AVERAGE(E186:E197),K197),K197)</f>
        <v>21.43</v>
      </c>
      <c r="L198" s="1266" t="n">
        <f aca="false">L197+1</f>
        <v>186</v>
      </c>
      <c r="M198" s="1303" t="n">
        <f aca="false">HLOOKUP(M$14,Dec_Change,$L198)</f>
        <v>1.0254766914318</v>
      </c>
      <c r="N198" s="1304" t="n">
        <f aca="false">N197</f>
        <v>1.005</v>
      </c>
      <c r="O198" s="1307" t="n">
        <f aca="false">IF(AND($A198&gt;=O$16,MONTH($A198)=MONTH(O$16)),MAX(M198,N198)*O197,O197)</f>
        <v>1.44536293026781</v>
      </c>
      <c r="Q198" s="1303" t="n">
        <f aca="false">HLOOKUP(Q$14,Dec_Change,$L198)</f>
        <v>1.0254766914318</v>
      </c>
      <c r="R198" s="1304" t="n">
        <f aca="false">R197</f>
        <v>0</v>
      </c>
      <c r="S198" s="1307" t="n">
        <f aca="false">IF(AND($A198&gt;=S$16,MONTH($A198)=MONTH(S$16)),MAX(Q198,R198)*S197,S197)</f>
        <v>1.36087953546435</v>
      </c>
    </row>
    <row r="199" customFormat="false" ht="12.75" hidden="false" customHeight="false" outlineLevel="0" collapsed="false">
      <c r="A199" s="1305" t="n">
        <f aca="false">EDATE(A198,1)</f>
        <v>40878</v>
      </c>
      <c r="B199" s="1297" t="n">
        <f aca="false">'[3]Monthly Curve Calc.'!B202</f>
        <v>438.145934111974</v>
      </c>
      <c r="C199" s="1298" t="n">
        <f aca="false">'[3]Monthly Curve Calc.'!C202</f>
        <v>235.433568935207</v>
      </c>
      <c r="D199" s="1298" t="n">
        <f aca="false">'[3]Monthly Curve Calc.'!D202</f>
        <v>182.890938286058</v>
      </c>
      <c r="E199" s="1298" t="n">
        <f aca="false">'[3]Monthly Curve Calc.'!E202</f>
        <v>22.305</v>
      </c>
      <c r="F199" s="1299" t="n">
        <f aca="false">'[3]Monthly Curve Calc.'!F202</f>
        <v>2.70624631484031</v>
      </c>
      <c r="G199" s="1306" t="n">
        <f aca="false">IF(AND($A199&gt;G$16,MONTH($A199)=MONTH(G$16)),B198/B186,G198)</f>
        <v>1.072</v>
      </c>
      <c r="H199" s="1304" t="n">
        <f aca="false">IF(AND($A199&gt;H$16,MONTH($A199)=MONTH(H$16)),C198/C186,H198)</f>
        <v>1.0254766914318</v>
      </c>
      <c r="I199" s="1304" t="n">
        <f aca="false">IF(AND($A199&gt;I$16,MONTH($A199)=MONTH(I$16)),C198/C186-I$18,I198)</f>
        <v>1.0229766914318</v>
      </c>
      <c r="J199" s="1304" t="n">
        <f aca="false">IF(AND($A199&gt;J$16,MONTH($A199)=MONTH(J$16)),D198/D186,J198)</f>
        <v>1.0185499415018</v>
      </c>
      <c r="K199" s="1307" t="n">
        <f aca="false">IF($A199&gt;=K$16,IF(MONTH($A199)=MONTH(K$16),AVERAGE(E187:E198),K198),K198)</f>
        <v>21.43</v>
      </c>
      <c r="L199" s="1266" t="n">
        <f aca="false">L198+1</f>
        <v>187</v>
      </c>
      <c r="M199" s="1303" t="n">
        <f aca="false">HLOOKUP(M$14,Dec_Change,$L199)</f>
        <v>1.0254766914318</v>
      </c>
      <c r="N199" s="1304" t="n">
        <f aca="false">N198</f>
        <v>1.005</v>
      </c>
      <c r="O199" s="1307" t="n">
        <f aca="false">IF(AND($A199&gt;=O$16,MONTH($A199)=MONTH(O$16)),MAX(M199,N199)*O198,O198)</f>
        <v>1.44536293026781</v>
      </c>
      <c r="Q199" s="1303" t="n">
        <f aca="false">HLOOKUP(Q$14,Dec_Change,$L199)</f>
        <v>1.0254766914318</v>
      </c>
      <c r="R199" s="1304" t="n">
        <f aca="false">R198</f>
        <v>0</v>
      </c>
      <c r="S199" s="1307" t="n">
        <f aca="false">IF(AND($A199&gt;=S$16,MONTH($A199)=MONTH(S$16)),MAX(Q199,R199)*S198,S198)</f>
        <v>1.36087953546435</v>
      </c>
    </row>
    <row r="200" customFormat="false" ht="12.75" hidden="false" customHeight="false" outlineLevel="0" collapsed="false">
      <c r="A200" s="1305" t="n">
        <f aca="false">EDATE(A199,1)</f>
        <v>40909</v>
      </c>
      <c r="B200" s="1297" t="n">
        <f aca="false">'[3]Monthly Curve Calc.'!B203</f>
        <v>440.691849105666</v>
      </c>
      <c r="C200" s="1298" t="n">
        <f aca="false">'[3]Monthly Curve Calc.'!C203</f>
        <v>235.920101317146</v>
      </c>
      <c r="D200" s="1298" t="n">
        <f aca="false">'[3]Monthly Curve Calc.'!D203</f>
        <v>183.139217085792</v>
      </c>
      <c r="E200" s="1298" t="n">
        <f aca="false">'[3]Monthly Curve Calc.'!E203</f>
        <v>22.355</v>
      </c>
      <c r="F200" s="1299" t="n">
        <f aca="false">'[3]Monthly Curve Calc.'!F203</f>
        <v>2.71071337566439</v>
      </c>
      <c r="G200" s="1306" t="n">
        <f aca="false">IF(AND($A200&gt;G$16,MONTH($A200)=MONTH(G$16)),B199/B187,G199)</f>
        <v>1.072</v>
      </c>
      <c r="H200" s="1304" t="n">
        <f aca="false">IF(AND($A200&gt;H$16,MONTH($A200)=MONTH(H$16)),C199/C187,H199)</f>
        <v>1.0254766914318</v>
      </c>
      <c r="I200" s="1304" t="n">
        <f aca="false">IF(AND($A200&gt;I$16,MONTH($A200)=MONTH(I$16)),C199/C187-I$18,I199)</f>
        <v>1.0229766914318</v>
      </c>
      <c r="J200" s="1304" t="n">
        <f aca="false">IF(AND($A200&gt;J$16,MONTH($A200)=MONTH(J$16)),D199/D187,J199)</f>
        <v>1.01740411745657</v>
      </c>
      <c r="K200" s="1307" t="n">
        <f aca="false">IF($A200&gt;=K$16,IF(MONTH($A200)=MONTH(K$16),AVERAGE(E188:E199),K199),K199)</f>
        <v>22.03</v>
      </c>
      <c r="L200" s="1266" t="n">
        <f aca="false">L199+1</f>
        <v>188</v>
      </c>
      <c r="M200" s="1303" t="n">
        <f aca="false">HLOOKUP(M$14,Dec_Change,$L200)</f>
        <v>1.0254766914318</v>
      </c>
      <c r="N200" s="1304" t="n">
        <f aca="false">N199</f>
        <v>1.005</v>
      </c>
      <c r="O200" s="1307" t="n">
        <f aca="false">IF(AND($A200&gt;=O$16,MONTH($A200)=MONTH(O$16)),MAX(M200,N200)*O199,O199)</f>
        <v>1.44536293026781</v>
      </c>
      <c r="Q200" s="1303" t="n">
        <f aca="false">HLOOKUP(Q$14,Dec_Change,$L200)</f>
        <v>1.0254766914318</v>
      </c>
      <c r="R200" s="1304" t="n">
        <f aca="false">R199</f>
        <v>0</v>
      </c>
      <c r="S200" s="1307" t="n">
        <f aca="false">IF(AND($A200&gt;=S$16,MONTH($A200)=MONTH(S$16)),MAX(Q200,R200)*S199,S199)</f>
        <v>1.36087953546435</v>
      </c>
    </row>
    <row r="201" customFormat="false" ht="12.75" hidden="false" customHeight="false" outlineLevel="0" collapsed="false">
      <c r="A201" s="1305" t="n">
        <f aca="false">EDATE(A200,1)</f>
        <v>40940</v>
      </c>
      <c r="B201" s="1297" t="n">
        <f aca="false">'[3]Monthly Curve Calc.'!B204</f>
        <v>443.252557533807</v>
      </c>
      <c r="C201" s="1298" t="n">
        <f aca="false">'[3]Monthly Curve Calc.'!C204</f>
        <v>236.407639136668</v>
      </c>
      <c r="D201" s="1298" t="n">
        <f aca="false">'[3]Monthly Curve Calc.'!D204</f>
        <v>183.387832929903</v>
      </c>
      <c r="E201" s="1298" t="n">
        <f aca="false">'[3]Monthly Curve Calc.'!E204</f>
        <v>22.405</v>
      </c>
      <c r="F201" s="1299" t="n">
        <f aca="false">'[3]Monthly Curve Calc.'!F204</f>
        <v>2.71518781003473</v>
      </c>
      <c r="G201" s="1306" t="n">
        <f aca="false">IF(AND($A201&gt;G$16,MONTH($A201)=MONTH(G$16)),B200/B188,G200)</f>
        <v>1.072</v>
      </c>
      <c r="H201" s="1304" t="n">
        <f aca="false">IF(AND($A201&gt;H$16,MONTH($A201)=MONTH(H$16)),C200/C188,H200)</f>
        <v>1.0254766914318</v>
      </c>
      <c r="I201" s="1304" t="n">
        <f aca="false">IF(AND($A201&gt;I$16,MONTH($A201)=MONTH(I$16)),C200/C188-I$18,I200)</f>
        <v>1.0229766914318</v>
      </c>
      <c r="J201" s="1304" t="n">
        <f aca="false">IF(AND($A201&gt;J$16,MONTH($A201)=MONTH(J$16)),D200/D188,J200)</f>
        <v>1.01740411745657</v>
      </c>
      <c r="K201" s="1307" t="n">
        <f aca="false">IF($A201&gt;=K$16,IF(MONTH($A201)=MONTH(K$16),AVERAGE(E189:E200),K200),K200)</f>
        <v>22.03</v>
      </c>
      <c r="L201" s="1266" t="n">
        <f aca="false">L200+1</f>
        <v>189</v>
      </c>
      <c r="M201" s="1303" t="n">
        <f aca="false">HLOOKUP(M$14,Dec_Change,$L201)</f>
        <v>1.0254766914318</v>
      </c>
      <c r="N201" s="1304" t="n">
        <f aca="false">N200</f>
        <v>1.005</v>
      </c>
      <c r="O201" s="1307" t="n">
        <f aca="false">IF(AND($A201&gt;=O$16,MONTH($A201)=MONTH(O$16)),MAX(M201,N201)*O200,O200)</f>
        <v>1.44536293026781</v>
      </c>
      <c r="Q201" s="1303" t="n">
        <f aca="false">HLOOKUP(Q$14,Dec_Change,$L201)</f>
        <v>1.0254766914318</v>
      </c>
      <c r="R201" s="1304" t="n">
        <f aca="false">R200</f>
        <v>0</v>
      </c>
      <c r="S201" s="1307" t="n">
        <f aca="false">IF(AND($A201&gt;=S$16,MONTH($A201)=MONTH(S$16)),MAX(Q201,R201)*S200,S200)</f>
        <v>1.36087953546435</v>
      </c>
    </row>
    <row r="202" customFormat="false" ht="12.75" hidden="false" customHeight="false" outlineLevel="0" collapsed="false">
      <c r="A202" s="1305" t="n">
        <f aca="false">EDATE(A201,1)</f>
        <v>40969</v>
      </c>
      <c r="B202" s="1297" t="n">
        <f aca="false">'[3]Monthly Curve Calc.'!B205</f>
        <v>445.828145355945</v>
      </c>
      <c r="C202" s="1298" t="n">
        <f aca="false">'[3]Monthly Curve Calc.'!C205</f>
        <v>236.896184471549</v>
      </c>
      <c r="D202" s="1298" t="n">
        <f aca="false">'[3]Monthly Curve Calc.'!D205</f>
        <v>183.636786275936</v>
      </c>
      <c r="E202" s="1298" t="n">
        <f aca="false">'[3]Monthly Curve Calc.'!E205</f>
        <v>22.455</v>
      </c>
      <c r="F202" s="1299" t="n">
        <f aca="false">'[3]Monthly Curve Calc.'!F205</f>
        <v>2.71966963012247</v>
      </c>
      <c r="G202" s="1306" t="n">
        <f aca="false">IF(AND($A202&gt;G$16,MONTH($A202)=MONTH(G$16)),B201/B189,G201)</f>
        <v>1.072</v>
      </c>
      <c r="H202" s="1304" t="n">
        <f aca="false">IF(AND($A202&gt;H$16,MONTH($A202)=MONTH(H$16)),C201/C189,H201)</f>
        <v>1.0254766914318</v>
      </c>
      <c r="I202" s="1304" t="n">
        <f aca="false">IF(AND($A202&gt;I$16,MONTH($A202)=MONTH(I$16)),C201/C189-I$18,I201)</f>
        <v>1.0229766914318</v>
      </c>
      <c r="J202" s="1304" t="n">
        <f aca="false">IF(AND($A202&gt;J$16,MONTH($A202)=MONTH(J$16)),D201/D189,J201)</f>
        <v>1.01740411745657</v>
      </c>
      <c r="K202" s="1307" t="n">
        <f aca="false">IF($A202&gt;=K$16,IF(MONTH($A202)=MONTH(K$16),AVERAGE(E190:E201),K201),K201)</f>
        <v>22.03</v>
      </c>
      <c r="L202" s="1266" t="n">
        <f aca="false">L201+1</f>
        <v>190</v>
      </c>
      <c r="M202" s="1303" t="n">
        <f aca="false">HLOOKUP(M$14,Dec_Change,$L202)</f>
        <v>1.0254766914318</v>
      </c>
      <c r="N202" s="1304" t="n">
        <f aca="false">N201</f>
        <v>1.005</v>
      </c>
      <c r="O202" s="1307" t="n">
        <f aca="false">IF(AND($A202&gt;=O$16,MONTH($A202)=MONTH(O$16)),MAX(M202,N202)*O201,O201)</f>
        <v>1.44536293026781</v>
      </c>
      <c r="Q202" s="1303" t="n">
        <f aca="false">HLOOKUP(Q$14,Dec_Change,$L202)</f>
        <v>1.0254766914318</v>
      </c>
      <c r="R202" s="1304" t="n">
        <f aca="false">R201</f>
        <v>0</v>
      </c>
      <c r="S202" s="1307" t="n">
        <f aca="false">IF(AND($A202&gt;=S$16,MONTH($A202)=MONTH(S$16)),MAX(Q202,R202)*S201,S201)</f>
        <v>1.36087953546435</v>
      </c>
    </row>
    <row r="203" customFormat="false" ht="12.75" hidden="false" customHeight="false" outlineLevel="0" collapsed="false">
      <c r="A203" s="1305" t="n">
        <f aca="false">EDATE(A202,1)</f>
        <v>41000</v>
      </c>
      <c r="B203" s="1297" t="n">
        <f aca="false">'[3]Monthly Curve Calc.'!B206</f>
        <v>448.418699031109</v>
      </c>
      <c r="C203" s="1298" t="n">
        <f aca="false">'[3]Monthly Curve Calc.'!C206</f>
        <v>237.385739403857</v>
      </c>
      <c r="D203" s="1298" t="n">
        <f aca="false">'[3]Monthly Curve Calc.'!D206</f>
        <v>183.88607758206</v>
      </c>
      <c r="E203" s="1298" t="n">
        <f aca="false">'[3]Monthly Curve Calc.'!E206</f>
        <v>22.505</v>
      </c>
      <c r="F203" s="1299" t="n">
        <f aca="false">'[3]Monthly Curve Calc.'!F206</f>
        <v>2.72415884811883</v>
      </c>
      <c r="G203" s="1306" t="n">
        <f aca="false">IF(AND($A203&gt;G$16,MONTH($A203)=MONTH(G$16)),B202/B190,G202)</f>
        <v>1.072</v>
      </c>
      <c r="H203" s="1304" t="n">
        <f aca="false">IF(AND($A203&gt;H$16,MONTH($A203)=MONTH(H$16)),C202/C190,H202)</f>
        <v>1.0254766914318</v>
      </c>
      <c r="I203" s="1304" t="n">
        <f aca="false">IF(AND($A203&gt;I$16,MONTH($A203)=MONTH(I$16)),C202/C190-I$18,I202)</f>
        <v>1.0229766914318</v>
      </c>
      <c r="J203" s="1304" t="n">
        <f aca="false">IF(AND($A203&gt;J$16,MONTH($A203)=MONTH(J$16)),D202/D190,J202)</f>
        <v>1.01740411745657</v>
      </c>
      <c r="K203" s="1307" t="n">
        <f aca="false">IF($A203&gt;=K$16,IF(MONTH($A203)=MONTH(K$16),AVERAGE(E191:E202),K202),K202)</f>
        <v>22.03</v>
      </c>
      <c r="L203" s="1266" t="n">
        <f aca="false">L202+1</f>
        <v>191</v>
      </c>
      <c r="M203" s="1303" t="n">
        <f aca="false">HLOOKUP(M$14,Dec_Change,$L203)</f>
        <v>1.0254766914318</v>
      </c>
      <c r="N203" s="1304" t="n">
        <f aca="false">N202</f>
        <v>1.005</v>
      </c>
      <c r="O203" s="1307" t="n">
        <f aca="false">IF(AND($A203&gt;=O$16,MONTH($A203)=MONTH(O$16)),MAX(M203,N203)*O202,O202)</f>
        <v>1.44536293026781</v>
      </c>
      <c r="Q203" s="1303" t="n">
        <f aca="false">HLOOKUP(Q$14,Dec_Change,$L203)</f>
        <v>1.0254766914318</v>
      </c>
      <c r="R203" s="1304" t="n">
        <f aca="false">R202</f>
        <v>0</v>
      </c>
      <c r="S203" s="1307" t="n">
        <f aca="false">IF(AND($A203&gt;=S$16,MONTH($A203)=MONTH(S$16)),MAX(Q203,R203)*S202,S202)</f>
        <v>1.36087953546435</v>
      </c>
    </row>
    <row r="204" customFormat="false" ht="12.75" hidden="false" customHeight="false" outlineLevel="0" collapsed="false">
      <c r="A204" s="1305" t="n">
        <f aca="false">EDATE(A203,1)</f>
        <v>41030</v>
      </c>
      <c r="B204" s="1297" t="n">
        <f aca="false">'[3]Monthly Curve Calc.'!B207</f>
        <v>451.024305520712</v>
      </c>
      <c r="C204" s="1298" t="n">
        <f aca="false">'[3]Monthly Curve Calc.'!C207</f>
        <v>237.876306019964</v>
      </c>
      <c r="D204" s="1298" t="n">
        <f aca="false">'[3]Monthly Curve Calc.'!D207</f>
        <v>184.135707307062</v>
      </c>
      <c r="E204" s="1298" t="n">
        <f aca="false">'[3]Monthly Curve Calc.'!E207</f>
        <v>22.555</v>
      </c>
      <c r="F204" s="1299" t="n">
        <f aca="false">'[3]Monthly Curve Calc.'!F207</f>
        <v>2.72865547623515</v>
      </c>
      <c r="G204" s="1306" t="n">
        <f aca="false">IF(AND($A204&gt;G$16,MONTH($A204)=MONTH(G$16)),B203/B191,G203)</f>
        <v>1.072</v>
      </c>
      <c r="H204" s="1304" t="n">
        <f aca="false">IF(AND($A204&gt;H$16,MONTH($A204)=MONTH(H$16)),C203/C191,H203)</f>
        <v>1.02521559082494</v>
      </c>
      <c r="I204" s="1304" t="n">
        <f aca="false">IF(AND($A204&gt;I$16,MONTH($A204)=MONTH(I$16)),C203/C191-I$18,I203)</f>
        <v>1.02271559082494</v>
      </c>
      <c r="J204" s="1304" t="n">
        <f aca="false">IF(AND($A204&gt;J$16,MONTH($A204)=MONTH(J$16)),D203/D191,J203)</f>
        <v>1.01740411745657</v>
      </c>
      <c r="K204" s="1307" t="n">
        <f aca="false">IF($A204&gt;=K$16,IF(MONTH($A204)=MONTH(K$16),AVERAGE(E192:E203),K203),K203)</f>
        <v>22.03</v>
      </c>
      <c r="L204" s="1266" t="n">
        <f aca="false">L203+1</f>
        <v>192</v>
      </c>
      <c r="M204" s="1303" t="n">
        <f aca="false">HLOOKUP(M$14,Dec_Change,$L204)</f>
        <v>1.02521559082494</v>
      </c>
      <c r="N204" s="1304" t="n">
        <f aca="false">N203</f>
        <v>1.005</v>
      </c>
      <c r="O204" s="1307" t="n">
        <f aca="false">IF(AND($A204&gt;=O$16,MONTH($A204)=MONTH(O$16)),MAX(M204,N204)*O203,O203)</f>
        <v>1.48180861051097</v>
      </c>
      <c r="Q204" s="1303" t="n">
        <f aca="false">HLOOKUP(Q$14,Dec_Change,$L204)</f>
        <v>1.02521559082494</v>
      </c>
      <c r="R204" s="1304" t="n">
        <f aca="false">R203</f>
        <v>0</v>
      </c>
      <c r="S204" s="1307" t="n">
        <f aca="false">IF(AND($A204&gt;=S$16,MONTH($A204)=MONTH(S$16)),MAX(Q204,R204)*S203,S203)</f>
        <v>1.36087953546435</v>
      </c>
    </row>
    <row r="205" customFormat="false" ht="12.75" hidden="false" customHeight="false" outlineLevel="0" collapsed="false">
      <c r="A205" s="1305" t="n">
        <f aca="false">EDATE(A204,1)</f>
        <v>41061</v>
      </c>
      <c r="B205" s="1297" t="n">
        <f aca="false">'[3]Monthly Curve Calc.'!B208</f>
        <v>453.645052291471</v>
      </c>
      <c r="C205" s="1298" t="n">
        <f aca="false">'[3]Monthly Curve Calc.'!C208</f>
        <v>238.367886410552</v>
      </c>
      <c r="D205" s="1298" t="n">
        <f aca="false">'[3]Monthly Curve Calc.'!D208</f>
        <v>184.385675910355</v>
      </c>
      <c r="E205" s="1298" t="n">
        <f aca="false">'[3]Monthly Curve Calc.'!E208</f>
        <v>22.605</v>
      </c>
      <c r="F205" s="1299" t="n">
        <f aca="false">'[3]Monthly Curve Calc.'!F208</f>
        <v>2.73315952670294</v>
      </c>
      <c r="G205" s="1306" t="n">
        <f aca="false">IF(AND($A205&gt;G$16,MONTH($A205)=MONTH(G$16)),B204/B192,G204)</f>
        <v>1.072</v>
      </c>
      <c r="H205" s="1304" t="n">
        <f aca="false">IF(AND($A205&gt;H$16,MONTH($A205)=MONTH(H$16)),C204/C192,H204)</f>
        <v>1.02521559082494</v>
      </c>
      <c r="I205" s="1304" t="n">
        <f aca="false">IF(AND($A205&gt;I$16,MONTH($A205)=MONTH(I$16)),C204/C192-I$18,I204)</f>
        <v>1.02271559082494</v>
      </c>
      <c r="J205" s="1304" t="n">
        <f aca="false">IF(AND($A205&gt;J$16,MONTH($A205)=MONTH(J$16)),D204/D192,J204)</f>
        <v>1.01740411745657</v>
      </c>
      <c r="K205" s="1307" t="n">
        <f aca="false">IF($A205&gt;=K$16,IF(MONTH($A205)=MONTH(K$16),AVERAGE(E193:E204),K204),K204)</f>
        <v>22.03</v>
      </c>
      <c r="L205" s="1266" t="n">
        <f aca="false">L204+1</f>
        <v>193</v>
      </c>
      <c r="M205" s="1303" t="n">
        <f aca="false">HLOOKUP(M$14,Dec_Change,$L205)</f>
        <v>1.02521559082494</v>
      </c>
      <c r="N205" s="1304" t="n">
        <f aca="false">N204</f>
        <v>1.005</v>
      </c>
      <c r="O205" s="1307" t="n">
        <f aca="false">IF(AND($A205&gt;=O$16,MONTH($A205)=MONTH(O$16)),MAX(M205,N205)*O204,O204)</f>
        <v>1.48180861051097</v>
      </c>
      <c r="Q205" s="1303" t="n">
        <f aca="false">HLOOKUP(Q$14,Dec_Change,$L205)</f>
        <v>1.02521559082494</v>
      </c>
      <c r="R205" s="1304" t="n">
        <f aca="false">R204</f>
        <v>0</v>
      </c>
      <c r="S205" s="1307" t="n">
        <f aca="false">IF(AND($A205&gt;=S$16,MONTH($A205)=MONTH(S$16)),MAX(Q205,R205)*S204,S204)</f>
        <v>1.39519491699265</v>
      </c>
    </row>
    <row r="206" customFormat="false" ht="12.75" hidden="false" customHeight="false" outlineLevel="0" collapsed="false">
      <c r="A206" s="1305" t="n">
        <f aca="false">EDATE(A205,1)</f>
        <v>41091</v>
      </c>
      <c r="B206" s="1297" t="n">
        <f aca="false">'[3]Monthly Curve Calc.'!B209</f>
        <v>456.28102731834</v>
      </c>
      <c r="C206" s="1298" t="n">
        <f aca="false">'[3]Monthly Curve Calc.'!C209</f>
        <v>238.860482670624</v>
      </c>
      <c r="D206" s="1298" t="n">
        <f aca="false">'[3]Monthly Curve Calc.'!D209</f>
        <v>184.635983851974</v>
      </c>
      <c r="E206" s="1298" t="n">
        <f aca="false">'[3]Monthly Curve Calc.'!E209</f>
        <v>22.655</v>
      </c>
      <c r="F206" s="1299" t="n">
        <f aca="false">'[3]Monthly Curve Calc.'!F209</f>
        <v>2.73767101177388</v>
      </c>
      <c r="G206" s="1306" t="n">
        <f aca="false">IF(AND($A206&gt;G$16,MONTH($A206)=MONTH(G$16)),B205/B193,G205)</f>
        <v>1.072</v>
      </c>
      <c r="H206" s="1304" t="n">
        <f aca="false">IF(AND($A206&gt;H$16,MONTH($A206)=MONTH(H$16)),C205/C193,H205)</f>
        <v>1.02521559082494</v>
      </c>
      <c r="I206" s="1304" t="n">
        <f aca="false">IF(AND($A206&gt;I$16,MONTH($A206)=MONTH(I$16)),C205/C193-I$18,I205)</f>
        <v>1.02271559082494</v>
      </c>
      <c r="J206" s="1304" t="n">
        <f aca="false">IF(AND($A206&gt;J$16,MONTH($A206)=MONTH(J$16)),D205/D193,J205)</f>
        <v>1.01740411745657</v>
      </c>
      <c r="K206" s="1307" t="n">
        <f aca="false">IF($A206&gt;=K$16,IF(MONTH($A206)=MONTH(K$16),AVERAGE(E194:E205),K205),K205)</f>
        <v>22.03</v>
      </c>
      <c r="L206" s="1266" t="n">
        <f aca="false">L205+1</f>
        <v>194</v>
      </c>
      <c r="M206" s="1303" t="n">
        <f aca="false">HLOOKUP(M$14,Dec_Change,$L206)</f>
        <v>1.02521559082494</v>
      </c>
      <c r="N206" s="1304" t="n">
        <f aca="false">N205</f>
        <v>1.005</v>
      </c>
      <c r="O206" s="1307" t="n">
        <f aca="false">IF(AND($A206&gt;=O$16,MONTH($A206)=MONTH(O$16)),MAX(M206,N206)*O205,O205)</f>
        <v>1.48180861051097</v>
      </c>
      <c r="Q206" s="1303" t="n">
        <f aca="false">HLOOKUP(Q$14,Dec_Change,$L206)</f>
        <v>1.02521559082494</v>
      </c>
      <c r="R206" s="1304" t="n">
        <f aca="false">R205</f>
        <v>0</v>
      </c>
      <c r="S206" s="1307" t="n">
        <f aca="false">IF(AND($A206&gt;=S$16,MONTH($A206)=MONTH(S$16)),MAX(Q206,R206)*S205,S205)</f>
        <v>1.39519491699265</v>
      </c>
    </row>
    <row r="207" customFormat="false" ht="12.75" hidden="false" customHeight="false" outlineLevel="0" collapsed="false">
      <c r="A207" s="1305" t="n">
        <f aca="false">EDATE(A206,1)</f>
        <v>41122</v>
      </c>
      <c r="B207" s="1297" t="n">
        <f aca="false">'[3]Monthly Curve Calc.'!B210</f>
        <v>458.932319087466</v>
      </c>
      <c r="C207" s="1298" t="n">
        <f aca="false">'[3]Monthly Curve Calc.'!C210</f>
        <v>239.354096899514</v>
      </c>
      <c r="D207" s="1298" t="n">
        <f aca="false">'[3]Monthly Curve Calc.'!D210</f>
        <v>184.886631592578</v>
      </c>
      <c r="E207" s="1298" t="n">
        <f aca="false">'[3]Monthly Curve Calc.'!E210</f>
        <v>22.705</v>
      </c>
      <c r="F207" s="1299" t="n">
        <f aca="false">'[3]Monthly Curve Calc.'!F210</f>
        <v>2.7421899437199</v>
      </c>
      <c r="G207" s="1306" t="n">
        <f aca="false">IF(AND($A207&gt;G$16,MONTH($A207)=MONTH(G$16)),B206/B194,G206)</f>
        <v>1.072</v>
      </c>
      <c r="H207" s="1304" t="n">
        <f aca="false">IF(AND($A207&gt;H$16,MONTH($A207)=MONTH(H$16)),C206/C194,H206)</f>
        <v>1.02521559082494</v>
      </c>
      <c r="I207" s="1304" t="n">
        <f aca="false">IF(AND($A207&gt;I$16,MONTH($A207)=MONTH(I$16)),C206/C194-I$18,I206)</f>
        <v>1.02271559082494</v>
      </c>
      <c r="J207" s="1304" t="n">
        <f aca="false">IF(AND($A207&gt;J$16,MONTH($A207)=MONTH(J$16)),D206/D194,J206)</f>
        <v>1.01740411745657</v>
      </c>
      <c r="K207" s="1307" t="n">
        <f aca="false">IF($A207&gt;=K$16,IF(MONTH($A207)=MONTH(K$16),AVERAGE(E195:E206),K206),K206)</f>
        <v>22.03</v>
      </c>
      <c r="L207" s="1266" t="n">
        <f aca="false">L206+1</f>
        <v>195</v>
      </c>
      <c r="M207" s="1303" t="n">
        <f aca="false">HLOOKUP(M$14,Dec_Change,$L207)</f>
        <v>1.02521559082494</v>
      </c>
      <c r="N207" s="1304" t="n">
        <f aca="false">N206</f>
        <v>1.005</v>
      </c>
      <c r="O207" s="1307" t="n">
        <f aca="false">IF(AND($A207&gt;=O$16,MONTH($A207)=MONTH(O$16)),MAX(M207,N207)*O206,O206)</f>
        <v>1.48180861051097</v>
      </c>
      <c r="Q207" s="1303" t="n">
        <f aca="false">HLOOKUP(Q$14,Dec_Change,$L207)</f>
        <v>1.02521559082494</v>
      </c>
      <c r="R207" s="1304" t="n">
        <f aca="false">R206</f>
        <v>0</v>
      </c>
      <c r="S207" s="1307" t="n">
        <f aca="false">IF(AND($A207&gt;=S$16,MONTH($A207)=MONTH(S$16)),MAX(Q207,R207)*S206,S206)</f>
        <v>1.39519491699265</v>
      </c>
    </row>
    <row r="208" customFormat="false" ht="12.75" hidden="false" customHeight="false" outlineLevel="0" collapsed="false">
      <c r="A208" s="1305" t="n">
        <f aca="false">EDATE(A207,1)</f>
        <v>41153</v>
      </c>
      <c r="B208" s="1297" t="n">
        <f aca="false">'[3]Monthly Curve Calc.'!B211</f>
        <v>461.59901659916</v>
      </c>
      <c r="C208" s="1298" t="n">
        <f aca="false">'[3]Monthly Curve Calc.'!C211</f>
        <v>239.848731200893</v>
      </c>
      <c r="D208" s="1298" t="n">
        <f aca="false">'[3]Monthly Curve Calc.'!D211</f>
        <v>185.137619593453</v>
      </c>
      <c r="E208" s="1298" t="n">
        <f aca="false">'[3]Monthly Curve Calc.'!E211</f>
        <v>22.755</v>
      </c>
      <c r="F208" s="1299" t="n">
        <f aca="false">'[3]Monthly Curve Calc.'!F211</f>
        <v>2.74671633483315</v>
      </c>
      <c r="G208" s="1306" t="n">
        <f aca="false">IF(AND($A208&gt;G$16,MONTH($A208)=MONTH(G$16)),B207/B195,G207)</f>
        <v>1.072</v>
      </c>
      <c r="H208" s="1304" t="n">
        <f aca="false">IF(AND($A208&gt;H$16,MONTH($A208)=MONTH(H$16)),C207/C195,H207)</f>
        <v>1.02521559082494</v>
      </c>
      <c r="I208" s="1304" t="n">
        <f aca="false">IF(AND($A208&gt;I$16,MONTH($A208)=MONTH(I$16)),C207/C195-I$18,I207)</f>
        <v>1.02271559082494</v>
      </c>
      <c r="J208" s="1304" t="n">
        <f aca="false">IF(AND($A208&gt;J$16,MONTH($A208)=MONTH(J$16)),D207/D195,J207)</f>
        <v>1.01740411745657</v>
      </c>
      <c r="K208" s="1307" t="n">
        <f aca="false">IF($A208&gt;=K$16,IF(MONTH($A208)=MONTH(K$16),AVERAGE(E196:E207),K207),K207)</f>
        <v>22.03</v>
      </c>
      <c r="L208" s="1266" t="n">
        <f aca="false">L207+1</f>
        <v>196</v>
      </c>
      <c r="M208" s="1303" t="n">
        <f aca="false">HLOOKUP(M$14,Dec_Change,$L208)</f>
        <v>1.02521559082494</v>
      </c>
      <c r="N208" s="1304" t="n">
        <f aca="false">N207</f>
        <v>1.005</v>
      </c>
      <c r="O208" s="1307" t="n">
        <f aca="false">IF(AND($A208&gt;=O$16,MONTH($A208)=MONTH(O$16)),MAX(M208,N208)*O207,O207)</f>
        <v>1.48180861051097</v>
      </c>
      <c r="Q208" s="1303" t="n">
        <f aca="false">HLOOKUP(Q$14,Dec_Change,$L208)</f>
        <v>1.02521559082494</v>
      </c>
      <c r="R208" s="1304" t="n">
        <f aca="false">R207</f>
        <v>0</v>
      </c>
      <c r="S208" s="1307" t="n">
        <f aca="false">IF(AND($A208&gt;=S$16,MONTH($A208)=MONTH(S$16)),MAX(Q208,R208)*S207,S207)</f>
        <v>1.39519491699265</v>
      </c>
    </row>
    <row r="209" customFormat="false" ht="12.75" hidden="false" customHeight="false" outlineLevel="0" collapsed="false">
      <c r="A209" s="1305" t="n">
        <f aca="false">EDATE(A208,1)</f>
        <v>41183</v>
      </c>
      <c r="B209" s="1297" t="n">
        <f aca="false">'[3]Monthly Curve Calc.'!B212</f>
        <v>464.28120937088</v>
      </c>
      <c r="C209" s="1298" t="n">
        <f aca="false">'[3]Monthly Curve Calc.'!C212</f>
        <v>240.344387682778</v>
      </c>
      <c r="D209" s="1298" t="n">
        <f aca="false">'[3]Monthly Curve Calc.'!D212</f>
        <v>185.38894831651</v>
      </c>
      <c r="E209" s="1298" t="n">
        <f aca="false">'[3]Monthly Curve Calc.'!E212</f>
        <v>22.805</v>
      </c>
      <c r="F209" s="1299" t="n">
        <f aca="false">'[3]Monthly Curve Calc.'!F212</f>
        <v>2.75125019742612</v>
      </c>
      <c r="G209" s="1306" t="n">
        <f aca="false">IF(AND($A209&gt;G$16,MONTH($A209)=MONTH(G$16)),B208/B196,G208)</f>
        <v>1.072</v>
      </c>
      <c r="H209" s="1304" t="n">
        <f aca="false">IF(AND($A209&gt;H$16,MONTH($A209)=MONTH(H$16)),C208/C196,H208)</f>
        <v>1.02521559082494</v>
      </c>
      <c r="I209" s="1304" t="n">
        <f aca="false">IF(AND($A209&gt;I$16,MONTH($A209)=MONTH(I$16)),C208/C196-I$18,I208)</f>
        <v>1.02271559082494</v>
      </c>
      <c r="J209" s="1304" t="n">
        <f aca="false">IF(AND($A209&gt;J$16,MONTH($A209)=MONTH(J$16)),D208/D196,J208)</f>
        <v>1.01740411745657</v>
      </c>
      <c r="K209" s="1307" t="n">
        <f aca="false">IF($A209&gt;=K$16,IF(MONTH($A209)=MONTH(K$16),AVERAGE(E197:E208),K208),K208)</f>
        <v>22.03</v>
      </c>
      <c r="L209" s="1266" t="n">
        <f aca="false">L208+1</f>
        <v>197</v>
      </c>
      <c r="M209" s="1303" t="n">
        <f aca="false">HLOOKUP(M$14,Dec_Change,$L209)</f>
        <v>1.02521559082494</v>
      </c>
      <c r="N209" s="1304" t="n">
        <f aca="false">N208</f>
        <v>1.005</v>
      </c>
      <c r="O209" s="1307" t="n">
        <f aca="false">IF(AND($A209&gt;=O$16,MONTH($A209)=MONTH(O$16)),MAX(M209,N209)*O208,O208)</f>
        <v>1.48180861051097</v>
      </c>
      <c r="Q209" s="1303" t="n">
        <f aca="false">HLOOKUP(Q$14,Dec_Change,$L209)</f>
        <v>1.02521559082494</v>
      </c>
      <c r="R209" s="1304" t="n">
        <f aca="false">R208</f>
        <v>0</v>
      </c>
      <c r="S209" s="1307" t="n">
        <f aca="false">IF(AND($A209&gt;=S$16,MONTH($A209)=MONTH(S$16)),MAX(Q209,R209)*S208,S208)</f>
        <v>1.39519491699265</v>
      </c>
    </row>
    <row r="210" customFormat="false" ht="12.75" hidden="false" customHeight="false" outlineLevel="0" collapsed="false">
      <c r="A210" s="1305" t="n">
        <f aca="false">EDATE(A209,1)</f>
        <v>41214</v>
      </c>
      <c r="B210" s="1297" t="n">
        <f aca="false">'[3]Monthly Curve Calc.'!B213</f>
        <v>466.978987440241</v>
      </c>
      <c r="C210" s="1298" t="n">
        <f aca="false">'[3]Monthly Curve Calc.'!C213</f>
        <v>240.841068457545</v>
      </c>
      <c r="D210" s="1298" t="n">
        <f aca="false">'[3]Monthly Curve Calc.'!D213</f>
        <v>185.640618224288</v>
      </c>
      <c r="E210" s="1298" t="n">
        <f aca="false">'[3]Monthly Curve Calc.'!E213</f>
        <v>22.855</v>
      </c>
      <c r="F210" s="1299" t="n">
        <f aca="false">'[3]Monthly Curve Calc.'!F213</f>
        <v>2.75579154383157</v>
      </c>
      <c r="G210" s="1306" t="n">
        <f aca="false">IF(AND($A210&gt;G$16,MONTH($A210)=MONTH(G$16)),B209/B197,G209)</f>
        <v>1.072</v>
      </c>
      <c r="H210" s="1304" t="n">
        <f aca="false">IF(AND($A210&gt;H$16,MONTH($A210)=MONTH(H$16)),C209/C197,H209)</f>
        <v>1.02521559082494</v>
      </c>
      <c r="I210" s="1304" t="n">
        <f aca="false">IF(AND($A210&gt;I$16,MONTH($A210)=MONTH(I$16)),C209/C197-I$18,I209)</f>
        <v>1.02271559082494</v>
      </c>
      <c r="J210" s="1304" t="n">
        <f aca="false">IF(AND($A210&gt;J$16,MONTH($A210)=MONTH(J$16)),D209/D197,J209)</f>
        <v>1.01740411745657</v>
      </c>
      <c r="K210" s="1307" t="n">
        <f aca="false">IF($A210&gt;=K$16,IF(MONTH($A210)=MONTH(K$16),AVERAGE(E198:E209),K209),K209)</f>
        <v>22.03</v>
      </c>
      <c r="L210" s="1266" t="n">
        <f aca="false">L209+1</f>
        <v>198</v>
      </c>
      <c r="M210" s="1303" t="n">
        <f aca="false">HLOOKUP(M$14,Dec_Change,$L210)</f>
        <v>1.02521559082494</v>
      </c>
      <c r="N210" s="1304" t="n">
        <f aca="false">N209</f>
        <v>1.005</v>
      </c>
      <c r="O210" s="1307" t="n">
        <f aca="false">IF(AND($A210&gt;=O$16,MONTH($A210)=MONTH(O$16)),MAX(M210,N210)*O209,O209)</f>
        <v>1.48180861051097</v>
      </c>
      <c r="Q210" s="1303" t="n">
        <f aca="false">HLOOKUP(Q$14,Dec_Change,$L210)</f>
        <v>1.02521559082494</v>
      </c>
      <c r="R210" s="1304" t="n">
        <f aca="false">R209</f>
        <v>0</v>
      </c>
      <c r="S210" s="1307" t="n">
        <f aca="false">IF(AND($A210&gt;=S$16,MONTH($A210)=MONTH(S$16)),MAX(Q210,R210)*S209,S209)</f>
        <v>1.39519491699265</v>
      </c>
    </row>
    <row r="211" customFormat="false" ht="12.75" hidden="false" customHeight="false" outlineLevel="0" collapsed="false">
      <c r="A211" s="1305" t="n">
        <f aca="false">EDATE(A210,1)</f>
        <v>41244</v>
      </c>
      <c r="B211" s="1297" t="n">
        <f aca="false">'[3]Monthly Curve Calc.'!B214</f>
        <v>469.692441368036</v>
      </c>
      <c r="C211" s="1298" t="n">
        <f aca="false">'[3]Monthly Curve Calc.'!C214</f>
        <v>241.338775641934</v>
      </c>
      <c r="D211" s="1298" t="n">
        <f aca="false">'[3]Monthly Curve Calc.'!D214</f>
        <v>185.892629779954</v>
      </c>
      <c r="E211" s="1298" t="n">
        <f aca="false">'[3]Monthly Curve Calc.'!E214</f>
        <v>22.905</v>
      </c>
      <c r="F211" s="1299" t="n">
        <f aca="false">'[3]Monthly Curve Calc.'!F214</f>
        <v>2.76034038640265</v>
      </c>
      <c r="G211" s="1306" t="n">
        <f aca="false">IF(AND($A211&gt;G$16,MONTH($A211)=MONTH(G$16)),B210/B198,G210)</f>
        <v>1.072</v>
      </c>
      <c r="H211" s="1304" t="n">
        <f aca="false">IF(AND($A211&gt;H$16,MONTH($A211)=MONTH(H$16)),C210/C198,H210)</f>
        <v>1.02521559082494</v>
      </c>
      <c r="I211" s="1304" t="n">
        <f aca="false">IF(AND($A211&gt;I$16,MONTH($A211)=MONTH(I$16)),C210/C198-I$18,I210)</f>
        <v>1.02271559082494</v>
      </c>
      <c r="J211" s="1304" t="n">
        <f aca="false">IF(AND($A211&gt;J$16,MONTH($A211)=MONTH(J$16)),D210/D198,J210)</f>
        <v>1.01740411745657</v>
      </c>
      <c r="K211" s="1307" t="n">
        <f aca="false">IF($A211&gt;=K$16,IF(MONTH($A211)=MONTH(K$16),AVERAGE(E199:E210),K210),K210)</f>
        <v>22.03</v>
      </c>
      <c r="L211" s="1266" t="n">
        <f aca="false">L210+1</f>
        <v>199</v>
      </c>
      <c r="M211" s="1303" t="n">
        <f aca="false">HLOOKUP(M$14,Dec_Change,$L211)</f>
        <v>1.02521559082494</v>
      </c>
      <c r="N211" s="1304" t="n">
        <f aca="false">N210</f>
        <v>1.005</v>
      </c>
      <c r="O211" s="1307" t="n">
        <f aca="false">IF(AND($A211&gt;=O$16,MONTH($A211)=MONTH(O$16)),MAX(M211,N211)*O210,O210)</f>
        <v>1.48180861051097</v>
      </c>
      <c r="Q211" s="1303" t="n">
        <f aca="false">HLOOKUP(Q$14,Dec_Change,$L211)</f>
        <v>1.02521559082494</v>
      </c>
      <c r="R211" s="1304" t="n">
        <f aca="false">R210</f>
        <v>0</v>
      </c>
      <c r="S211" s="1307" t="n">
        <f aca="false">IF(AND($A211&gt;=S$16,MONTH($A211)=MONTH(S$16)),MAX(Q211,R211)*S210,S210)</f>
        <v>1.39519491699265</v>
      </c>
    </row>
    <row r="212" customFormat="false" ht="12.75" hidden="false" customHeight="false" outlineLevel="0" collapsed="false">
      <c r="A212" s="1305" t="n">
        <f aca="false">EDATE(A211,1)</f>
        <v>41275</v>
      </c>
      <c r="B212" s="1297" t="n">
        <f aca="false">'[3]Monthly Curve Calc.'!B215</f>
        <v>472.348150718896</v>
      </c>
      <c r="C212" s="1298" t="n">
        <f aca="false">'[3]Monthly Curve Calc.'!C215</f>
        <v>241.838903844445</v>
      </c>
      <c r="D212" s="1298" t="n">
        <f aca="false">'[3]Monthly Curve Calc.'!D215</f>
        <v>186.134551819489</v>
      </c>
      <c r="E212" s="1298" t="n">
        <f aca="false">'[3]Monthly Curve Calc.'!E215</f>
        <v>22.955</v>
      </c>
      <c r="F212" s="1299" t="n">
        <f aca="false">'[3]Monthly Curve Calc.'!F215</f>
        <v>2.76492823407979</v>
      </c>
      <c r="G212" s="1306" t="n">
        <f aca="false">IF(AND($A212&gt;G$16,MONTH($A212)=MONTH(G$16)),B211/B199,G211)</f>
        <v>1.072</v>
      </c>
      <c r="H212" s="1304" t="n">
        <f aca="false">IF(AND($A212&gt;H$16,MONTH($A212)=MONTH(H$16)),C211/C199,H211)</f>
        <v>1.02521559082494</v>
      </c>
      <c r="I212" s="1304" t="n">
        <f aca="false">IF(AND($A212&gt;I$16,MONTH($A212)=MONTH(I$16)),C211/C199-I$18,I211)</f>
        <v>1.02271559082494</v>
      </c>
      <c r="J212" s="1304" t="n">
        <f aca="false">IF(AND($A212&gt;J$16,MONTH($A212)=MONTH(J$16)),D211/D199,J211)</f>
        <v>1.01641246702557</v>
      </c>
      <c r="K212" s="1307" t="n">
        <f aca="false">IF($A212&gt;=K$16,IF(MONTH($A212)=MONTH(K$16),AVERAGE(E200:E211),K211),K211)</f>
        <v>22.63</v>
      </c>
      <c r="L212" s="1266" t="n">
        <f aca="false">L211+1</f>
        <v>200</v>
      </c>
      <c r="M212" s="1303" t="n">
        <f aca="false">HLOOKUP(M$14,Dec_Change,$L212)</f>
        <v>1.02521559082494</v>
      </c>
      <c r="N212" s="1304" t="n">
        <f aca="false">N211</f>
        <v>1.005</v>
      </c>
      <c r="O212" s="1307" t="n">
        <f aca="false">IF(AND($A212&gt;=O$16,MONTH($A212)=MONTH(O$16)),MAX(M212,N212)*O211,O211)</f>
        <v>1.48180861051097</v>
      </c>
      <c r="Q212" s="1303" t="n">
        <f aca="false">HLOOKUP(Q$14,Dec_Change,$L212)</f>
        <v>1.02521559082494</v>
      </c>
      <c r="R212" s="1304" t="n">
        <f aca="false">R211</f>
        <v>0</v>
      </c>
      <c r="S212" s="1307" t="n">
        <f aca="false">IF(AND($A212&gt;=S$16,MONTH($A212)=MONTH(S$16)),MAX(Q212,R212)*S211,S211)</f>
        <v>1.39519491699265</v>
      </c>
    </row>
    <row r="213" customFormat="false" ht="12.75" hidden="false" customHeight="false" outlineLevel="0" collapsed="false">
      <c r="A213" s="1305" t="n">
        <f aca="false">EDATE(A212,1)</f>
        <v>41306</v>
      </c>
      <c r="B213" s="1297" t="n">
        <f aca="false">'[3]Monthly Curve Calc.'!B216</f>
        <v>475.018875836533</v>
      </c>
      <c r="C213" s="1298" t="n">
        <f aca="false">'[3]Monthly Curve Calc.'!C216</f>
        <v>242.34006846648</v>
      </c>
      <c r="D213" s="1298" t="n">
        <f aca="false">'[3]Monthly Curve Calc.'!D216</f>
        <v>186.376788698151</v>
      </c>
      <c r="E213" s="1298" t="n">
        <f aca="false">'[3]Monthly Curve Calc.'!E216</f>
        <v>23.005</v>
      </c>
      <c r="F213" s="1299" t="n">
        <f aca="false">'[3]Monthly Curve Calc.'!F216</f>
        <v>2.76952370702894</v>
      </c>
      <c r="G213" s="1306" t="n">
        <f aca="false">IF(AND($A213&gt;G$16,MONTH($A213)=MONTH(G$16)),B212/B200,G212)</f>
        <v>1.072</v>
      </c>
      <c r="H213" s="1304" t="n">
        <f aca="false">IF(AND($A213&gt;H$16,MONTH($A213)=MONTH(H$16)),C212/C200,H212)</f>
        <v>1.02521559082494</v>
      </c>
      <c r="I213" s="1304" t="n">
        <f aca="false">IF(AND($A213&gt;I$16,MONTH($A213)=MONTH(I$16)),C212/C200-I$18,I212)</f>
        <v>1.02271559082494</v>
      </c>
      <c r="J213" s="1304" t="n">
        <f aca="false">IF(AND($A213&gt;J$16,MONTH($A213)=MONTH(J$16)),D212/D200,J212)</f>
        <v>1.01641246702557</v>
      </c>
      <c r="K213" s="1307" t="n">
        <f aca="false">IF($A213&gt;=K$16,IF(MONTH($A213)=MONTH(K$16),AVERAGE(E201:E212),K212),K212)</f>
        <v>22.63</v>
      </c>
      <c r="L213" s="1266" t="n">
        <f aca="false">L212+1</f>
        <v>201</v>
      </c>
      <c r="M213" s="1303" t="n">
        <f aca="false">HLOOKUP(M$14,Dec_Change,$L213)</f>
        <v>1.02521559082494</v>
      </c>
      <c r="N213" s="1304" t="n">
        <f aca="false">N212</f>
        <v>1.005</v>
      </c>
      <c r="O213" s="1307" t="n">
        <f aca="false">IF(AND($A213&gt;=O$16,MONTH($A213)=MONTH(O$16)),MAX(M213,N213)*O212,O212)</f>
        <v>1.48180861051097</v>
      </c>
      <c r="Q213" s="1303" t="n">
        <f aca="false">HLOOKUP(Q$14,Dec_Change,$L213)</f>
        <v>1.02521559082494</v>
      </c>
      <c r="R213" s="1304" t="n">
        <f aca="false">R212</f>
        <v>0</v>
      </c>
      <c r="S213" s="1307" t="n">
        <f aca="false">IF(AND($A213&gt;=S$16,MONTH($A213)=MONTH(S$16)),MAX(Q213,R213)*S212,S212)</f>
        <v>1.39519491699265</v>
      </c>
    </row>
    <row r="214" customFormat="false" ht="12.75" hidden="false" customHeight="false" outlineLevel="0" collapsed="false">
      <c r="A214" s="1305" t="n">
        <f aca="false">EDATE(A213,1)</f>
        <v>41334</v>
      </c>
      <c r="B214" s="1297" t="n">
        <f aca="false">'[3]Monthly Curve Calc.'!B217</f>
        <v>477.704701622274</v>
      </c>
      <c r="C214" s="1298" t="n">
        <f aca="false">'[3]Monthly Curve Calc.'!C217</f>
        <v>242.84227165582</v>
      </c>
      <c r="D214" s="1298" t="n">
        <f aca="false">'[3]Monthly Curve Calc.'!D217</f>
        <v>186.619340825674</v>
      </c>
      <c r="E214" s="1298" t="n">
        <f aca="false">'[3]Monthly Curve Calc.'!E217</f>
        <v>23.055</v>
      </c>
      <c r="F214" s="1299" t="n">
        <f aca="false">'[3]Monthly Curve Calc.'!F217</f>
        <v>2.77412681792376</v>
      </c>
      <c r="G214" s="1306" t="n">
        <f aca="false">IF(AND($A214&gt;G$16,MONTH($A214)=MONTH(G$16)),B213/B201,G213)</f>
        <v>1.072</v>
      </c>
      <c r="H214" s="1304" t="n">
        <f aca="false">IF(AND($A214&gt;H$16,MONTH($A214)=MONTH(H$16)),C213/C201,H213)</f>
        <v>1.02521559082494</v>
      </c>
      <c r="I214" s="1304" t="n">
        <f aca="false">IF(AND($A214&gt;I$16,MONTH($A214)=MONTH(I$16)),C213/C201-I$18,I213)</f>
        <v>1.02271559082494</v>
      </c>
      <c r="J214" s="1304" t="n">
        <f aca="false">IF(AND($A214&gt;J$16,MONTH($A214)=MONTH(J$16)),D213/D201,J213)</f>
        <v>1.01641246702557</v>
      </c>
      <c r="K214" s="1307" t="n">
        <f aca="false">IF($A214&gt;=K$16,IF(MONTH($A214)=MONTH(K$16),AVERAGE(E202:E213),K213),K213)</f>
        <v>22.63</v>
      </c>
      <c r="L214" s="1266" t="n">
        <f aca="false">L213+1</f>
        <v>202</v>
      </c>
      <c r="M214" s="1303" t="n">
        <f aca="false">HLOOKUP(M$14,Dec_Change,$L214)</f>
        <v>1.02521559082494</v>
      </c>
      <c r="N214" s="1304" t="n">
        <f aca="false">N213</f>
        <v>1.005</v>
      </c>
      <c r="O214" s="1307" t="n">
        <f aca="false">IF(AND($A214&gt;=O$16,MONTH($A214)=MONTH(O$16)),MAX(M214,N214)*O213,O213)</f>
        <v>1.48180861051097</v>
      </c>
      <c r="Q214" s="1303" t="n">
        <f aca="false">HLOOKUP(Q$14,Dec_Change,$L214)</f>
        <v>1.02521559082494</v>
      </c>
      <c r="R214" s="1304" t="n">
        <f aca="false">R213</f>
        <v>0</v>
      </c>
      <c r="S214" s="1307" t="n">
        <f aca="false">IF(AND($A214&gt;=S$16,MONTH($A214)=MONTH(S$16)),MAX(Q214,R214)*S213,S213)</f>
        <v>1.39519491699265</v>
      </c>
    </row>
    <row r="215" customFormat="false" ht="12.75" hidden="false" customHeight="false" outlineLevel="0" collapsed="false">
      <c r="A215" s="1305" t="n">
        <f aca="false">EDATE(A214,1)</f>
        <v>41365</v>
      </c>
      <c r="B215" s="1297" t="n">
        <f aca="false">'[3]Monthly Curve Calc.'!B218</f>
        <v>480.405713457494</v>
      </c>
      <c r="C215" s="1298" t="n">
        <f aca="false">'[3]Monthly Curve Calc.'!C218</f>
        <v>243.345515564694</v>
      </c>
      <c r="D215" s="1298" t="n">
        <f aca="false">'[3]Monthly Curve Calc.'!D218</f>
        <v>186.862208612325</v>
      </c>
      <c r="E215" s="1298" t="n">
        <f aca="false">'[3]Monthly Curve Calc.'!E218</f>
        <v>23.105</v>
      </c>
      <c r="F215" s="1299" t="n">
        <f aca="false">'[3]Monthly Curve Calc.'!F218</f>
        <v>2.77873757945897</v>
      </c>
      <c r="G215" s="1306" t="n">
        <f aca="false">IF(AND($A215&gt;G$16,MONTH($A215)=MONTH(G$16)),B214/B202,G214)</f>
        <v>1.072</v>
      </c>
      <c r="H215" s="1304" t="n">
        <f aca="false">IF(AND($A215&gt;H$16,MONTH($A215)=MONTH(H$16)),C214/C202,H214)</f>
        <v>1.02521559082494</v>
      </c>
      <c r="I215" s="1304" t="n">
        <f aca="false">IF(AND($A215&gt;I$16,MONTH($A215)=MONTH(I$16)),C214/C202-I$18,I214)</f>
        <v>1.02271559082494</v>
      </c>
      <c r="J215" s="1304" t="n">
        <f aca="false">IF(AND($A215&gt;J$16,MONTH($A215)=MONTH(J$16)),D214/D202,J214)</f>
        <v>1.01641246702557</v>
      </c>
      <c r="K215" s="1307" t="n">
        <f aca="false">IF($A215&gt;=K$16,IF(MONTH($A215)=MONTH(K$16),AVERAGE(E203:E214),K214),K214)</f>
        <v>22.63</v>
      </c>
      <c r="L215" s="1266" t="n">
        <f aca="false">L214+1</f>
        <v>203</v>
      </c>
      <c r="M215" s="1303" t="n">
        <f aca="false">HLOOKUP(M$14,Dec_Change,$L215)</f>
        <v>1.02521559082494</v>
      </c>
      <c r="N215" s="1304" t="n">
        <f aca="false">N214</f>
        <v>1.005</v>
      </c>
      <c r="O215" s="1307" t="n">
        <f aca="false">IF(AND($A215&gt;=O$16,MONTH($A215)=MONTH(O$16)),MAX(M215,N215)*O214,O214)</f>
        <v>1.48180861051097</v>
      </c>
      <c r="Q215" s="1303" t="n">
        <f aca="false">HLOOKUP(Q$14,Dec_Change,$L215)</f>
        <v>1.02521559082494</v>
      </c>
      <c r="R215" s="1304" t="n">
        <f aca="false">R214</f>
        <v>0</v>
      </c>
      <c r="S215" s="1307" t="n">
        <f aca="false">IF(AND($A215&gt;=S$16,MONTH($A215)=MONTH(S$16)),MAX(Q215,R215)*S214,S214)</f>
        <v>1.39519491699265</v>
      </c>
    </row>
    <row r="216" customFormat="false" ht="12.75" hidden="false" customHeight="false" outlineLevel="0" collapsed="false">
      <c r="A216" s="1305" t="n">
        <f aca="false">EDATE(A215,1)</f>
        <v>41395</v>
      </c>
      <c r="B216" s="1297" t="n">
        <f aca="false">'[3]Monthly Curve Calc.'!B219</f>
        <v>483.121997206323</v>
      </c>
      <c r="C216" s="1298" t="n">
        <f aca="false">'[3]Monthly Curve Calc.'!C219</f>
        <v>243.849802349795</v>
      </c>
      <c r="D216" s="1298" t="n">
        <f aca="false">'[3]Monthly Curve Calc.'!D219</f>
        <v>187.105392468904</v>
      </c>
      <c r="E216" s="1298" t="n">
        <f aca="false">'[3]Monthly Curve Calc.'!E219</f>
        <v>23.155</v>
      </c>
      <c r="F216" s="1299" t="n">
        <f aca="false">'[3]Monthly Curve Calc.'!F219</f>
        <v>2.78335600435036</v>
      </c>
      <c r="G216" s="1306" t="n">
        <f aca="false">IF(AND($A216&gt;G$16,MONTH($A216)=MONTH(G$16)),B215/B203,G215)</f>
        <v>1.07133291830938</v>
      </c>
      <c r="H216" s="1304" t="n">
        <f aca="false">IF(AND($A216&gt;H$16,MONTH($A216)=MONTH(H$16)),C215/C203,H215)</f>
        <v>1.02510587272767</v>
      </c>
      <c r="I216" s="1304" t="n">
        <f aca="false">IF(AND($A216&gt;I$16,MONTH($A216)=MONTH(I$16)),C215/C203-I$18,I215)</f>
        <v>1.02260587272767</v>
      </c>
      <c r="J216" s="1304" t="n">
        <f aca="false">IF(AND($A216&gt;J$16,MONTH($A216)=MONTH(J$16)),D215/D203,J215)</f>
        <v>1.01641246702557</v>
      </c>
      <c r="K216" s="1307" t="n">
        <f aca="false">IF($A216&gt;=K$16,IF(MONTH($A216)=MONTH(K$16),AVERAGE(E204:E215),K215),K215)</f>
        <v>22.63</v>
      </c>
      <c r="L216" s="1266" t="n">
        <f aca="false">L215+1</f>
        <v>204</v>
      </c>
      <c r="M216" s="1303" t="n">
        <f aca="false">HLOOKUP(M$14,Dec_Change,$L216)</f>
        <v>1.02510587272767</v>
      </c>
      <c r="N216" s="1304" t="n">
        <f aca="false">N215</f>
        <v>1.005</v>
      </c>
      <c r="O216" s="1307" t="n">
        <f aca="false">IF(AND($A216&gt;=O$16,MONTH($A216)=MONTH(O$16)),MAX(M216,N216)*O215,O215)</f>
        <v>1.51901070889322</v>
      </c>
      <c r="Q216" s="1303" t="n">
        <f aca="false">HLOOKUP(Q$14,Dec_Change,$L216)</f>
        <v>1.02510587272767</v>
      </c>
      <c r="R216" s="1304" t="n">
        <f aca="false">R215</f>
        <v>0</v>
      </c>
      <c r="S216" s="1307" t="n">
        <f aca="false">IF(AND($A216&gt;=S$16,MONTH($A216)=MONTH(S$16)),MAX(Q216,R216)*S215,S215)</f>
        <v>1.39519491699265</v>
      </c>
    </row>
    <row r="217" customFormat="false" ht="12.75" hidden="false" customHeight="false" outlineLevel="0" collapsed="false">
      <c r="A217" s="1305" t="n">
        <f aca="false">EDATE(A216,1)</f>
        <v>41426</v>
      </c>
      <c r="B217" s="1297" t="n">
        <f aca="false">'[3]Monthly Curve Calc.'!B220</f>
        <v>485.853639218381</v>
      </c>
      <c r="C217" s="1298" t="n">
        <f aca="false">'[3]Monthly Curve Calc.'!C220</f>
        <v>244.355134172282</v>
      </c>
      <c r="D217" s="1298" t="n">
        <f aca="false">'[3]Monthly Curve Calc.'!D220</f>
        <v>187.348892806748</v>
      </c>
      <c r="E217" s="1298" t="n">
        <f aca="false">'[3]Monthly Curve Calc.'!E220</f>
        <v>23.205</v>
      </c>
      <c r="F217" s="1299" t="n">
        <f aca="false">'[3]Monthly Curve Calc.'!F220</f>
        <v>2.7879821053349</v>
      </c>
      <c r="G217" s="1306" t="n">
        <f aca="false">IF(AND($A217&gt;G$16,MONTH($A217)=MONTH(G$16)),B216/B204,G216)</f>
        <v>1.07133291830938</v>
      </c>
      <c r="H217" s="1304" t="n">
        <f aca="false">IF(AND($A217&gt;H$16,MONTH($A217)=MONTH(H$16)),C216/C204,H216)</f>
        <v>1.02510587272767</v>
      </c>
      <c r="I217" s="1304" t="n">
        <f aca="false">IF(AND($A217&gt;I$16,MONTH($A217)=MONTH(I$16)),C216/C204-I$18,I216)</f>
        <v>1.02260587272767</v>
      </c>
      <c r="J217" s="1304" t="n">
        <f aca="false">IF(AND($A217&gt;J$16,MONTH($A217)=MONTH(J$16)),D216/D204,J216)</f>
        <v>1.01641246702557</v>
      </c>
      <c r="K217" s="1307" t="n">
        <f aca="false">IF($A217&gt;=K$16,IF(MONTH($A217)=MONTH(K$16),AVERAGE(E205:E216),K216),K216)</f>
        <v>22.63</v>
      </c>
      <c r="L217" s="1266" t="n">
        <f aca="false">L216+1</f>
        <v>205</v>
      </c>
      <c r="M217" s="1303" t="n">
        <f aca="false">HLOOKUP(M$14,Dec_Change,$L217)</f>
        <v>1.02510587272767</v>
      </c>
      <c r="N217" s="1304" t="n">
        <f aca="false">N216</f>
        <v>1.005</v>
      </c>
      <c r="O217" s="1307" t="n">
        <f aca="false">IF(AND($A217&gt;=O$16,MONTH($A217)=MONTH(O$16)),MAX(M217,N217)*O216,O216)</f>
        <v>1.51901070889322</v>
      </c>
      <c r="Q217" s="1303" t="n">
        <f aca="false">HLOOKUP(Q$14,Dec_Change,$L217)</f>
        <v>1.02510587272767</v>
      </c>
      <c r="R217" s="1304" t="n">
        <f aca="false">R216</f>
        <v>0</v>
      </c>
      <c r="S217" s="1307" t="n">
        <f aca="false">IF(AND($A217&gt;=S$16,MONTH($A217)=MONTH(S$16)),MAX(Q217,R217)*S216,S216)</f>
        <v>1.43022250300896</v>
      </c>
    </row>
    <row r="218" customFormat="false" ht="12.75" hidden="false" customHeight="false" outlineLevel="0" collapsed="false">
      <c r="A218" s="1305" t="n">
        <f aca="false">EDATE(A217,1)</f>
        <v>41456</v>
      </c>
      <c r="B218" s="1297" t="n">
        <f aca="false">'[3]Monthly Curve Calc.'!B221</f>
        <v>488.600726331521</v>
      </c>
      <c r="C218" s="1298" t="n">
        <f aca="false">'[3]Monthly Curve Calc.'!C221</f>
        <v>244.861513197794</v>
      </c>
      <c r="D218" s="1298" t="n">
        <f aca="false">'[3]Monthly Curve Calc.'!D221</f>
        <v>187.592710037728</v>
      </c>
      <c r="E218" s="1298" t="n">
        <f aca="false">'[3]Monthly Curve Calc.'!E221</f>
        <v>23.2550000000001</v>
      </c>
      <c r="F218" s="1299" t="n">
        <f aca="false">'[3]Monthly Curve Calc.'!F221</f>
        <v>2.7926158951707</v>
      </c>
      <c r="G218" s="1306" t="n">
        <f aca="false">IF(AND($A218&gt;G$16,MONTH($A218)=MONTH(G$16)),B217/B205,G217)</f>
        <v>1.07133291830938</v>
      </c>
      <c r="H218" s="1304" t="n">
        <f aca="false">IF(AND($A218&gt;H$16,MONTH($A218)=MONTH(H$16)),C217/C205,H217)</f>
        <v>1.02510587272767</v>
      </c>
      <c r="I218" s="1304" t="n">
        <f aca="false">IF(AND($A218&gt;I$16,MONTH($A218)=MONTH(I$16)),C217/C205-I$18,I217)</f>
        <v>1.02260587272767</v>
      </c>
      <c r="J218" s="1304" t="n">
        <f aca="false">IF(AND($A218&gt;J$16,MONTH($A218)=MONTH(J$16)),D217/D205,J217)</f>
        <v>1.01641246702557</v>
      </c>
      <c r="K218" s="1307" t="n">
        <f aca="false">IF($A218&gt;=K$16,IF(MONTH($A218)=MONTH(K$16),AVERAGE(E206:E217),K217),K217)</f>
        <v>22.63</v>
      </c>
      <c r="L218" s="1266" t="n">
        <f aca="false">L217+1</f>
        <v>206</v>
      </c>
      <c r="M218" s="1303" t="n">
        <f aca="false">HLOOKUP(M$14,Dec_Change,$L218)</f>
        <v>1.02510587272767</v>
      </c>
      <c r="N218" s="1304" t="n">
        <f aca="false">N217</f>
        <v>1.005</v>
      </c>
      <c r="O218" s="1307" t="n">
        <f aca="false">IF(AND($A218&gt;=O$16,MONTH($A218)=MONTH(O$16)),MAX(M218,N218)*O217,O217)</f>
        <v>1.51901070889322</v>
      </c>
      <c r="Q218" s="1303" t="n">
        <f aca="false">HLOOKUP(Q$14,Dec_Change,$L218)</f>
        <v>1.02510587272767</v>
      </c>
      <c r="R218" s="1304" t="n">
        <f aca="false">R217</f>
        <v>0</v>
      </c>
      <c r="S218" s="1307" t="n">
        <f aca="false">IF(AND($A218&gt;=S$16,MONTH($A218)=MONTH(S$16)),MAX(Q218,R218)*S217,S217)</f>
        <v>1.43022250300896</v>
      </c>
    </row>
    <row r="219" customFormat="false" ht="12.75" hidden="false" customHeight="false" outlineLevel="0" collapsed="false">
      <c r="A219" s="1305" t="n">
        <f aca="false">EDATE(A218,1)</f>
        <v>41487</v>
      </c>
      <c r="B219" s="1297" t="n">
        <f aca="false">'[3]Monthly Curve Calc.'!B222</f>
        <v>491.363345874592</v>
      </c>
      <c r="C219" s="1298" t="n">
        <f aca="false">'[3]Monthly Curve Calc.'!C222</f>
        <v>245.368941596459</v>
      </c>
      <c r="D219" s="1298" t="n">
        <f aca="false">'[3]Monthly Curve Calc.'!D222</f>
        <v>187.836844574251</v>
      </c>
      <c r="E219" s="1298" t="n">
        <f aca="false">'[3]Monthly Curve Calc.'!E222</f>
        <v>23.3050000000001</v>
      </c>
      <c r="F219" s="1299" t="n">
        <f aca="false">'[3]Monthly Curve Calc.'!F222</f>
        <v>2.79725738663708</v>
      </c>
      <c r="G219" s="1306" t="n">
        <f aca="false">IF(AND($A219&gt;G$16,MONTH($A219)=MONTH(G$16)),B218/B206,G218)</f>
        <v>1.07133291830938</v>
      </c>
      <c r="H219" s="1304" t="n">
        <f aca="false">IF(AND($A219&gt;H$16,MONTH($A219)=MONTH(H$16)),C218/C206,H218)</f>
        <v>1.02510587272767</v>
      </c>
      <c r="I219" s="1304" t="n">
        <f aca="false">IF(AND($A219&gt;I$16,MONTH($A219)=MONTH(I$16)),C218/C206-I$18,I218)</f>
        <v>1.02260587272767</v>
      </c>
      <c r="J219" s="1304" t="n">
        <f aca="false">IF(AND($A219&gt;J$16,MONTH($A219)=MONTH(J$16)),D218/D206,J218)</f>
        <v>1.01641246702557</v>
      </c>
      <c r="K219" s="1307" t="n">
        <f aca="false">IF($A219&gt;=K$16,IF(MONTH($A219)=MONTH(K$16),AVERAGE(E207:E218),K218),K218)</f>
        <v>22.63</v>
      </c>
      <c r="L219" s="1266" t="n">
        <f aca="false">L218+1</f>
        <v>207</v>
      </c>
      <c r="M219" s="1303" t="n">
        <f aca="false">HLOOKUP(M$14,Dec_Change,$L219)</f>
        <v>1.02510587272767</v>
      </c>
      <c r="N219" s="1304" t="n">
        <f aca="false">N218</f>
        <v>1.005</v>
      </c>
      <c r="O219" s="1307" t="n">
        <f aca="false">IF(AND($A219&gt;=O$16,MONTH($A219)=MONTH(O$16)),MAX(M219,N219)*O218,O218)</f>
        <v>1.51901070889322</v>
      </c>
      <c r="Q219" s="1303" t="n">
        <f aca="false">HLOOKUP(Q$14,Dec_Change,$L219)</f>
        <v>1.02510587272767</v>
      </c>
      <c r="R219" s="1304" t="n">
        <f aca="false">R218</f>
        <v>0</v>
      </c>
      <c r="S219" s="1307" t="n">
        <f aca="false">IF(AND($A219&gt;=S$16,MONTH($A219)=MONTH(S$16)),MAX(Q219,R219)*S218,S218)</f>
        <v>1.43022250300896</v>
      </c>
    </row>
    <row r="220" customFormat="false" ht="12.75" hidden="false" customHeight="false" outlineLevel="0" collapsed="false">
      <c r="A220" s="1305" t="n">
        <f aca="false">EDATE(A219,1)</f>
        <v>41518</v>
      </c>
      <c r="B220" s="1297" t="n">
        <f aca="false">'[3]Monthly Curve Calc.'!B223</f>
        <v>494.141585670208</v>
      </c>
      <c r="C220" s="1298" t="n">
        <f aca="false">'[3]Monthly Curve Calc.'!C223</f>
        <v>245.877421542901</v>
      </c>
      <c r="D220" s="1298" t="n">
        <f aca="false">'[3]Monthly Curve Calc.'!D223</f>
        <v>188.08129682926</v>
      </c>
      <c r="E220" s="1298" t="n">
        <f aca="false">'[3]Monthly Curve Calc.'!E223</f>
        <v>23.3550000000001</v>
      </c>
      <c r="F220" s="1299" t="n">
        <f aca="false">'[3]Monthly Curve Calc.'!F223</f>
        <v>2.8019065925346</v>
      </c>
      <c r="G220" s="1306" t="n">
        <f aca="false">IF(AND($A220&gt;G$16,MONTH($A220)=MONTH(G$16)),B219/B207,G219)</f>
        <v>1.07133291830938</v>
      </c>
      <c r="H220" s="1304" t="n">
        <f aca="false">IF(AND($A220&gt;H$16,MONTH($A220)=MONTH(H$16)),C219/C207,H219)</f>
        <v>1.02510587272767</v>
      </c>
      <c r="I220" s="1304" t="n">
        <f aca="false">IF(AND($A220&gt;I$16,MONTH($A220)=MONTH(I$16)),C219/C207-I$18,I219)</f>
        <v>1.02260587272767</v>
      </c>
      <c r="J220" s="1304" t="n">
        <f aca="false">IF(AND($A220&gt;J$16,MONTH($A220)=MONTH(J$16)),D219/D207,J219)</f>
        <v>1.01641246702557</v>
      </c>
      <c r="K220" s="1307" t="n">
        <f aca="false">IF($A220&gt;=K$16,IF(MONTH($A220)=MONTH(K$16),AVERAGE(E208:E219),K219),K219)</f>
        <v>22.63</v>
      </c>
      <c r="L220" s="1266" t="n">
        <f aca="false">L219+1</f>
        <v>208</v>
      </c>
      <c r="M220" s="1303" t="n">
        <f aca="false">HLOOKUP(M$14,Dec_Change,$L220)</f>
        <v>1.02510587272767</v>
      </c>
      <c r="N220" s="1304" t="n">
        <f aca="false">N219</f>
        <v>1.005</v>
      </c>
      <c r="O220" s="1307" t="n">
        <f aca="false">IF(AND($A220&gt;=O$16,MONTH($A220)=MONTH(O$16)),MAX(M220,N220)*O219,O219)</f>
        <v>1.51901070889322</v>
      </c>
      <c r="Q220" s="1303" t="n">
        <f aca="false">HLOOKUP(Q$14,Dec_Change,$L220)</f>
        <v>1.02510587272767</v>
      </c>
      <c r="R220" s="1304" t="n">
        <f aca="false">R219</f>
        <v>0</v>
      </c>
      <c r="S220" s="1307" t="n">
        <f aca="false">IF(AND($A220&gt;=S$16,MONTH($A220)=MONTH(S$16)),MAX(Q220,R220)*S219,S219)</f>
        <v>1.43022250300896</v>
      </c>
    </row>
    <row r="221" customFormat="false" ht="12.75" hidden="false" customHeight="false" outlineLevel="0" collapsed="false">
      <c r="A221" s="1305" t="n">
        <f aca="false">EDATE(A220,1)</f>
        <v>41548</v>
      </c>
      <c r="B221" s="1297" t="n">
        <f aca="false">'[3]Monthly Curve Calc.'!B224</f>
        <v>496.935534037551</v>
      </c>
      <c r="C221" s="1298" t="n">
        <f aca="false">'[3]Monthly Curve Calc.'!C224</f>
        <v>246.38695521625</v>
      </c>
      <c r="D221" s="1298" t="n">
        <f aca="false">'[3]Monthly Curve Calc.'!D224</f>
        <v>188.326067216237</v>
      </c>
      <c r="E221" s="1298" t="n">
        <f aca="false">'[3]Monthly Curve Calc.'!E224</f>
        <v>23.4050000000001</v>
      </c>
      <c r="F221" s="1299" t="n">
        <f aca="false">'[3]Monthly Curve Calc.'!F224</f>
        <v>2.80656352568511</v>
      </c>
      <c r="G221" s="1306" t="n">
        <f aca="false">IF(AND($A221&gt;G$16,MONTH($A221)=MONTH(G$16)),B220/B208,G220)</f>
        <v>1.07133291830938</v>
      </c>
      <c r="H221" s="1304" t="n">
        <f aca="false">IF(AND($A221&gt;H$16,MONTH($A221)=MONTH(H$16)),C220/C208,H220)</f>
        <v>1.02510587272767</v>
      </c>
      <c r="I221" s="1304" t="n">
        <f aca="false">IF(AND($A221&gt;I$16,MONTH($A221)=MONTH(I$16)),C220/C208-I$18,I220)</f>
        <v>1.02260587272767</v>
      </c>
      <c r="J221" s="1304" t="n">
        <f aca="false">IF(AND($A221&gt;J$16,MONTH($A221)=MONTH(J$16)),D220/D208,J220)</f>
        <v>1.01641246702557</v>
      </c>
      <c r="K221" s="1307" t="n">
        <f aca="false">IF($A221&gt;=K$16,IF(MONTH($A221)=MONTH(K$16),AVERAGE(E209:E220),K220),K220)</f>
        <v>22.63</v>
      </c>
      <c r="L221" s="1266" t="n">
        <f aca="false">L220+1</f>
        <v>209</v>
      </c>
      <c r="M221" s="1303" t="n">
        <f aca="false">HLOOKUP(M$14,Dec_Change,$L221)</f>
        <v>1.02510587272767</v>
      </c>
      <c r="N221" s="1304" t="n">
        <f aca="false">N220</f>
        <v>1.005</v>
      </c>
      <c r="O221" s="1307" t="n">
        <f aca="false">IF(AND($A221&gt;=O$16,MONTH($A221)=MONTH(O$16)),MAX(M221,N221)*O220,O220)</f>
        <v>1.51901070889322</v>
      </c>
      <c r="Q221" s="1303" t="n">
        <f aca="false">HLOOKUP(Q$14,Dec_Change,$L221)</f>
        <v>1.02510587272767</v>
      </c>
      <c r="R221" s="1304" t="n">
        <f aca="false">R220</f>
        <v>0</v>
      </c>
      <c r="S221" s="1307" t="n">
        <f aca="false">IF(AND($A221&gt;=S$16,MONTH($A221)=MONTH(S$16)),MAX(Q221,R221)*S220,S220)</f>
        <v>1.43022250300896</v>
      </c>
    </row>
    <row r="222" customFormat="false" ht="12.75" hidden="false" customHeight="false" outlineLevel="0" collapsed="false">
      <c r="A222" s="1305" t="n">
        <f aca="false">EDATE(A221,1)</f>
        <v>41579</v>
      </c>
      <c r="B222" s="1297" t="n">
        <f aca="false">'[3]Monthly Curve Calc.'!B225</f>
        <v>499.745279795167</v>
      </c>
      <c r="C222" s="1298" t="n">
        <f aca="false">'[3]Monthly Curve Calc.'!C225</f>
        <v>246.897544800153</v>
      </c>
      <c r="D222" s="1298" t="n">
        <f aca="false">'[3]Monthly Curve Calc.'!D225</f>
        <v>188.571156149201</v>
      </c>
      <c r="E222" s="1298" t="n">
        <f aca="false">'[3]Monthly Curve Calc.'!E225</f>
        <v>23.4550000000001</v>
      </c>
      <c r="F222" s="1299" t="n">
        <f aca="false">'[3]Monthly Curve Calc.'!F225</f>
        <v>2.81122819893174</v>
      </c>
      <c r="G222" s="1306" t="n">
        <f aca="false">IF(AND($A222&gt;G$16,MONTH($A222)=MONTH(G$16)),B221/B209,G221)</f>
        <v>1.07133291830938</v>
      </c>
      <c r="H222" s="1304" t="n">
        <f aca="false">IF(AND($A222&gt;H$16,MONTH($A222)=MONTH(H$16)),C221/C209,H221)</f>
        <v>1.02510587272767</v>
      </c>
      <c r="I222" s="1304" t="n">
        <f aca="false">IF(AND($A222&gt;I$16,MONTH($A222)=MONTH(I$16)),C221/C209-I$18,I221)</f>
        <v>1.02260587272767</v>
      </c>
      <c r="J222" s="1304" t="n">
        <f aca="false">IF(AND($A222&gt;J$16,MONTH($A222)=MONTH(J$16)),D221/D209,J221)</f>
        <v>1.01641246702557</v>
      </c>
      <c r="K222" s="1307" t="n">
        <f aca="false">IF($A222&gt;=K$16,IF(MONTH($A222)=MONTH(K$16),AVERAGE(E210:E221),K221),K221)</f>
        <v>22.63</v>
      </c>
      <c r="L222" s="1266" t="n">
        <f aca="false">L221+1</f>
        <v>210</v>
      </c>
      <c r="M222" s="1303" t="n">
        <f aca="false">HLOOKUP(M$14,Dec_Change,$L222)</f>
        <v>1.02510587272767</v>
      </c>
      <c r="N222" s="1304" t="n">
        <f aca="false">N221</f>
        <v>1.005</v>
      </c>
      <c r="O222" s="1307" t="n">
        <f aca="false">IF(AND($A222&gt;=O$16,MONTH($A222)=MONTH(O$16)),MAX(M222,N222)*O221,O221)</f>
        <v>1.51901070889322</v>
      </c>
      <c r="Q222" s="1303" t="n">
        <f aca="false">HLOOKUP(Q$14,Dec_Change,$L222)</f>
        <v>1.02510587272767</v>
      </c>
      <c r="R222" s="1304" t="n">
        <f aca="false">R221</f>
        <v>0</v>
      </c>
      <c r="S222" s="1307" t="n">
        <f aca="false">IF(AND($A222&gt;=S$16,MONTH($A222)=MONTH(S$16)),MAX(Q222,R222)*S221,S221)</f>
        <v>1.43022250300896</v>
      </c>
    </row>
    <row r="223" customFormat="false" ht="12.75" hidden="false" customHeight="false" outlineLevel="0" collapsed="false">
      <c r="A223" s="1305" t="n">
        <f aca="false">EDATE(A222,1)</f>
        <v>41609</v>
      </c>
      <c r="B223" s="1297" t="n">
        <f aca="false">'[3]Monthly Curve Calc.'!B226</f>
        <v>502.570912263798</v>
      </c>
      <c r="C223" s="1298" t="n">
        <f aca="false">'[3]Monthly Curve Calc.'!C226</f>
        <v>247.40919248278</v>
      </c>
      <c r="D223" s="1298" t="n">
        <f aca="false">'[3]Monthly Curve Calc.'!D226</f>
        <v>188.816564042711</v>
      </c>
      <c r="E223" s="1298" t="n">
        <f aca="false">'[3]Monthly Curve Calc.'!E226</f>
        <v>23.5050000000001</v>
      </c>
      <c r="F223" s="1299" t="n">
        <f aca="false">'[3]Monthly Curve Calc.'!F226</f>
        <v>2.81590062513899</v>
      </c>
      <c r="G223" s="1306" t="n">
        <f aca="false">IF(AND($A223&gt;G$16,MONTH($A223)=MONTH(G$16)),B222/B210,G222)</f>
        <v>1.07133291830938</v>
      </c>
      <c r="H223" s="1304" t="n">
        <f aca="false">IF(AND($A223&gt;H$16,MONTH($A223)=MONTH(H$16)),C222/C210,H222)</f>
        <v>1.02510587272767</v>
      </c>
      <c r="I223" s="1304" t="n">
        <f aca="false">IF(AND($A223&gt;I$16,MONTH($A223)=MONTH(I$16)),C222/C210-I$18,I222)</f>
        <v>1.02260587272767</v>
      </c>
      <c r="J223" s="1304" t="n">
        <f aca="false">IF(AND($A223&gt;J$16,MONTH($A223)=MONTH(J$16)),D222/D210,J222)</f>
        <v>1.01641246702557</v>
      </c>
      <c r="K223" s="1307" t="n">
        <f aca="false">IF($A223&gt;=K$16,IF(MONTH($A223)=MONTH(K$16),AVERAGE(E211:E222),K222),K222)</f>
        <v>22.63</v>
      </c>
      <c r="L223" s="1266" t="n">
        <f aca="false">L222+1</f>
        <v>211</v>
      </c>
      <c r="M223" s="1303" t="n">
        <f aca="false">HLOOKUP(M$14,Dec_Change,$L223)</f>
        <v>1.02510587272767</v>
      </c>
      <c r="N223" s="1304" t="n">
        <f aca="false">N222</f>
        <v>1.005</v>
      </c>
      <c r="O223" s="1307" t="n">
        <f aca="false">IF(AND($A223&gt;=O$16,MONTH($A223)=MONTH(O$16)),MAX(M223,N223)*O222,O222)</f>
        <v>1.51901070889322</v>
      </c>
      <c r="Q223" s="1303" t="n">
        <f aca="false">HLOOKUP(Q$14,Dec_Change,$L223)</f>
        <v>1.02510587272767</v>
      </c>
      <c r="R223" s="1304" t="n">
        <f aca="false">R222</f>
        <v>0</v>
      </c>
      <c r="S223" s="1307" t="n">
        <f aca="false">IF(AND($A223&gt;=S$16,MONTH($A223)=MONTH(S$16)),MAX(Q223,R223)*S222,S222)</f>
        <v>1.43022250300896</v>
      </c>
    </row>
    <row r="224" customFormat="false" ht="12.75" hidden="false" customHeight="false" outlineLevel="0" collapsed="false">
      <c r="A224" s="1305" t="n">
        <f aca="false">EDATE(A223,1)</f>
        <v>41640</v>
      </c>
      <c r="B224" s="1297" t="n">
        <f aca="false">'[3]Monthly Curve Calc.'!B227</f>
        <v>505.412521269219</v>
      </c>
      <c r="C224" s="1298" t="n">
        <f aca="false">'[3]Monthly Curve Calc.'!C227</f>
        <v>247.929036811111</v>
      </c>
      <c r="D224" s="1298" t="n">
        <f aca="false">'[3]Monthly Curve Calc.'!D227</f>
        <v>189.060417070838</v>
      </c>
      <c r="E224" s="1298" t="n">
        <f aca="false">'[3]Monthly Curve Calc.'!E227</f>
        <v>23.5550000000001</v>
      </c>
      <c r="F224" s="1299" t="n">
        <f aca="false">'[3]Monthly Curve Calc.'!F227</f>
        <v>2.82055022749078</v>
      </c>
      <c r="G224" s="1306" t="n">
        <f aca="false">IF(AND($A224&gt;G$16,MONTH($A224)=MONTH(G$16)),B223/B211,G223)</f>
        <v>1.07133291830938</v>
      </c>
      <c r="H224" s="1304" t="n">
        <f aca="false">IF(AND($A224&gt;H$16,MONTH($A224)=MONTH(H$16)),C223/C211,H223)</f>
        <v>1.02510587272767</v>
      </c>
      <c r="I224" s="1304" t="n">
        <f aca="false">IF(AND($A224&gt;I$16,MONTH($A224)=MONTH(I$16)),C223/C211-I$18,I223)</f>
        <v>1.02260587272767</v>
      </c>
      <c r="J224" s="1304" t="n">
        <f aca="false">IF(AND($A224&gt;J$16,MONTH($A224)=MONTH(J$16)),D223/D211,J223)</f>
        <v>1.01572915648253</v>
      </c>
      <c r="K224" s="1307" t="n">
        <f aca="false">IF($A224&gt;=K$16,IF(MONTH($A224)=MONTH(K$16),AVERAGE(E212:E223),K223),K223)</f>
        <v>23.2300000000001</v>
      </c>
      <c r="L224" s="1266" t="n">
        <f aca="false">L223+1</f>
        <v>212</v>
      </c>
      <c r="M224" s="1303" t="n">
        <f aca="false">HLOOKUP(M$14,Dec_Change,$L224)</f>
        <v>1.02510587272767</v>
      </c>
      <c r="N224" s="1304" t="n">
        <f aca="false">N223</f>
        <v>1.005</v>
      </c>
      <c r="O224" s="1307" t="n">
        <f aca="false">IF(AND($A224&gt;=O$16,MONTH($A224)=MONTH(O$16)),MAX(M224,N224)*O223,O223)</f>
        <v>1.51901070889322</v>
      </c>
      <c r="Q224" s="1303" t="n">
        <f aca="false">HLOOKUP(Q$14,Dec_Change,$L224)</f>
        <v>1.02510587272767</v>
      </c>
      <c r="R224" s="1304" t="n">
        <f aca="false">R223</f>
        <v>0</v>
      </c>
      <c r="S224" s="1307" t="n">
        <f aca="false">IF(AND($A224&gt;=S$16,MONTH($A224)=MONTH(S$16)),MAX(Q224,R224)*S223,S223)</f>
        <v>1.43022250300896</v>
      </c>
    </row>
    <row r="225" customFormat="false" ht="12.75" hidden="false" customHeight="false" outlineLevel="0" collapsed="false">
      <c r="A225" s="1305" t="n">
        <f aca="false">EDATE(A224,1)</f>
        <v>41671</v>
      </c>
      <c r="B225" s="1297" t="n">
        <f aca="false">'[3]Monthly Curve Calc.'!B228</f>
        <v>508.27019714509</v>
      </c>
      <c r="C225" s="1298" t="n">
        <f aca="false">'[3]Monthly Curve Calc.'!C228</f>
        <v>248.44997341141</v>
      </c>
      <c r="D225" s="1298" t="n">
        <f aca="false">'[3]Monthly Curve Calc.'!D228</f>
        <v>189.304585030547</v>
      </c>
      <c r="E225" s="1298" t="n">
        <f aca="false">'[3]Monthly Curve Calc.'!E228</f>
        <v>23.6050000000001</v>
      </c>
      <c r="F225" s="1299" t="n">
        <f aca="false">'[3]Monthly Curve Calc.'!F228</f>
        <v>2.82520750724491</v>
      </c>
      <c r="G225" s="1306" t="n">
        <f aca="false">IF(AND($A225&gt;G$16,MONTH($A225)=MONTH(G$16)),B224/B212,G224)</f>
        <v>1.07133291830938</v>
      </c>
      <c r="H225" s="1304" t="n">
        <f aca="false">IF(AND($A225&gt;H$16,MONTH($A225)=MONTH(H$16)),C224/C212,H224)</f>
        <v>1.02510587272767</v>
      </c>
      <c r="I225" s="1304" t="n">
        <f aca="false">IF(AND($A225&gt;I$16,MONTH($A225)=MONTH(I$16)),C224/C212-I$18,I224)</f>
        <v>1.02260587272767</v>
      </c>
      <c r="J225" s="1304" t="n">
        <f aca="false">IF(AND($A225&gt;J$16,MONTH($A225)=MONTH(J$16)),D224/D212,J224)</f>
        <v>1.01572915648253</v>
      </c>
      <c r="K225" s="1307" t="n">
        <f aca="false">IF($A225&gt;=K$16,IF(MONTH($A225)=MONTH(K$16),AVERAGE(E213:E224),K224),K224)</f>
        <v>23.2300000000001</v>
      </c>
      <c r="L225" s="1266" t="n">
        <f aca="false">L224+1</f>
        <v>213</v>
      </c>
      <c r="M225" s="1303" t="n">
        <f aca="false">HLOOKUP(M$14,Dec_Change,$L225)</f>
        <v>1.02510587272767</v>
      </c>
      <c r="N225" s="1304" t="n">
        <f aca="false">N224</f>
        <v>1.005</v>
      </c>
      <c r="O225" s="1307" t="n">
        <f aca="false">IF(AND($A225&gt;=O$16,MONTH($A225)=MONTH(O$16)),MAX(M225,N225)*O224,O224)</f>
        <v>1.51901070889322</v>
      </c>
      <c r="Q225" s="1303" t="n">
        <f aca="false">HLOOKUP(Q$14,Dec_Change,$L225)</f>
        <v>1.02510587272767</v>
      </c>
      <c r="R225" s="1304" t="n">
        <f aca="false">R224</f>
        <v>0</v>
      </c>
      <c r="S225" s="1307" t="n">
        <f aca="false">IF(AND($A225&gt;=S$16,MONTH($A225)=MONTH(S$16)),MAX(Q225,R225)*S224,S224)</f>
        <v>1.43022250300896</v>
      </c>
    </row>
    <row r="226" customFormat="false" ht="12.75" hidden="false" customHeight="false" outlineLevel="0" collapsed="false">
      <c r="A226" s="1305" t="n">
        <f aca="false">EDATE(A225,1)</f>
        <v>41699</v>
      </c>
      <c r="B226" s="1297" t="n">
        <f aca="false">'[3]Monthly Curve Calc.'!B229</f>
        <v>511.144030735834</v>
      </c>
      <c r="C226" s="1298" t="n">
        <f aca="false">'[3]Monthly Curve Calc.'!C229</f>
        <v>248.972004578708</v>
      </c>
      <c r="D226" s="1298" t="n">
        <f aca="false">'[3]Monthly Curve Calc.'!D229</f>
        <v>189.549068328567</v>
      </c>
      <c r="E226" s="1298" t="n">
        <f aca="false">'[3]Monthly Curve Calc.'!E229</f>
        <v>23.6550000000001</v>
      </c>
      <c r="F226" s="1299" t="n">
        <f aca="false">'[3]Monthly Curve Calc.'!F229</f>
        <v>2.82987247707826</v>
      </c>
      <c r="G226" s="1306" t="n">
        <f aca="false">IF(AND($A226&gt;G$16,MONTH($A226)=MONTH(G$16)),B225/B213,G225)</f>
        <v>1.07133291830938</v>
      </c>
      <c r="H226" s="1304" t="n">
        <f aca="false">IF(AND($A226&gt;H$16,MONTH($A226)=MONTH(H$16)),C225/C213,H225)</f>
        <v>1.02510587272767</v>
      </c>
      <c r="I226" s="1304" t="n">
        <f aca="false">IF(AND($A226&gt;I$16,MONTH($A226)=MONTH(I$16)),C225/C213-I$18,I225)</f>
        <v>1.02260587272767</v>
      </c>
      <c r="J226" s="1304" t="n">
        <f aca="false">IF(AND($A226&gt;J$16,MONTH($A226)=MONTH(J$16)),D225/D213,J225)</f>
        <v>1.01572915648253</v>
      </c>
      <c r="K226" s="1307" t="n">
        <f aca="false">IF($A226&gt;=K$16,IF(MONTH($A226)=MONTH(K$16),AVERAGE(E214:E225),K225),K225)</f>
        <v>23.2300000000001</v>
      </c>
      <c r="L226" s="1266" t="n">
        <f aca="false">L225+1</f>
        <v>214</v>
      </c>
      <c r="M226" s="1303" t="n">
        <f aca="false">HLOOKUP(M$14,Dec_Change,$L226)</f>
        <v>1.02510587272767</v>
      </c>
      <c r="N226" s="1304" t="n">
        <f aca="false">N225</f>
        <v>1.005</v>
      </c>
      <c r="O226" s="1307" t="n">
        <f aca="false">IF(AND($A226&gt;=O$16,MONTH($A226)=MONTH(O$16)),MAX(M226,N226)*O225,O225)</f>
        <v>1.51901070889322</v>
      </c>
      <c r="Q226" s="1303" t="n">
        <f aca="false">HLOOKUP(Q$14,Dec_Change,$L226)</f>
        <v>1.02510587272767</v>
      </c>
      <c r="R226" s="1304" t="n">
        <f aca="false">R225</f>
        <v>0</v>
      </c>
      <c r="S226" s="1307" t="n">
        <f aca="false">IF(AND($A226&gt;=S$16,MONTH($A226)=MONTH(S$16)),MAX(Q226,R226)*S225,S225)</f>
        <v>1.43022250300896</v>
      </c>
    </row>
    <row r="227" customFormat="false" ht="12.75" hidden="false" customHeight="false" outlineLevel="0" collapsed="false">
      <c r="A227" s="1305" t="n">
        <f aca="false">EDATE(A226,1)</f>
        <v>41730</v>
      </c>
      <c r="B227" s="1297" t="n">
        <f aca="false">'[3]Monthly Curve Calc.'!B230</f>
        <v>514.034113399518</v>
      </c>
      <c r="C227" s="1298" t="n">
        <f aca="false">'[3]Monthly Curve Calc.'!C230</f>
        <v>249.495132612855</v>
      </c>
      <c r="D227" s="1298" t="n">
        <f aca="false">'[3]Monthly Curve Calc.'!D230</f>
        <v>189.793867372152</v>
      </c>
      <c r="E227" s="1298" t="n">
        <f aca="false">'[3]Monthly Curve Calc.'!E230</f>
        <v>23.7050000000001</v>
      </c>
      <c r="F227" s="1299" t="n">
        <f aca="false">'[3]Monthly Curve Calc.'!F230</f>
        <v>2.83454514968866</v>
      </c>
      <c r="G227" s="1306" t="n">
        <f aca="false">IF(AND($A227&gt;G$16,MONTH($A227)=MONTH(G$16)),B226/B214,G226)</f>
        <v>1.07133291830938</v>
      </c>
      <c r="H227" s="1304" t="n">
        <f aca="false">IF(AND($A227&gt;H$16,MONTH($A227)=MONTH(H$16)),C226/C214,H226)</f>
        <v>1.02510587272767</v>
      </c>
      <c r="I227" s="1304" t="n">
        <f aca="false">IF(AND($A227&gt;I$16,MONTH($A227)=MONTH(I$16)),C226/C214-I$18,I226)</f>
        <v>1.02260587272767</v>
      </c>
      <c r="J227" s="1304" t="n">
        <f aca="false">IF(AND($A227&gt;J$16,MONTH($A227)=MONTH(J$16)),D226/D214,J226)</f>
        <v>1.01572915648253</v>
      </c>
      <c r="K227" s="1307" t="n">
        <f aca="false">IF($A227&gt;=K$16,IF(MONTH($A227)=MONTH(K$16),AVERAGE(E215:E226),K226),K226)</f>
        <v>23.2300000000001</v>
      </c>
      <c r="L227" s="1266" t="n">
        <f aca="false">L226+1</f>
        <v>215</v>
      </c>
      <c r="M227" s="1303" t="n">
        <f aca="false">HLOOKUP(M$14,Dec_Change,$L227)</f>
        <v>1.02510587272767</v>
      </c>
      <c r="N227" s="1304" t="n">
        <f aca="false">N226</f>
        <v>1.005</v>
      </c>
      <c r="O227" s="1307" t="n">
        <f aca="false">IF(AND($A227&gt;=O$16,MONTH($A227)=MONTH(O$16)),MAX(M227,N227)*O226,O226)</f>
        <v>1.51901070889322</v>
      </c>
      <c r="Q227" s="1303" t="n">
        <f aca="false">HLOOKUP(Q$14,Dec_Change,$L227)</f>
        <v>1.02510587272767</v>
      </c>
      <c r="R227" s="1304" t="n">
        <f aca="false">R226</f>
        <v>0</v>
      </c>
      <c r="S227" s="1307" t="n">
        <f aca="false">IF(AND($A227&gt;=S$16,MONTH($A227)=MONTH(S$16)),MAX(Q227,R227)*S226,S226)</f>
        <v>1.43022250300896</v>
      </c>
    </row>
    <row r="228" customFormat="false" ht="12.75" hidden="false" customHeight="false" outlineLevel="0" collapsed="false">
      <c r="A228" s="1305" t="n">
        <f aca="false">EDATE(A227,1)</f>
        <v>41760</v>
      </c>
      <c r="B228" s="1297" t="n">
        <f aca="false">'[3]Monthly Curve Calc.'!B231</f>
        <v>516.940537010765</v>
      </c>
      <c r="C228" s="1298" t="n">
        <f aca="false">'[3]Monthly Curve Calc.'!C231</f>
        <v>250.019359818535</v>
      </c>
      <c r="D228" s="1298" t="n">
        <f aca="false">'[3]Monthly Curve Calc.'!D231</f>
        <v>190.03898256908</v>
      </c>
      <c r="E228" s="1298" t="n">
        <f aca="false">'[3]Monthly Curve Calc.'!E231</f>
        <v>23.7550000000001</v>
      </c>
      <c r="F228" s="1299" t="n">
        <f aca="false">'[3]Monthly Curve Calc.'!F231</f>
        <v>2.8392255377949</v>
      </c>
      <c r="G228" s="1306" t="n">
        <f aca="false">IF(AND($A228&gt;G$16,MONTH($A228)=MONTH(G$16)),B227/B215,G227)</f>
        <v>1.07</v>
      </c>
      <c r="H228" s="1304" t="n">
        <f aca="false">IF(AND($A228&gt;H$16,MONTH($A228)=MONTH(H$16)),C227/C215,H227)</f>
        <v>1.02527113365492</v>
      </c>
      <c r="I228" s="1304" t="n">
        <f aca="false">IF(AND($A228&gt;I$16,MONTH($A228)=MONTH(I$16)),C227/C215-I$18,I227)</f>
        <v>1.02277113365492</v>
      </c>
      <c r="J228" s="1304" t="n">
        <f aca="false">IF(AND($A228&gt;J$16,MONTH($A228)=MONTH(J$16)),D227/D215,J227)</f>
        <v>1.01572915648253</v>
      </c>
      <c r="K228" s="1307" t="n">
        <f aca="false">IF($A228&gt;=K$16,IF(MONTH($A228)=MONTH(K$16),AVERAGE(E216:E227),K227),K227)</f>
        <v>23.2300000000001</v>
      </c>
      <c r="L228" s="1266" t="n">
        <f aca="false">L227+1</f>
        <v>216</v>
      </c>
      <c r="M228" s="1303" t="n">
        <f aca="false">HLOOKUP(M$14,Dec_Change,$L228)</f>
        <v>1.02527113365492</v>
      </c>
      <c r="N228" s="1304" t="n">
        <f aca="false">N227</f>
        <v>1.005</v>
      </c>
      <c r="O228" s="1307" t="n">
        <f aca="false">IF(AND($A228&gt;=O$16,MONTH($A228)=MONTH(O$16)),MAX(M228,N228)*O227,O227)</f>
        <v>1.55739783154092</v>
      </c>
      <c r="Q228" s="1303" t="n">
        <f aca="false">HLOOKUP(Q$14,Dec_Change,$L228)</f>
        <v>1.02527113365492</v>
      </c>
      <c r="R228" s="1304" t="n">
        <f aca="false">R227</f>
        <v>0</v>
      </c>
      <c r="S228" s="1307" t="n">
        <f aca="false">IF(AND($A228&gt;=S$16,MONTH($A228)=MONTH(S$16)),MAX(Q228,R228)*S227,S227)</f>
        <v>1.43022250300896</v>
      </c>
    </row>
    <row r="229" customFormat="false" ht="12.75" hidden="false" customHeight="false" outlineLevel="0" collapsed="false">
      <c r="A229" s="1305" t="n">
        <f aca="false">EDATE(A228,1)</f>
        <v>41791</v>
      </c>
      <c r="B229" s="1297" t="n">
        <f aca="false">'[3]Monthly Curve Calc.'!B232</f>
        <v>519.863393963667</v>
      </c>
      <c r="C229" s="1298" t="n">
        <f aca="false">'[3]Monthly Curve Calc.'!C232</f>
        <v>250.544688505276</v>
      </c>
      <c r="D229" s="1298" t="n">
        <f aca="false">'[3]Monthly Curve Calc.'!D232</f>
        <v>190.284414327658</v>
      </c>
      <c r="E229" s="1298" t="n">
        <f aca="false">'[3]Monthly Curve Calc.'!E232</f>
        <v>23.8050000000001</v>
      </c>
      <c r="F229" s="1299" t="n">
        <f aca="false">'[3]Monthly Curve Calc.'!F232</f>
        <v>2.84391365413677</v>
      </c>
      <c r="G229" s="1306" t="n">
        <f aca="false">IF(AND($A229&gt;G$16,MONTH($A229)=MONTH(G$16)),B228/B216,G228)</f>
        <v>1.07</v>
      </c>
      <c r="H229" s="1304" t="n">
        <f aca="false">IF(AND($A229&gt;H$16,MONTH($A229)=MONTH(H$16)),C228/C216,H228)</f>
        <v>1.02527113365492</v>
      </c>
      <c r="I229" s="1304" t="n">
        <f aca="false">IF(AND($A229&gt;I$16,MONTH($A229)=MONTH(I$16)),C228/C216-I$18,I228)</f>
        <v>1.02277113365492</v>
      </c>
      <c r="J229" s="1304" t="n">
        <f aca="false">IF(AND($A229&gt;J$16,MONTH($A229)=MONTH(J$16)),D228/D216,J228)</f>
        <v>1.01572915648253</v>
      </c>
      <c r="K229" s="1307" t="n">
        <f aca="false">IF($A229&gt;=K$16,IF(MONTH($A229)=MONTH(K$16),AVERAGE(E217:E228),K228),K228)</f>
        <v>23.2300000000001</v>
      </c>
      <c r="L229" s="1266" t="n">
        <f aca="false">L228+1</f>
        <v>217</v>
      </c>
      <c r="M229" s="1303" t="n">
        <f aca="false">HLOOKUP(M$14,Dec_Change,$L229)</f>
        <v>1.02527113365492</v>
      </c>
      <c r="N229" s="1304" t="n">
        <f aca="false">N228</f>
        <v>1.005</v>
      </c>
      <c r="O229" s="1307" t="n">
        <f aca="false">IF(AND($A229&gt;=O$16,MONTH($A229)=MONTH(O$16)),MAX(M229,N229)*O228,O228)</f>
        <v>1.55739783154092</v>
      </c>
      <c r="Q229" s="1303" t="n">
        <f aca="false">HLOOKUP(Q$14,Dec_Change,$L229)</f>
        <v>1.02527113365492</v>
      </c>
      <c r="R229" s="1304" t="n">
        <f aca="false">R228</f>
        <v>0</v>
      </c>
      <c r="S229" s="1307" t="n">
        <f aca="false">IF(AND($A229&gt;=S$16,MONTH($A229)=MONTH(S$16)),MAX(Q229,R229)*S228,S228)</f>
        <v>1.46636584703877</v>
      </c>
    </row>
    <row r="230" customFormat="false" ht="12.75" hidden="false" customHeight="false" outlineLevel="0" collapsed="false">
      <c r="A230" s="1305" t="n">
        <f aca="false">EDATE(A229,1)</f>
        <v>41821</v>
      </c>
      <c r="B230" s="1297" t="n">
        <f aca="false">'[3]Monthly Curve Calc.'!B233</f>
        <v>522.802777174728</v>
      </c>
      <c r="C230" s="1298" t="n">
        <f aca="false">'[3]Monthly Curve Calc.'!C233</f>
        <v>251.071120987456</v>
      </c>
      <c r="D230" s="1298" t="n">
        <f aca="false">'[3]Monthly Curve Calc.'!D233</f>
        <v>190.530163056719</v>
      </c>
      <c r="E230" s="1298" t="n">
        <f aca="false">'[3]Monthly Curve Calc.'!E233</f>
        <v>23.8550000000001</v>
      </c>
      <c r="F230" s="1299" t="n">
        <f aca="false">'[3]Monthly Curve Calc.'!F233</f>
        <v>2.8486095114751</v>
      </c>
      <c r="G230" s="1306" t="n">
        <f aca="false">IF(AND($A230&gt;G$16,MONTH($A230)=MONTH(G$16)),B229/B217,G229)</f>
        <v>1.07</v>
      </c>
      <c r="H230" s="1304" t="n">
        <f aca="false">IF(AND($A230&gt;H$16,MONTH($A230)=MONTH(H$16)),C229/C217,H229)</f>
        <v>1.02527113365492</v>
      </c>
      <c r="I230" s="1304" t="n">
        <f aca="false">IF(AND($A230&gt;I$16,MONTH($A230)=MONTH(I$16)),C229/C217-I$18,I229)</f>
        <v>1.02277113365492</v>
      </c>
      <c r="J230" s="1304" t="n">
        <f aca="false">IF(AND($A230&gt;J$16,MONTH($A230)=MONTH(J$16)),D229/D217,J229)</f>
        <v>1.01572915648253</v>
      </c>
      <c r="K230" s="1307" t="n">
        <f aca="false">IF($A230&gt;=K$16,IF(MONTH($A230)=MONTH(K$16),AVERAGE(E218:E229),K229),K229)</f>
        <v>23.2300000000001</v>
      </c>
      <c r="L230" s="1266" t="n">
        <f aca="false">L229+1</f>
        <v>218</v>
      </c>
      <c r="M230" s="1303" t="n">
        <f aca="false">HLOOKUP(M$14,Dec_Change,$L230)</f>
        <v>1.02527113365492</v>
      </c>
      <c r="N230" s="1304" t="n">
        <f aca="false">N229</f>
        <v>1.005</v>
      </c>
      <c r="O230" s="1307" t="n">
        <f aca="false">IF(AND($A230&gt;=O$16,MONTH($A230)=MONTH(O$16)),MAX(M230,N230)*O229,O229)</f>
        <v>1.55739783154092</v>
      </c>
      <c r="Q230" s="1303" t="n">
        <f aca="false">HLOOKUP(Q$14,Dec_Change,$L230)</f>
        <v>1.02527113365492</v>
      </c>
      <c r="R230" s="1304" t="n">
        <f aca="false">R229</f>
        <v>0</v>
      </c>
      <c r="S230" s="1307" t="n">
        <f aca="false">IF(AND($A230&gt;=S$16,MONTH($A230)=MONTH(S$16)),MAX(Q230,R230)*S229,S229)</f>
        <v>1.46636584703877</v>
      </c>
    </row>
    <row r="231" customFormat="false" ht="12.75" hidden="false" customHeight="false" outlineLevel="0" collapsed="false">
      <c r="A231" s="1305" t="n">
        <f aca="false">EDATE(A230,1)</f>
        <v>41852</v>
      </c>
      <c r="B231" s="1297" t="n">
        <f aca="false">'[3]Monthly Curve Calc.'!B234</f>
        <v>525.758780085813</v>
      </c>
      <c r="C231" s="1298" t="n">
        <f aca="false">'[3]Monthly Curve Calc.'!C234</f>
        <v>251.598659584318</v>
      </c>
      <c r="D231" s="1298" t="n">
        <f aca="false">'[3]Monthly Curve Calc.'!D234</f>
        <v>190.776229165624</v>
      </c>
      <c r="E231" s="1298" t="n">
        <f aca="false">'[3]Monthly Curve Calc.'!E234</f>
        <v>23.9050000000001</v>
      </c>
      <c r="F231" s="1299" t="n">
        <f aca="false">'[3]Monthly Curve Calc.'!F234</f>
        <v>2.85331312259178</v>
      </c>
      <c r="G231" s="1306" t="n">
        <f aca="false">IF(AND($A231&gt;G$16,MONTH($A231)=MONTH(G$16)),B230/B218,G230)</f>
        <v>1.07</v>
      </c>
      <c r="H231" s="1304" t="n">
        <f aca="false">IF(AND($A231&gt;H$16,MONTH($A231)=MONTH(H$16)),C230/C218,H230)</f>
        <v>1.02527113365492</v>
      </c>
      <c r="I231" s="1304" t="n">
        <f aca="false">IF(AND($A231&gt;I$16,MONTH($A231)=MONTH(I$16)),C230/C218-I$18,I230)</f>
        <v>1.02277113365492</v>
      </c>
      <c r="J231" s="1304" t="n">
        <f aca="false">IF(AND($A231&gt;J$16,MONTH($A231)=MONTH(J$16)),D230/D218,J230)</f>
        <v>1.01572915648253</v>
      </c>
      <c r="K231" s="1307" t="n">
        <f aca="false">IF($A231&gt;=K$16,IF(MONTH($A231)=MONTH(K$16),AVERAGE(E219:E230),K230),K230)</f>
        <v>23.2300000000001</v>
      </c>
      <c r="L231" s="1266" t="n">
        <f aca="false">L230+1</f>
        <v>219</v>
      </c>
      <c r="M231" s="1303" t="n">
        <f aca="false">HLOOKUP(M$14,Dec_Change,$L231)</f>
        <v>1.02527113365492</v>
      </c>
      <c r="N231" s="1304" t="n">
        <f aca="false">N230</f>
        <v>1.005</v>
      </c>
      <c r="O231" s="1307" t="n">
        <f aca="false">IF(AND($A231&gt;=O$16,MONTH($A231)=MONTH(O$16)),MAX(M231,N231)*O230,O230)</f>
        <v>1.55739783154092</v>
      </c>
      <c r="Q231" s="1303" t="n">
        <f aca="false">HLOOKUP(Q$14,Dec_Change,$L231)</f>
        <v>1.02527113365492</v>
      </c>
      <c r="R231" s="1304" t="n">
        <f aca="false">R230</f>
        <v>0</v>
      </c>
      <c r="S231" s="1307" t="n">
        <f aca="false">IF(AND($A231&gt;=S$16,MONTH($A231)=MONTH(S$16)),MAX(Q231,R231)*S230,S230)</f>
        <v>1.46636584703877</v>
      </c>
    </row>
    <row r="232" customFormat="false" ht="12.75" hidden="false" customHeight="false" outlineLevel="0" collapsed="false">
      <c r="A232" s="1305" t="n">
        <f aca="false">EDATE(A231,1)</f>
        <v>41883</v>
      </c>
      <c r="B232" s="1297" t="n">
        <f aca="false">'[3]Monthly Curve Calc.'!B235</f>
        <v>528.731496667123</v>
      </c>
      <c r="C232" s="1298" t="n">
        <f aca="false">'[3]Monthly Curve Calc.'!C235</f>
        <v>252.127306619976</v>
      </c>
      <c r="D232" s="1298" t="n">
        <f aca="false">'[3]Monthly Curve Calc.'!D235</f>
        <v>191.022613064265</v>
      </c>
      <c r="E232" s="1298" t="n">
        <f aca="false">'[3]Monthly Curve Calc.'!E235</f>
        <v>23.9550000000001</v>
      </c>
      <c r="F232" s="1299" t="n">
        <f aca="false">'[3]Monthly Curve Calc.'!F235</f>
        <v>2.85802450028983</v>
      </c>
      <c r="G232" s="1306" t="n">
        <f aca="false">IF(AND($A232&gt;G$16,MONTH($A232)=MONTH(G$16)),B231/B219,G231)</f>
        <v>1.07</v>
      </c>
      <c r="H232" s="1304" t="n">
        <f aca="false">IF(AND($A232&gt;H$16,MONTH($A232)=MONTH(H$16)),C231/C219,H231)</f>
        <v>1.02527113365492</v>
      </c>
      <c r="I232" s="1304" t="n">
        <f aca="false">IF(AND($A232&gt;I$16,MONTH($A232)=MONTH(I$16)),C231/C219-I$18,I231)</f>
        <v>1.02277113365492</v>
      </c>
      <c r="J232" s="1304" t="n">
        <f aca="false">IF(AND($A232&gt;J$16,MONTH($A232)=MONTH(J$16)),D231/D219,J231)</f>
        <v>1.01572915648253</v>
      </c>
      <c r="K232" s="1307" t="n">
        <f aca="false">IF($A232&gt;=K$16,IF(MONTH($A232)=MONTH(K$16),AVERAGE(E220:E231),K231),K231)</f>
        <v>23.2300000000001</v>
      </c>
      <c r="L232" s="1266" t="n">
        <f aca="false">L231+1</f>
        <v>220</v>
      </c>
      <c r="M232" s="1303" t="n">
        <f aca="false">HLOOKUP(M$14,Dec_Change,$L232)</f>
        <v>1.02527113365492</v>
      </c>
      <c r="N232" s="1304" t="n">
        <f aca="false">N231</f>
        <v>1.005</v>
      </c>
      <c r="O232" s="1307" t="n">
        <f aca="false">IF(AND($A232&gt;=O$16,MONTH($A232)=MONTH(O$16)),MAX(M232,N232)*O231,O231)</f>
        <v>1.55739783154092</v>
      </c>
      <c r="Q232" s="1303" t="n">
        <f aca="false">HLOOKUP(Q$14,Dec_Change,$L232)</f>
        <v>1.02527113365492</v>
      </c>
      <c r="R232" s="1304" t="n">
        <f aca="false">R231</f>
        <v>0</v>
      </c>
      <c r="S232" s="1307" t="n">
        <f aca="false">IF(AND($A232&gt;=S$16,MONTH($A232)=MONTH(S$16)),MAX(Q232,R232)*S231,S231)</f>
        <v>1.46636584703877</v>
      </c>
    </row>
    <row r="233" customFormat="false" ht="12.75" hidden="false" customHeight="false" outlineLevel="0" collapsed="false">
      <c r="A233" s="1305" t="n">
        <f aca="false">EDATE(A232,1)</f>
        <v>41913</v>
      </c>
      <c r="B233" s="1297" t="n">
        <f aca="false">'[3]Monthly Curve Calc.'!B236</f>
        <v>531.721021420179</v>
      </c>
      <c r="C233" s="1298" t="n">
        <f aca="false">'[3]Monthly Curve Calc.'!C236</f>
        <v>252.657064423429</v>
      </c>
      <c r="D233" s="1298" t="n">
        <f aca="false">'[3]Monthly Curve Calc.'!D236</f>
        <v>191.269315163059</v>
      </c>
      <c r="E233" s="1298" t="n">
        <f aca="false">'[3]Monthly Curve Calc.'!E236</f>
        <v>24.0050000000001</v>
      </c>
      <c r="F233" s="1299" t="n">
        <f aca="false">'[3]Monthly Curve Calc.'!F236</f>
        <v>2.86274365739339</v>
      </c>
      <c r="G233" s="1306" t="n">
        <f aca="false">IF(AND($A233&gt;G$16,MONTH($A233)=MONTH(G$16)),B232/B220,G232)</f>
        <v>1.07</v>
      </c>
      <c r="H233" s="1304" t="n">
        <f aca="false">IF(AND($A233&gt;H$16,MONTH($A233)=MONTH(H$16)),C232/C220,H232)</f>
        <v>1.02527113365492</v>
      </c>
      <c r="I233" s="1304" t="n">
        <f aca="false">IF(AND($A233&gt;I$16,MONTH($A233)=MONTH(I$16)),C232/C220-I$18,I232)</f>
        <v>1.02277113365492</v>
      </c>
      <c r="J233" s="1304" t="n">
        <f aca="false">IF(AND($A233&gt;J$16,MONTH($A233)=MONTH(J$16)),D232/D220,J232)</f>
        <v>1.01572915648253</v>
      </c>
      <c r="K233" s="1307" t="n">
        <f aca="false">IF($A233&gt;=K$16,IF(MONTH($A233)=MONTH(K$16),AVERAGE(E221:E232),K232),K232)</f>
        <v>23.2300000000001</v>
      </c>
      <c r="L233" s="1266" t="n">
        <f aca="false">L232+1</f>
        <v>221</v>
      </c>
      <c r="M233" s="1303" t="n">
        <f aca="false">HLOOKUP(M$14,Dec_Change,$L233)</f>
        <v>1.02527113365492</v>
      </c>
      <c r="N233" s="1304" t="n">
        <f aca="false">N232</f>
        <v>1.005</v>
      </c>
      <c r="O233" s="1307" t="n">
        <f aca="false">IF(AND($A233&gt;=O$16,MONTH($A233)=MONTH(O$16)),MAX(M233,N233)*O232,O232)</f>
        <v>1.55739783154092</v>
      </c>
      <c r="Q233" s="1303" t="n">
        <f aca="false">HLOOKUP(Q$14,Dec_Change,$L233)</f>
        <v>1.02527113365492</v>
      </c>
      <c r="R233" s="1304" t="n">
        <f aca="false">R232</f>
        <v>0</v>
      </c>
      <c r="S233" s="1307" t="n">
        <f aca="false">IF(AND($A233&gt;=S$16,MONTH($A233)=MONTH(S$16)),MAX(Q233,R233)*S232,S232)</f>
        <v>1.46636584703877</v>
      </c>
    </row>
    <row r="234" customFormat="false" ht="12.75" hidden="false" customHeight="false" outlineLevel="0" collapsed="false">
      <c r="A234" s="1305" t="n">
        <f aca="false">EDATE(A233,1)</f>
        <v>41944</v>
      </c>
      <c r="B234" s="1297" t="n">
        <f aca="false">'[3]Monthly Curve Calc.'!B237</f>
        <v>534.727449380829</v>
      </c>
      <c r="C234" s="1298" t="n">
        <f aca="false">'[3]Monthly Curve Calc.'!C237</f>
        <v>253.187935328568</v>
      </c>
      <c r="D234" s="1298" t="n">
        <f aca="false">'[3]Monthly Curve Calc.'!D237</f>
        <v>191.516335872956</v>
      </c>
      <c r="E234" s="1298" t="n">
        <f aca="false">'[3]Monthly Curve Calc.'!E237</f>
        <v>24.0550000000001</v>
      </c>
      <c r="F234" s="1299" t="n">
        <f aca="false">'[3]Monthly Curve Calc.'!F237</f>
        <v>2.86747060674777</v>
      </c>
      <c r="G234" s="1306" t="n">
        <f aca="false">IF(AND($A234&gt;G$16,MONTH($A234)=MONTH(G$16)),B233/B221,G233)</f>
        <v>1.07</v>
      </c>
      <c r="H234" s="1304" t="n">
        <f aca="false">IF(AND($A234&gt;H$16,MONTH($A234)=MONTH(H$16)),C233/C221,H233)</f>
        <v>1.02527113365492</v>
      </c>
      <c r="I234" s="1304" t="n">
        <f aca="false">IF(AND($A234&gt;I$16,MONTH($A234)=MONTH(I$16)),C233/C221-I$18,I233)</f>
        <v>1.02277113365492</v>
      </c>
      <c r="J234" s="1304" t="n">
        <f aca="false">IF(AND($A234&gt;J$16,MONTH($A234)=MONTH(J$16)),D233/D221,J233)</f>
        <v>1.01572915648253</v>
      </c>
      <c r="K234" s="1307" t="n">
        <f aca="false">IF($A234&gt;=K$16,IF(MONTH($A234)=MONTH(K$16),AVERAGE(E222:E233),K233),K233)</f>
        <v>23.2300000000001</v>
      </c>
      <c r="L234" s="1266" t="n">
        <f aca="false">L233+1</f>
        <v>222</v>
      </c>
      <c r="M234" s="1303" t="n">
        <f aca="false">HLOOKUP(M$14,Dec_Change,$L234)</f>
        <v>1.02527113365492</v>
      </c>
      <c r="N234" s="1304" t="n">
        <f aca="false">N233</f>
        <v>1.005</v>
      </c>
      <c r="O234" s="1307" t="n">
        <f aca="false">IF(AND($A234&gt;=O$16,MONTH($A234)=MONTH(O$16)),MAX(M234,N234)*O233,O233)</f>
        <v>1.55739783154092</v>
      </c>
      <c r="Q234" s="1303" t="n">
        <f aca="false">HLOOKUP(Q$14,Dec_Change,$L234)</f>
        <v>1.02527113365492</v>
      </c>
      <c r="R234" s="1304" t="n">
        <f aca="false">R233</f>
        <v>0</v>
      </c>
      <c r="S234" s="1307" t="n">
        <f aca="false">IF(AND($A234&gt;=S$16,MONTH($A234)=MONTH(S$16)),MAX(Q234,R234)*S233,S233)</f>
        <v>1.46636584703877</v>
      </c>
    </row>
    <row r="235" customFormat="false" ht="12.75" hidden="false" customHeight="false" outlineLevel="0" collapsed="false">
      <c r="A235" s="1305" t="n">
        <f aca="false">EDATE(A234,1)</f>
        <v>41974</v>
      </c>
      <c r="B235" s="1297" t="n">
        <f aca="false">'[3]Monthly Curve Calc.'!B238</f>
        <v>537.750876122264</v>
      </c>
      <c r="C235" s="1298" t="n">
        <f aca="false">'[3]Monthly Curve Calc.'!C238</f>
        <v>253.719921674191</v>
      </c>
      <c r="D235" s="1298" t="n">
        <f aca="false">'[3]Monthly Curve Calc.'!D238</f>
        <v>191.763675605438</v>
      </c>
      <c r="E235" s="1298" t="n">
        <f aca="false">'[3]Monthly Curve Calc.'!E238</f>
        <v>24.1050000000001</v>
      </c>
      <c r="F235" s="1299" t="n">
        <f aca="false">'[3]Monthly Curve Calc.'!F238</f>
        <v>2.8722053612195</v>
      </c>
      <c r="G235" s="1306" t="n">
        <f aca="false">IF(AND($A235&gt;G$16,MONTH($A235)=MONTH(G$16)),B234/B222,G234)</f>
        <v>1.07</v>
      </c>
      <c r="H235" s="1304" t="n">
        <f aca="false">IF(AND($A235&gt;H$16,MONTH($A235)=MONTH(H$16)),C234/C222,H234)</f>
        <v>1.02527113365492</v>
      </c>
      <c r="I235" s="1304" t="n">
        <f aca="false">IF(AND($A235&gt;I$16,MONTH($A235)=MONTH(I$16)),C234/C222-I$18,I234)</f>
        <v>1.02277113365492</v>
      </c>
      <c r="J235" s="1304" t="n">
        <f aca="false">IF(AND($A235&gt;J$16,MONTH($A235)=MONTH(J$16)),D234/D222,J234)</f>
        <v>1.01572915648253</v>
      </c>
      <c r="K235" s="1307" t="n">
        <f aca="false">IF($A235&gt;=K$16,IF(MONTH($A235)=MONTH(K$16),AVERAGE(E223:E234),K234),K234)</f>
        <v>23.2300000000001</v>
      </c>
      <c r="L235" s="1266" t="n">
        <f aca="false">L234+1</f>
        <v>223</v>
      </c>
      <c r="M235" s="1303" t="n">
        <f aca="false">HLOOKUP(M$14,Dec_Change,$L235)</f>
        <v>1.02527113365492</v>
      </c>
      <c r="N235" s="1304" t="n">
        <f aca="false">N234</f>
        <v>1.005</v>
      </c>
      <c r="O235" s="1307" t="n">
        <f aca="false">IF(AND($A235&gt;=O$16,MONTH($A235)=MONTH(O$16)),MAX(M235,N235)*O234,O234)</f>
        <v>1.55739783154092</v>
      </c>
      <c r="Q235" s="1303" t="n">
        <f aca="false">HLOOKUP(Q$14,Dec_Change,$L235)</f>
        <v>1.02527113365492</v>
      </c>
      <c r="R235" s="1304" t="n">
        <f aca="false">R234</f>
        <v>0</v>
      </c>
      <c r="S235" s="1307" t="n">
        <f aca="false">IF(AND($A235&gt;=S$16,MONTH($A235)=MONTH(S$16)),MAX(Q235,R235)*S234,S234)</f>
        <v>1.46636584703877</v>
      </c>
    </row>
    <row r="236" customFormat="false" ht="12.75" hidden="false" customHeight="false" outlineLevel="0" collapsed="false">
      <c r="A236" s="1305" t="n">
        <f aca="false">EDATE(A235,1)</f>
        <v>42005</v>
      </c>
      <c r="B236" s="1297" t="n">
        <f aca="false">'[3]Monthly Curve Calc.'!B239</f>
        <v>540.749261996104</v>
      </c>
      <c r="C236" s="1298" t="n">
        <f aca="false">'[3]Monthly Curve Calc.'!C239</f>
        <v>254.261288552445</v>
      </c>
      <c r="D236" s="1298" t="n">
        <f aca="false">'[3]Monthly Curve Calc.'!D239</f>
        <v>192.017044903824</v>
      </c>
      <c r="E236" s="1298" t="n">
        <f aca="false">'[3]Monthly Curve Calc.'!E239</f>
        <v>24.1550000000001</v>
      </c>
      <c r="F236" s="1299" t="n">
        <f aca="false">'[3]Monthly Curve Calc.'!F239</f>
        <v>2.87694237018618</v>
      </c>
      <c r="G236" s="1306" t="n">
        <f aca="false">IF(AND($A236&gt;G$16,MONTH($A236)=MONTH(G$16)),B235/B223,G235)</f>
        <v>1.07</v>
      </c>
      <c r="H236" s="1304" t="n">
        <f aca="false">IF(AND($A236&gt;H$16,MONTH($A236)=MONTH(H$16)),C235/C223,H235)</f>
        <v>1.02527113365492</v>
      </c>
      <c r="I236" s="1304" t="n">
        <f aca="false">IF(AND($A236&gt;I$16,MONTH($A236)=MONTH(I$16)),C235/C223-I$18,I235)</f>
        <v>1.02277113365492</v>
      </c>
      <c r="J236" s="1304" t="n">
        <f aca="false">IF(AND($A236&gt;J$16,MONTH($A236)=MONTH(J$16)),D235/D223,J235)</f>
        <v>1.01560833170368</v>
      </c>
      <c r="K236" s="1307" t="n">
        <f aca="false">IF($A236&gt;=K$16,IF(MONTH($A236)=MONTH(K$16),AVERAGE(E224:E235),K235),K235)</f>
        <v>23.8300000000001</v>
      </c>
      <c r="L236" s="1266" t="n">
        <f aca="false">L235+1</f>
        <v>224</v>
      </c>
      <c r="M236" s="1303" t="n">
        <f aca="false">HLOOKUP(M$14,Dec_Change,$L236)</f>
        <v>1.02527113365492</v>
      </c>
      <c r="N236" s="1304" t="n">
        <f aca="false">N235</f>
        <v>1.005</v>
      </c>
      <c r="O236" s="1307" t="n">
        <f aca="false">IF(AND($A236&gt;=O$16,MONTH($A236)=MONTH(O$16)),MAX(M236,N236)*O235,O235)</f>
        <v>1.55739783154092</v>
      </c>
      <c r="Q236" s="1303" t="n">
        <f aca="false">HLOOKUP(Q$14,Dec_Change,$L236)</f>
        <v>1.02527113365492</v>
      </c>
      <c r="R236" s="1304" t="n">
        <f aca="false">R235</f>
        <v>0</v>
      </c>
      <c r="S236" s="1307" t="n">
        <f aca="false">IF(AND($A236&gt;=S$16,MONTH($A236)=MONTH(S$16)),MAX(Q236,R236)*S235,S235)</f>
        <v>1.46636584703877</v>
      </c>
    </row>
    <row r="237" customFormat="false" ht="12.75" hidden="false" customHeight="false" outlineLevel="0" collapsed="false">
      <c r="A237" s="1305" t="n">
        <f aca="false">EDATE(A236,1)</f>
        <v>42036</v>
      </c>
      <c r="B237" s="1297" t="n">
        <f aca="false">'[3]Monthly Curve Calc.'!B240</f>
        <v>543.764366239448</v>
      </c>
      <c r="C237" s="1298" t="n">
        <f aca="false">'[3]Monthly Curve Calc.'!C240</f>
        <v>254.803810555196</v>
      </c>
      <c r="D237" s="1298" t="n">
        <f aca="false">'[3]Monthly Curve Calc.'!D240</f>
        <v>192.270748968432</v>
      </c>
      <c r="E237" s="1298" t="n">
        <f aca="false">'[3]Monthly Curve Calc.'!E240</f>
        <v>24.2050000000001</v>
      </c>
      <c r="F237" s="1299" t="n">
        <f aca="false">'[3]Monthly Curve Calc.'!F240</f>
        <v>2.88168719170494</v>
      </c>
      <c r="G237" s="1306" t="n">
        <f aca="false">IF(AND($A237&gt;G$16,MONTH($A237)=MONTH(G$16)),B236/B224,G236)</f>
        <v>1.07</v>
      </c>
      <c r="H237" s="1304" t="n">
        <f aca="false">IF(AND($A237&gt;H$16,MONTH($A237)=MONTH(H$16)),C236/C224,H236)</f>
        <v>1.02527113365492</v>
      </c>
      <c r="I237" s="1304" t="n">
        <f aca="false">IF(AND($A237&gt;I$16,MONTH($A237)=MONTH(I$16)),C236/C224-I$18,I236)</f>
        <v>1.02277113365492</v>
      </c>
      <c r="J237" s="1304" t="n">
        <f aca="false">IF(AND($A237&gt;J$16,MONTH($A237)=MONTH(J$16)),D236/D224,J236)</f>
        <v>1.01560833170368</v>
      </c>
      <c r="K237" s="1307" t="n">
        <f aca="false">IF($A237&gt;=K$16,IF(MONTH($A237)=MONTH(K$16),AVERAGE(E225:E236),K236),K236)</f>
        <v>23.8300000000001</v>
      </c>
      <c r="L237" s="1266" t="n">
        <f aca="false">L236+1</f>
        <v>225</v>
      </c>
      <c r="M237" s="1303" t="n">
        <f aca="false">HLOOKUP(M$14,Dec_Change,$L237)</f>
        <v>1.02527113365492</v>
      </c>
      <c r="N237" s="1304" t="n">
        <f aca="false">N236</f>
        <v>1.005</v>
      </c>
      <c r="O237" s="1307" t="n">
        <f aca="false">IF(AND($A237&gt;=O$16,MONTH($A237)=MONTH(O$16)),MAX(M237,N237)*O236,O236)</f>
        <v>1.55739783154092</v>
      </c>
      <c r="Q237" s="1303" t="n">
        <f aca="false">HLOOKUP(Q$14,Dec_Change,$L237)</f>
        <v>1.02527113365492</v>
      </c>
      <c r="R237" s="1304" t="n">
        <f aca="false">R236</f>
        <v>0</v>
      </c>
      <c r="S237" s="1307" t="n">
        <f aca="false">IF(AND($A237&gt;=S$16,MONTH($A237)=MONTH(S$16)),MAX(Q237,R237)*S236,S236)</f>
        <v>1.46636584703877</v>
      </c>
    </row>
    <row r="238" customFormat="false" ht="12.75" hidden="false" customHeight="false" outlineLevel="0" collapsed="false">
      <c r="A238" s="1305" t="n">
        <f aca="false">EDATE(A237,1)</f>
        <v>42064</v>
      </c>
      <c r="B238" s="1297" t="n">
        <f aca="false">'[3]Monthly Curve Calc.'!B241</f>
        <v>546.796282070411</v>
      </c>
      <c r="C238" s="1298" t="n">
        <f aca="false">'[3]Monthly Curve Calc.'!C241</f>
        <v>255.347490147154</v>
      </c>
      <c r="D238" s="1298" t="n">
        <f aca="false">'[3]Monthly Curve Calc.'!D241</f>
        <v>192.524788241577</v>
      </c>
      <c r="E238" s="1298" t="n">
        <f aca="false">'[3]Monthly Curve Calc.'!E241</f>
        <v>24.2550000000001</v>
      </c>
      <c r="F238" s="1299" t="n">
        <f aca="false">'[3]Monthly Curve Calc.'!F241</f>
        <v>2.8864398386607</v>
      </c>
      <c r="G238" s="1306" t="n">
        <f aca="false">IF(AND($A238&gt;G$16,MONTH($A238)=MONTH(G$16)),B237/B225,G237)</f>
        <v>1.07</v>
      </c>
      <c r="H238" s="1304" t="n">
        <f aca="false">IF(AND($A238&gt;H$16,MONTH($A238)=MONTH(H$16)),C237/C225,H237)</f>
        <v>1.02527113365492</v>
      </c>
      <c r="I238" s="1304" t="n">
        <f aca="false">IF(AND($A238&gt;I$16,MONTH($A238)=MONTH(I$16)),C237/C225-I$18,I237)</f>
        <v>1.02277113365492</v>
      </c>
      <c r="J238" s="1304" t="n">
        <f aca="false">IF(AND($A238&gt;J$16,MONTH($A238)=MONTH(J$16)),D237/D225,J237)</f>
        <v>1.01560833170368</v>
      </c>
      <c r="K238" s="1307" t="n">
        <f aca="false">IF($A238&gt;=K$16,IF(MONTH($A238)=MONTH(K$16),AVERAGE(E226:E237),K237),K237)</f>
        <v>23.8300000000001</v>
      </c>
      <c r="L238" s="1266" t="n">
        <f aca="false">L237+1</f>
        <v>226</v>
      </c>
      <c r="M238" s="1303" t="n">
        <f aca="false">HLOOKUP(M$14,Dec_Change,$L238)</f>
        <v>1.02527113365492</v>
      </c>
      <c r="N238" s="1304" t="n">
        <f aca="false">N237</f>
        <v>1.005</v>
      </c>
      <c r="O238" s="1307" t="n">
        <f aca="false">IF(AND($A238&gt;=O$16,MONTH($A238)=MONTH(O$16)),MAX(M238,N238)*O237,O237)</f>
        <v>1.55739783154092</v>
      </c>
      <c r="Q238" s="1303" t="n">
        <f aca="false">HLOOKUP(Q$14,Dec_Change,$L238)</f>
        <v>1.02527113365492</v>
      </c>
      <c r="R238" s="1304" t="n">
        <f aca="false">R237</f>
        <v>0</v>
      </c>
      <c r="S238" s="1307" t="n">
        <f aca="false">IF(AND($A238&gt;=S$16,MONTH($A238)=MONTH(S$16)),MAX(Q238,R238)*S237,S237)</f>
        <v>1.46636584703877</v>
      </c>
    </row>
    <row r="239" customFormat="false" ht="12.75" hidden="false" customHeight="false" outlineLevel="0" collapsed="false">
      <c r="A239" s="1305" t="n">
        <f aca="false">EDATE(A238,1)</f>
        <v>42095</v>
      </c>
      <c r="B239" s="1297" t="n">
        <f aca="false">'[3]Monthly Curve Calc.'!B242</f>
        <v>549.845103226873</v>
      </c>
      <c r="C239" s="1298" t="n">
        <f aca="false">'[3]Monthly Curve Calc.'!C242</f>
        <v>255.892329798289</v>
      </c>
      <c r="D239" s="1298" t="n">
        <f aca="false">'[3]Monthly Curve Calc.'!D242</f>
        <v>192.779163166153</v>
      </c>
      <c r="E239" s="1298" t="n">
        <f aca="false">'[3]Monthly Curve Calc.'!E242</f>
        <v>24.3050000000001</v>
      </c>
      <c r="F239" s="1299" t="n">
        <f aca="false">'[3]Monthly Curve Calc.'!F242</f>
        <v>2.89120032395961</v>
      </c>
      <c r="G239" s="1306" t="n">
        <f aca="false">IF(AND($A239&gt;G$16,MONTH($A239)=MONTH(G$16)),B238/B226,G238)</f>
        <v>1.07</v>
      </c>
      <c r="H239" s="1304" t="n">
        <f aca="false">IF(AND($A239&gt;H$16,MONTH($A239)=MONTH(H$16)),C238/C226,H238)</f>
        <v>1.02527113365492</v>
      </c>
      <c r="I239" s="1304" t="n">
        <f aca="false">IF(AND($A239&gt;I$16,MONTH($A239)=MONTH(I$16)),C238/C226-I$18,I238)</f>
        <v>1.02277113365492</v>
      </c>
      <c r="J239" s="1304" t="n">
        <f aca="false">IF(AND($A239&gt;J$16,MONTH($A239)=MONTH(J$16)),D238/D226,J238)</f>
        <v>1.01560833170368</v>
      </c>
      <c r="K239" s="1307" t="n">
        <f aca="false">IF($A239&gt;=K$16,IF(MONTH($A239)=MONTH(K$16),AVERAGE(E227:E238),K238),K238)</f>
        <v>23.8300000000001</v>
      </c>
      <c r="L239" s="1266" t="n">
        <f aca="false">L238+1</f>
        <v>227</v>
      </c>
      <c r="M239" s="1303" t="n">
        <f aca="false">HLOOKUP(M$14,Dec_Change,$L239)</f>
        <v>1.02527113365492</v>
      </c>
      <c r="N239" s="1304" t="n">
        <f aca="false">N238</f>
        <v>1.005</v>
      </c>
      <c r="O239" s="1307" t="n">
        <f aca="false">IF(AND($A239&gt;=O$16,MONTH($A239)=MONTH(O$16)),MAX(M239,N239)*O238,O238)</f>
        <v>1.55739783154092</v>
      </c>
      <c r="Q239" s="1303" t="n">
        <f aca="false">HLOOKUP(Q$14,Dec_Change,$L239)</f>
        <v>1.02527113365492</v>
      </c>
      <c r="R239" s="1304" t="n">
        <f aca="false">R238</f>
        <v>0</v>
      </c>
      <c r="S239" s="1307" t="n">
        <f aca="false">IF(AND($A239&gt;=S$16,MONTH($A239)=MONTH(S$16)),MAX(Q239,R239)*S238,S238)</f>
        <v>1.46636584703877</v>
      </c>
    </row>
    <row r="240" customFormat="false" ht="12.75" hidden="false" customHeight="false" outlineLevel="0" collapsed="false">
      <c r="A240" s="1305" t="n">
        <f aca="false">EDATE(A239,1)</f>
        <v>42125</v>
      </c>
      <c r="B240" s="1297" t="n">
        <f aca="false">'[3]Monthly Curve Calc.'!B243</f>
        <v>552.910923969377</v>
      </c>
      <c r="C240" s="1298" t="n">
        <f aca="false">'[3]Monthly Curve Calc.'!C243</f>
        <v>256.438331983841</v>
      </c>
      <c r="D240" s="1298" t="n">
        <f aca="false">'[3]Monthly Curve Calc.'!D243</f>
        <v>193.033874185644</v>
      </c>
      <c r="E240" s="1298" t="n">
        <f aca="false">'[3]Monthly Curve Calc.'!E243</f>
        <v>24.3550000000001</v>
      </c>
      <c r="F240" s="1299" t="n">
        <f aca="false">'[3]Monthly Curve Calc.'!F243</f>
        <v>2.89596866052913</v>
      </c>
      <c r="G240" s="1306" t="n">
        <f aca="false">IF(AND($A240&gt;G$16,MONTH($A240)=MONTH(G$16)),B239/B227,G239)</f>
        <v>1.06966656277056</v>
      </c>
      <c r="H240" s="1304" t="n">
        <f aca="false">IF(AND($A240&gt;H$16,MONTH($A240)=MONTH(H$16)),C239/C227,H239)</f>
        <v>1.02564056909022</v>
      </c>
      <c r="I240" s="1304" t="n">
        <f aca="false">IF(AND($A240&gt;I$16,MONTH($A240)=MONTH(I$16)),C239/C227-I$18,I239)</f>
        <v>1.02314056909022</v>
      </c>
      <c r="J240" s="1304" t="n">
        <f aca="false">IF(AND($A240&gt;J$16,MONTH($A240)=MONTH(J$16)),D239/D227,J239)</f>
        <v>1.01560833170368</v>
      </c>
      <c r="K240" s="1307" t="n">
        <f aca="false">IF($A240&gt;=K$16,IF(MONTH($A240)=MONTH(K$16),AVERAGE(E228:E239),K239),K239)</f>
        <v>23.8300000000001</v>
      </c>
      <c r="L240" s="1266" t="n">
        <f aca="false">L239+1</f>
        <v>228</v>
      </c>
      <c r="M240" s="1303" t="n">
        <f aca="false">HLOOKUP(M$14,Dec_Change,$L240)</f>
        <v>1.02564056909022</v>
      </c>
      <c r="N240" s="1304" t="n">
        <f aca="false">N239</f>
        <v>1.005</v>
      </c>
      <c r="O240" s="1307" t="n">
        <f aca="false">IF(AND($A240&gt;=O$16,MONTH($A240)=MONTH(O$16)),MAX(M240,N240)*O239,O239)</f>
        <v>1.59733039824151</v>
      </c>
      <c r="Q240" s="1303" t="n">
        <f aca="false">HLOOKUP(Q$14,Dec_Change,$L240)</f>
        <v>1.02564056909022</v>
      </c>
      <c r="R240" s="1304" t="n">
        <f aca="false">R239</f>
        <v>0</v>
      </c>
      <c r="S240" s="1307" t="n">
        <f aca="false">IF(AND($A240&gt;=S$16,MONTH($A240)=MONTH(S$16)),MAX(Q240,R240)*S239,S239)</f>
        <v>1.46636584703877</v>
      </c>
    </row>
    <row r="241" customFormat="false" ht="12.75" hidden="false" customHeight="false" outlineLevel="0" collapsed="false">
      <c r="A241" s="1305" t="n">
        <f aca="false">EDATE(A240,1)</f>
        <v>42156</v>
      </c>
      <c r="B241" s="1297" t="n">
        <f aca="false">'[3]Monthly Curve Calc.'!B244</f>
        <v>555.993839084041</v>
      </c>
      <c r="C241" s="1298" t="n">
        <f aca="false">'[3]Monthly Curve Calc.'!C244</f>
        <v>256.98549918433</v>
      </c>
      <c r="D241" s="1298" t="n">
        <f aca="false">'[3]Monthly Curve Calc.'!D244</f>
        <v>193.288921744118</v>
      </c>
      <c r="E241" s="1298" t="n">
        <f aca="false">'[3]Monthly Curve Calc.'!E244</f>
        <v>24.4050000000001</v>
      </c>
      <c r="F241" s="1299" t="n">
        <f aca="false">'[3]Monthly Curve Calc.'!F244</f>
        <v>2.90074486131804</v>
      </c>
      <c r="G241" s="1306" t="n">
        <f aca="false">IF(AND($A241&gt;G$16,MONTH($A241)=MONTH(G$16)),B240/B228,G240)</f>
        <v>1.06966656277056</v>
      </c>
      <c r="H241" s="1304" t="n">
        <f aca="false">IF(AND($A241&gt;H$16,MONTH($A241)=MONTH(H$16)),C240/C228,H240)</f>
        <v>1.02564056909022</v>
      </c>
      <c r="I241" s="1304" t="n">
        <f aca="false">IF(AND($A241&gt;I$16,MONTH($A241)=MONTH(I$16)),C240/C228-I$18,I240)</f>
        <v>1.02314056909022</v>
      </c>
      <c r="J241" s="1304" t="n">
        <f aca="false">IF(AND($A241&gt;J$16,MONTH($A241)=MONTH(J$16)),D240/D228,J240)</f>
        <v>1.01560833170368</v>
      </c>
      <c r="K241" s="1307" t="n">
        <f aca="false">IF($A241&gt;=K$16,IF(MONTH($A241)=MONTH(K$16),AVERAGE(E229:E240),K240),K240)</f>
        <v>23.8300000000001</v>
      </c>
      <c r="L241" s="1266" t="n">
        <f aca="false">L240+1</f>
        <v>229</v>
      </c>
      <c r="M241" s="1303" t="n">
        <f aca="false">HLOOKUP(M$14,Dec_Change,$L241)</f>
        <v>1.02564056909022</v>
      </c>
      <c r="N241" s="1304" t="n">
        <f aca="false">N240</f>
        <v>1.005</v>
      </c>
      <c r="O241" s="1307" t="n">
        <f aca="false">IF(AND($A241&gt;=O$16,MONTH($A241)=MONTH(O$16)),MAX(M241,N241)*O240,O240)</f>
        <v>1.59733039824151</v>
      </c>
      <c r="Q241" s="1303" t="n">
        <f aca="false">HLOOKUP(Q$14,Dec_Change,$L241)</f>
        <v>1.02564056909022</v>
      </c>
      <c r="R241" s="1304" t="n">
        <f aca="false">R240</f>
        <v>0</v>
      </c>
      <c r="S241" s="1307" t="n">
        <f aca="false">IF(AND($A241&gt;=S$16,MONTH($A241)=MONTH(S$16)),MAX(Q241,R241)*S240,S240)</f>
        <v>1.50396430185131</v>
      </c>
    </row>
    <row r="242" customFormat="false" ht="12.75" hidden="false" customHeight="false" outlineLevel="0" collapsed="false">
      <c r="A242" s="1305" t="n">
        <f aca="false">EDATE(A241,1)</f>
        <v>42186</v>
      </c>
      <c r="B242" s="1297" t="n">
        <f aca="false">'[3]Monthly Curve Calc.'!B245</f>
        <v>559.093943885492</v>
      </c>
      <c r="C242" s="1298" t="n">
        <f aca="false">'[3]Monthly Curve Calc.'!C245</f>
        <v>257.53383388557</v>
      </c>
      <c r="D242" s="1298" t="n">
        <f aca="false">'[3]Monthly Curve Calc.'!D245</f>
        <v>193.544306286229</v>
      </c>
      <c r="E242" s="1298" t="n">
        <f aca="false">'[3]Monthly Curve Calc.'!E245</f>
        <v>24.4550000000001</v>
      </c>
      <c r="F242" s="1299" t="n">
        <f aca="false">'[3]Monthly Curve Calc.'!F245</f>
        <v>2.90552893929647</v>
      </c>
      <c r="G242" s="1306" t="n">
        <f aca="false">IF(AND($A242&gt;G$16,MONTH($A242)=MONTH(G$16)),B241/B229,G241)</f>
        <v>1.06966656277056</v>
      </c>
      <c r="H242" s="1304" t="n">
        <f aca="false">IF(AND($A242&gt;H$16,MONTH($A242)=MONTH(H$16)),C241/C229,H241)</f>
        <v>1.02564056909022</v>
      </c>
      <c r="I242" s="1304" t="n">
        <f aca="false">IF(AND($A242&gt;I$16,MONTH($A242)=MONTH(I$16)),C241/C229-I$18,I241)</f>
        <v>1.02314056909022</v>
      </c>
      <c r="J242" s="1304" t="n">
        <f aca="false">IF(AND($A242&gt;J$16,MONTH($A242)=MONTH(J$16)),D241/D229,J241)</f>
        <v>1.01560833170368</v>
      </c>
      <c r="K242" s="1307" t="n">
        <f aca="false">IF($A242&gt;=K$16,IF(MONTH($A242)=MONTH(K$16),AVERAGE(E230:E241),K241),K241)</f>
        <v>23.8300000000001</v>
      </c>
      <c r="L242" s="1266" t="n">
        <f aca="false">L241+1</f>
        <v>230</v>
      </c>
      <c r="M242" s="1303" t="n">
        <f aca="false">HLOOKUP(M$14,Dec_Change,$L242)</f>
        <v>1.02564056909022</v>
      </c>
      <c r="N242" s="1304" t="n">
        <f aca="false">N241</f>
        <v>1.005</v>
      </c>
      <c r="O242" s="1307" t="n">
        <f aca="false">IF(AND($A242&gt;=O$16,MONTH($A242)=MONTH(O$16)),MAX(M242,N242)*O241,O241)</f>
        <v>1.59733039824151</v>
      </c>
      <c r="Q242" s="1303" t="n">
        <f aca="false">HLOOKUP(Q$14,Dec_Change,$L242)</f>
        <v>1.02564056909022</v>
      </c>
      <c r="R242" s="1304" t="n">
        <f aca="false">R241</f>
        <v>0</v>
      </c>
      <c r="S242" s="1307" t="n">
        <f aca="false">IF(AND($A242&gt;=S$16,MONTH($A242)=MONTH(S$16)),MAX(Q242,R242)*S241,S241)</f>
        <v>1.50396430185131</v>
      </c>
    </row>
    <row r="243" customFormat="false" ht="12.75" hidden="false" customHeight="false" outlineLevel="0" collapsed="false">
      <c r="A243" s="1305" t="n">
        <f aca="false">EDATE(A242,1)</f>
        <v>42217</v>
      </c>
      <c r="B243" s="1297" t="n">
        <f aca="false">'[3]Monthly Curve Calc.'!B246</f>
        <v>562.211334219812</v>
      </c>
      <c r="C243" s="1298" t="n">
        <f aca="false">'[3]Monthly Curve Calc.'!C246</f>
        <v>258.08333857868</v>
      </c>
      <c r="D243" s="1298" t="n">
        <f aca="false">'[3]Monthly Curve Calc.'!D246</f>
        <v>193.80002825722</v>
      </c>
      <c r="E243" s="1298" t="n">
        <f aca="false">'[3]Monthly Curve Calc.'!E246</f>
        <v>24.5050000000001</v>
      </c>
      <c r="F243" s="1299" t="n">
        <f aca="false">'[3]Monthly Curve Calc.'!F246</f>
        <v>2.91032090745594</v>
      </c>
      <c r="G243" s="1306" t="n">
        <f aca="false">IF(AND($A243&gt;G$16,MONTH($A243)=MONTH(G$16)),B242/B230,G242)</f>
        <v>1.06966656277056</v>
      </c>
      <c r="H243" s="1304" t="n">
        <f aca="false">IF(AND($A243&gt;H$16,MONTH($A243)=MONTH(H$16)),C242/C230,H242)</f>
        <v>1.02564056909022</v>
      </c>
      <c r="I243" s="1304" t="n">
        <f aca="false">IF(AND($A243&gt;I$16,MONTH($A243)=MONTH(I$16)),C242/C230-I$18,I242)</f>
        <v>1.02314056909022</v>
      </c>
      <c r="J243" s="1304" t="n">
        <f aca="false">IF(AND($A243&gt;J$16,MONTH($A243)=MONTH(J$16)),D242/D230,J242)</f>
        <v>1.01560833170368</v>
      </c>
      <c r="K243" s="1307" t="n">
        <f aca="false">IF($A243&gt;=K$16,IF(MONTH($A243)=MONTH(K$16),AVERAGE(E231:E242),K242),K242)</f>
        <v>23.8300000000001</v>
      </c>
      <c r="L243" s="1266" t="n">
        <f aca="false">L242+1</f>
        <v>231</v>
      </c>
      <c r="M243" s="1303" t="n">
        <f aca="false">HLOOKUP(M$14,Dec_Change,$L243)</f>
        <v>1.02564056909022</v>
      </c>
      <c r="N243" s="1304" t="n">
        <f aca="false">N242</f>
        <v>1.005</v>
      </c>
      <c r="O243" s="1307" t="n">
        <f aca="false">IF(AND($A243&gt;=O$16,MONTH($A243)=MONTH(O$16)),MAX(M243,N243)*O242,O242)</f>
        <v>1.59733039824151</v>
      </c>
      <c r="Q243" s="1303" t="n">
        <f aca="false">HLOOKUP(Q$14,Dec_Change,$L243)</f>
        <v>1.02564056909022</v>
      </c>
      <c r="R243" s="1304" t="n">
        <f aca="false">R242</f>
        <v>0</v>
      </c>
      <c r="S243" s="1307" t="n">
        <f aca="false">IF(AND($A243&gt;=S$16,MONTH($A243)=MONTH(S$16)),MAX(Q243,R243)*S242,S242)</f>
        <v>1.50396430185131</v>
      </c>
    </row>
    <row r="244" customFormat="false" ht="12.75" hidden="false" customHeight="false" outlineLevel="0" collapsed="false">
      <c r="A244" s="1305" t="n">
        <f aca="false">EDATE(A243,1)</f>
        <v>42248</v>
      </c>
      <c r="B244" s="1297" t="n">
        <f aca="false">'[3]Monthly Curve Calc.'!B247</f>
        <v>565.346106467498</v>
      </c>
      <c r="C244" s="1298" t="n">
        <f aca="false">'[3]Monthly Curve Calc.'!C247</f>
        <v>258.634015760092</v>
      </c>
      <c r="D244" s="1298" t="n">
        <f aca="false">'[3]Monthly Curve Calc.'!D247</f>
        <v>194.056088102922</v>
      </c>
      <c r="E244" s="1298" t="n">
        <f aca="false">'[3]Monthly Curve Calc.'!E247</f>
        <v>24.5550000000001</v>
      </c>
      <c r="F244" s="1299" t="n">
        <f aca="false">'[3]Monthly Curve Calc.'!F247</f>
        <v>2.91512077880939</v>
      </c>
      <c r="G244" s="1306" t="n">
        <f aca="false">IF(AND($A244&gt;G$16,MONTH($A244)=MONTH(G$16)),B243/B231,G243)</f>
        <v>1.06966656277056</v>
      </c>
      <c r="H244" s="1304" t="n">
        <f aca="false">IF(AND($A244&gt;H$16,MONTH($A244)=MONTH(H$16)),C243/C231,H243)</f>
        <v>1.02564056909022</v>
      </c>
      <c r="I244" s="1304" t="n">
        <f aca="false">IF(AND($A244&gt;I$16,MONTH($A244)=MONTH(I$16)),C243/C231-I$18,I243)</f>
        <v>1.02314056909022</v>
      </c>
      <c r="J244" s="1304" t="n">
        <f aca="false">IF(AND($A244&gt;J$16,MONTH($A244)=MONTH(J$16)),D243/D231,J243)</f>
        <v>1.01560833170368</v>
      </c>
      <c r="K244" s="1307" t="n">
        <f aca="false">IF($A244&gt;=K$16,IF(MONTH($A244)=MONTH(K$16),AVERAGE(E232:E243),K243),K243)</f>
        <v>23.8300000000001</v>
      </c>
      <c r="L244" s="1266" t="n">
        <f aca="false">L243+1</f>
        <v>232</v>
      </c>
      <c r="M244" s="1303" t="n">
        <f aca="false">HLOOKUP(M$14,Dec_Change,$L244)</f>
        <v>1.02564056909022</v>
      </c>
      <c r="N244" s="1304" t="n">
        <f aca="false">N243</f>
        <v>1.005</v>
      </c>
      <c r="O244" s="1307" t="n">
        <f aca="false">IF(AND($A244&gt;=O$16,MONTH($A244)=MONTH(O$16)),MAX(M244,N244)*O243,O243)</f>
        <v>1.59733039824151</v>
      </c>
      <c r="Q244" s="1303" t="n">
        <f aca="false">HLOOKUP(Q$14,Dec_Change,$L244)</f>
        <v>1.02564056909022</v>
      </c>
      <c r="R244" s="1304" t="n">
        <f aca="false">R243</f>
        <v>0</v>
      </c>
      <c r="S244" s="1307" t="n">
        <f aca="false">IF(AND($A244&gt;=S$16,MONTH($A244)=MONTH(S$16)),MAX(Q244,R244)*S243,S243)</f>
        <v>1.50396430185131</v>
      </c>
    </row>
    <row r="245" customFormat="false" ht="12.75" hidden="false" customHeight="false" outlineLevel="0" collapsed="false">
      <c r="A245" s="1305" t="n">
        <f aca="false">EDATE(A244,1)</f>
        <v>42278</v>
      </c>
      <c r="B245" s="1297" t="n">
        <f aca="false">'[3]Monthly Curve Calc.'!B248</f>
        <v>568.498357546447</v>
      </c>
      <c r="C245" s="1298" t="n">
        <f aca="false">'[3]Monthly Curve Calc.'!C248</f>
        <v>259.185867931567</v>
      </c>
      <c r="D245" s="1298" t="n">
        <f aca="false">'[3]Monthly Curve Calc.'!D248</f>
        <v>194.312486269754</v>
      </c>
      <c r="E245" s="1298" t="n">
        <f aca="false">'[3]Monthly Curve Calc.'!E248</f>
        <v>24.6050000000001</v>
      </c>
      <c r="F245" s="1299" t="n">
        <f aca="false">'[3]Monthly Curve Calc.'!F248</f>
        <v>2.91992856639125</v>
      </c>
      <c r="G245" s="1306" t="n">
        <f aca="false">IF(AND($A245&gt;G$16,MONTH($A245)=MONTH(G$16)),B244/B232,G244)</f>
        <v>1.06966656277056</v>
      </c>
      <c r="H245" s="1304" t="n">
        <f aca="false">IF(AND($A245&gt;H$16,MONTH($A245)=MONTH(H$16)),C244/C232,H244)</f>
        <v>1.02564056909022</v>
      </c>
      <c r="I245" s="1304" t="n">
        <f aca="false">IF(AND($A245&gt;I$16,MONTH($A245)=MONTH(I$16)),C244/C232-I$18,I244)</f>
        <v>1.02314056909022</v>
      </c>
      <c r="J245" s="1304" t="n">
        <f aca="false">IF(AND($A245&gt;J$16,MONTH($A245)=MONTH(J$16)),D244/D232,J244)</f>
        <v>1.01560833170368</v>
      </c>
      <c r="K245" s="1307" t="n">
        <f aca="false">IF($A245&gt;=K$16,IF(MONTH($A245)=MONTH(K$16),AVERAGE(E233:E244),K244),K244)</f>
        <v>23.8300000000001</v>
      </c>
      <c r="L245" s="1266" t="n">
        <f aca="false">L244+1</f>
        <v>233</v>
      </c>
      <c r="M245" s="1303" t="n">
        <f aca="false">HLOOKUP(M$14,Dec_Change,$L245)</f>
        <v>1.02564056909022</v>
      </c>
      <c r="N245" s="1304" t="n">
        <f aca="false">N244</f>
        <v>1.005</v>
      </c>
      <c r="O245" s="1307" t="n">
        <f aca="false">IF(AND($A245&gt;=O$16,MONTH($A245)=MONTH(O$16)),MAX(M245,N245)*O244,O244)</f>
        <v>1.59733039824151</v>
      </c>
      <c r="Q245" s="1303" t="n">
        <f aca="false">HLOOKUP(Q$14,Dec_Change,$L245)</f>
        <v>1.02564056909022</v>
      </c>
      <c r="R245" s="1304" t="n">
        <f aca="false">R244</f>
        <v>0</v>
      </c>
      <c r="S245" s="1307" t="n">
        <f aca="false">IF(AND($A245&gt;=S$16,MONTH($A245)=MONTH(S$16)),MAX(Q245,R245)*S244,S244)</f>
        <v>1.50396430185131</v>
      </c>
    </row>
    <row r="246" customFormat="false" ht="12.75" hidden="false" customHeight="false" outlineLevel="0" collapsed="false">
      <c r="A246" s="1305" t="n">
        <f aca="false">EDATE(A245,1)</f>
        <v>42309</v>
      </c>
      <c r="B246" s="1297" t="n">
        <f aca="false">'[3]Monthly Curve Calc.'!B249</f>
        <v>571.668184914949</v>
      </c>
      <c r="C246" s="1298" t="n">
        <f aca="false">'[3]Monthly Curve Calc.'!C249</f>
        <v>259.738897600203</v>
      </c>
      <c r="D246" s="1298" t="n">
        <f aca="false">'[3]Monthly Curve Calc.'!D249</f>
        <v>194.569223204725</v>
      </c>
      <c r="E246" s="1298" t="n">
        <f aca="false">'[3]Monthly Curve Calc.'!E249</f>
        <v>24.6550000000001</v>
      </c>
      <c r="F246" s="1299" t="n">
        <f aca="false">'[3]Monthly Curve Calc.'!F249</f>
        <v>2.9247442832574</v>
      </c>
      <c r="G246" s="1306" t="n">
        <f aca="false">IF(AND($A246&gt;G$16,MONTH($A246)=MONTH(G$16)),B245/B233,G245)</f>
        <v>1.06966656277056</v>
      </c>
      <c r="H246" s="1304" t="n">
        <f aca="false">IF(AND($A246&gt;H$16,MONTH($A246)=MONTH(H$16)),C245/C233,H245)</f>
        <v>1.02564056909022</v>
      </c>
      <c r="I246" s="1304" t="n">
        <f aca="false">IF(AND($A246&gt;I$16,MONTH($A246)=MONTH(I$16)),C245/C233-I$18,I245)</f>
        <v>1.02314056909022</v>
      </c>
      <c r="J246" s="1304" t="n">
        <f aca="false">IF(AND($A246&gt;J$16,MONTH($A246)=MONTH(J$16)),D245/D233,J245)</f>
        <v>1.01560833170368</v>
      </c>
      <c r="K246" s="1307" t="n">
        <f aca="false">IF($A246&gt;=K$16,IF(MONTH($A246)=MONTH(K$16),AVERAGE(E234:E245),K245),K245)</f>
        <v>23.8300000000001</v>
      </c>
      <c r="L246" s="1266" t="n">
        <f aca="false">L245+1</f>
        <v>234</v>
      </c>
      <c r="M246" s="1303" t="n">
        <f aca="false">HLOOKUP(M$14,Dec_Change,$L246)</f>
        <v>1.02564056909022</v>
      </c>
      <c r="N246" s="1304" t="n">
        <f aca="false">N245</f>
        <v>1.005</v>
      </c>
      <c r="O246" s="1307" t="n">
        <f aca="false">IF(AND($A246&gt;=O$16,MONTH($A246)=MONTH(O$16)),MAX(M246,N246)*O245,O245)</f>
        <v>1.59733039824151</v>
      </c>
      <c r="Q246" s="1303" t="n">
        <f aca="false">HLOOKUP(Q$14,Dec_Change,$L246)</f>
        <v>1.02564056909022</v>
      </c>
      <c r="R246" s="1304" t="n">
        <f aca="false">R245</f>
        <v>0</v>
      </c>
      <c r="S246" s="1307" t="n">
        <f aca="false">IF(AND($A246&gt;=S$16,MONTH($A246)=MONTH(S$16)),MAX(Q246,R246)*S245,S245)</f>
        <v>1.50396430185131</v>
      </c>
    </row>
    <row r="247" customFormat="false" ht="12.75" hidden="false" customHeight="false" outlineLevel="0" collapsed="false">
      <c r="A247" s="1305" t="n">
        <f aca="false">EDATE(A246,1)</f>
        <v>42339</v>
      </c>
      <c r="B247" s="1297" t="n">
        <f aca="false">'[3]Monthly Curve Calc.'!B250</f>
        <v>574.8556865747</v>
      </c>
      <c r="C247" s="1298" t="n">
        <f aca="false">'[3]Monthly Curve Calc.'!C250</f>
        <v>260.293107278446</v>
      </c>
      <c r="D247" s="1298" t="n">
        <f aca="false">'[3]Monthly Curve Calc.'!D250</f>
        <v>194.826299355436</v>
      </c>
      <c r="E247" s="1298" t="n">
        <f aca="false">'[3]Monthly Curve Calc.'!E250</f>
        <v>24.7050000000001</v>
      </c>
      <c r="F247" s="1299" t="n">
        <f aca="false">'[3]Monthly Curve Calc.'!F250</f>
        <v>2.9295679424853</v>
      </c>
      <c r="G247" s="1306" t="n">
        <f aca="false">IF(AND($A247&gt;G$16,MONTH($A247)=MONTH(G$16)),B246/B234,G246)</f>
        <v>1.06966656277056</v>
      </c>
      <c r="H247" s="1304" t="n">
        <f aca="false">IF(AND($A247&gt;H$16,MONTH($A247)=MONTH(H$16)),C246/C234,H246)</f>
        <v>1.02564056909022</v>
      </c>
      <c r="I247" s="1304" t="n">
        <f aca="false">IF(AND($A247&gt;I$16,MONTH($A247)=MONTH(I$16)),C246/C234-I$18,I246)</f>
        <v>1.02314056909022</v>
      </c>
      <c r="J247" s="1304" t="n">
        <f aca="false">IF(AND($A247&gt;J$16,MONTH($A247)=MONTH(J$16)),D246/D234,J246)</f>
        <v>1.01560833170368</v>
      </c>
      <c r="K247" s="1307" t="n">
        <f aca="false">IF($A247&gt;=K$16,IF(MONTH($A247)=MONTH(K$16),AVERAGE(E235:E246),K246),K246)</f>
        <v>23.8300000000001</v>
      </c>
      <c r="L247" s="1266" t="n">
        <f aca="false">L246+1</f>
        <v>235</v>
      </c>
      <c r="M247" s="1303" t="n">
        <f aca="false">HLOOKUP(M$14,Dec_Change,$L247)</f>
        <v>1.02564056909022</v>
      </c>
      <c r="N247" s="1304" t="n">
        <f aca="false">N246</f>
        <v>1.005</v>
      </c>
      <c r="O247" s="1307" t="n">
        <f aca="false">IF(AND($A247&gt;=O$16,MONTH($A247)=MONTH(O$16)),MAX(M247,N247)*O246,O246)</f>
        <v>1.59733039824151</v>
      </c>
      <c r="Q247" s="1303" t="n">
        <f aca="false">HLOOKUP(Q$14,Dec_Change,$L247)</f>
        <v>1.02564056909022</v>
      </c>
      <c r="R247" s="1304" t="n">
        <f aca="false">R246</f>
        <v>0</v>
      </c>
      <c r="S247" s="1307" t="n">
        <f aca="false">IF(AND($A247&gt;=S$16,MONTH($A247)=MONTH(S$16)),MAX(Q247,R247)*S246,S246)</f>
        <v>1.50396430185131</v>
      </c>
    </row>
    <row r="248" customFormat="false" ht="12.75" hidden="false" customHeight="false" outlineLevel="0" collapsed="false">
      <c r="A248" s="1305" t="n">
        <f aca="false">EDATE(A247,1)</f>
        <v>42370</v>
      </c>
      <c r="B248" s="1297" t="n">
        <f aca="false">'[3]Monthly Curve Calc.'!B251</f>
        <v>578.060961073834</v>
      </c>
      <c r="C248" s="1298" t="n">
        <f aca="false">'[3]Monthly Curve Calc.'!C251</f>
        <v>260.859267560075</v>
      </c>
      <c r="D248" s="1298" t="n">
        <f aca="false">'[3]Monthly Curve Calc.'!D251</f>
        <v>195.094312690353</v>
      </c>
      <c r="E248" s="1298" t="n">
        <f aca="false">'[3]Monthly Curve Calc.'!E251</f>
        <v>24.7359027777779</v>
      </c>
      <c r="F248" s="1299" t="n">
        <f aca="false">'[3]Monthly Curve Calc.'!F251</f>
        <v>2.9344084151188</v>
      </c>
      <c r="G248" s="1306" t="n">
        <f aca="false">IF(AND($A248&gt;G$16,MONTH($A248)=MONTH(G$16)),B247/B235,G247)</f>
        <v>1.06966656277056</v>
      </c>
      <c r="H248" s="1304" t="n">
        <f aca="false">IF(AND($A248&gt;H$16,MONTH($A248)=MONTH(H$16)),C247/C235,H247)</f>
        <v>1.02564056909022</v>
      </c>
      <c r="I248" s="1304" t="n">
        <f aca="false">IF(AND($A248&gt;I$16,MONTH($A248)=MONTH(I$16)),C247/C235-I$18,I247)</f>
        <v>1.02314056909022</v>
      </c>
      <c r="J248" s="1304" t="n">
        <f aca="false">IF(AND($A248&gt;J$16,MONTH($A248)=MONTH(J$16)),D247/D235,J247)</f>
        <v>1.01597082315161</v>
      </c>
      <c r="K248" s="1307" t="n">
        <f aca="false">IF($A248&gt;=K$16,IF(MONTH($A248)=MONTH(K$16),AVERAGE(E236:E247),K247),K247)</f>
        <v>24.4300000000001</v>
      </c>
      <c r="L248" s="1266" t="n">
        <f aca="false">L247+1</f>
        <v>236</v>
      </c>
      <c r="M248" s="1303" t="n">
        <f aca="false">HLOOKUP(M$14,Dec_Change,$L248)</f>
        <v>1.02564056909022</v>
      </c>
      <c r="N248" s="1304" t="n">
        <f aca="false">N247</f>
        <v>1.005</v>
      </c>
      <c r="O248" s="1307" t="n">
        <f aca="false">IF(AND($A248&gt;=O$16,MONTH($A248)=MONTH(O$16)),MAX(M248,N248)*O247,O247)</f>
        <v>1.59733039824151</v>
      </c>
      <c r="Q248" s="1303" t="n">
        <f aca="false">HLOOKUP(Q$14,Dec_Change,$L248)</f>
        <v>1.02564056909022</v>
      </c>
      <c r="R248" s="1304" t="n">
        <f aca="false">R247</f>
        <v>0</v>
      </c>
      <c r="S248" s="1307" t="n">
        <f aca="false">IF(AND($A248&gt;=S$16,MONTH($A248)=MONTH(S$16)),MAX(Q248,R248)*S247,S247)</f>
        <v>1.50396430185131</v>
      </c>
    </row>
    <row r="249" customFormat="false" ht="12.75" hidden="false" customHeight="false" outlineLevel="0" collapsed="false">
      <c r="A249" s="1305" t="n">
        <f aca="false">EDATE(A248,1)</f>
        <v>42401</v>
      </c>
      <c r="B249" s="1297" t="n">
        <f aca="false">'[3]Monthly Curve Calc.'!B252</f>
        <v>581.284107509969</v>
      </c>
      <c r="C249" s="1298" t="n">
        <f aca="false">'[3]Monthly Curve Calc.'!C252</f>
        <v>261.426659289851</v>
      </c>
      <c r="D249" s="1298" t="n">
        <f aca="false">'[3]Monthly Curve Calc.'!D252</f>
        <v>195.362694718552</v>
      </c>
      <c r="E249" s="1298" t="n">
        <f aca="false">'[3]Monthly Curve Calc.'!E252</f>
        <v>24.7668055555557</v>
      </c>
      <c r="F249" s="1299" t="n">
        <f aca="false">'[3]Monthly Curve Calc.'!F252</f>
        <v>2.93925688557853</v>
      </c>
      <c r="G249" s="1306" t="n">
        <f aca="false">IF(AND($A249&gt;G$16,MONTH($A249)=MONTH(G$16)),B248/B236,G248)</f>
        <v>1.06966656277056</v>
      </c>
      <c r="H249" s="1304" t="n">
        <f aca="false">IF(AND($A249&gt;H$16,MONTH($A249)=MONTH(H$16)),C248/C236,H248)</f>
        <v>1.02564056909022</v>
      </c>
      <c r="I249" s="1304" t="n">
        <f aca="false">IF(AND($A249&gt;I$16,MONTH($A249)=MONTH(I$16)),C248/C236-I$18,I248)</f>
        <v>1.02314056909022</v>
      </c>
      <c r="J249" s="1304" t="n">
        <f aca="false">IF(AND($A249&gt;J$16,MONTH($A249)=MONTH(J$16)),D248/D236,J248)</f>
        <v>1.01597082315161</v>
      </c>
      <c r="K249" s="1307" t="n">
        <f aca="false">IF($A249&gt;=K$16,IF(MONTH($A249)=MONTH(K$16),AVERAGE(E237:E248),K248),K248)</f>
        <v>24.4300000000001</v>
      </c>
      <c r="L249" s="1266" t="n">
        <f aca="false">L248+1</f>
        <v>237</v>
      </c>
      <c r="M249" s="1303" t="n">
        <f aca="false">HLOOKUP(M$14,Dec_Change,$L249)</f>
        <v>1.02564056909022</v>
      </c>
      <c r="N249" s="1304" t="n">
        <f aca="false">N248</f>
        <v>1.005</v>
      </c>
      <c r="O249" s="1307" t="n">
        <f aca="false">IF(AND($A249&gt;=O$16,MONTH($A249)=MONTH(O$16)),MAX(M249,N249)*O248,O248)</f>
        <v>1.59733039824151</v>
      </c>
      <c r="Q249" s="1303" t="n">
        <f aca="false">HLOOKUP(Q$14,Dec_Change,$L249)</f>
        <v>1.02564056909022</v>
      </c>
      <c r="R249" s="1304" t="n">
        <f aca="false">R248</f>
        <v>0</v>
      </c>
      <c r="S249" s="1307" t="n">
        <f aca="false">IF(AND($A249&gt;=S$16,MONTH($A249)=MONTH(S$16)),MAX(Q249,R249)*S248,S248)</f>
        <v>1.50396430185131</v>
      </c>
    </row>
    <row r="250" customFormat="false" ht="12.75" hidden="false" customHeight="false" outlineLevel="0" collapsed="false">
      <c r="A250" s="1305" t="n">
        <f aca="false">EDATE(A249,1)</f>
        <v>42430</v>
      </c>
      <c r="B250" s="1297" t="n">
        <f aca="false">'[3]Monthly Curve Calc.'!B253</f>
        <v>584.525225533269</v>
      </c>
      <c r="C250" s="1298" t="n">
        <f aca="false">'[3]Monthly Curve Calc.'!C253</f>
        <v>261.99528514628</v>
      </c>
      <c r="D250" s="1298" t="n">
        <f aca="false">'[3]Monthly Curve Calc.'!D253</f>
        <v>195.631445947226</v>
      </c>
      <c r="E250" s="1298" t="n">
        <f aca="false">'[3]Monthly Curve Calc.'!E253</f>
        <v>24.7977083333334</v>
      </c>
      <c r="F250" s="1299" t="n">
        <f aca="false">'[3]Monthly Curve Calc.'!F253</f>
        <v>2.94411336707915</v>
      </c>
      <c r="G250" s="1306" t="n">
        <f aca="false">IF(AND($A250&gt;G$16,MONTH($A250)=MONTH(G$16)),B249/B237,G249)</f>
        <v>1.06966656277056</v>
      </c>
      <c r="H250" s="1304" t="n">
        <f aca="false">IF(AND($A250&gt;H$16,MONTH($A250)=MONTH(H$16)),C249/C237,H249)</f>
        <v>1.02564056909022</v>
      </c>
      <c r="I250" s="1304" t="n">
        <f aca="false">IF(AND($A250&gt;I$16,MONTH($A250)=MONTH(I$16)),C249/C237-I$18,I249)</f>
        <v>1.02314056909022</v>
      </c>
      <c r="J250" s="1304" t="n">
        <f aca="false">IF(AND($A250&gt;J$16,MONTH($A250)=MONTH(J$16)),D249/D237,J249)</f>
        <v>1.01597082315161</v>
      </c>
      <c r="K250" s="1307" t="n">
        <f aca="false">IF($A250&gt;=K$16,IF(MONTH($A250)=MONTH(K$16),AVERAGE(E238:E249),K249),K249)</f>
        <v>24.4300000000001</v>
      </c>
      <c r="L250" s="1266" t="n">
        <f aca="false">L249+1</f>
        <v>238</v>
      </c>
      <c r="M250" s="1303" t="n">
        <f aca="false">HLOOKUP(M$14,Dec_Change,$L250)</f>
        <v>1.02564056909022</v>
      </c>
      <c r="N250" s="1304" t="n">
        <f aca="false">N249</f>
        <v>1.005</v>
      </c>
      <c r="O250" s="1307" t="n">
        <f aca="false">IF(AND($A250&gt;=O$16,MONTH($A250)=MONTH(O$16)),MAX(M250,N250)*O249,O249)</f>
        <v>1.59733039824151</v>
      </c>
      <c r="Q250" s="1303" t="n">
        <f aca="false">HLOOKUP(Q$14,Dec_Change,$L250)</f>
        <v>1.02564056909022</v>
      </c>
      <c r="R250" s="1304" t="n">
        <f aca="false">R249</f>
        <v>0</v>
      </c>
      <c r="S250" s="1307" t="n">
        <f aca="false">IF(AND($A250&gt;=S$16,MONTH($A250)=MONTH(S$16)),MAX(Q250,R250)*S249,S249)</f>
        <v>1.50396430185131</v>
      </c>
    </row>
    <row r="251" customFormat="false" ht="12.75" hidden="false" customHeight="false" outlineLevel="0" collapsed="false">
      <c r="A251" s="1305" t="n">
        <f aca="false">EDATE(A250,1)</f>
        <v>42461</v>
      </c>
      <c r="B251" s="1297" t="n">
        <f aca="false">'[3]Monthly Curve Calc.'!B254</f>
        <v>587.784415349527</v>
      </c>
      <c r="C251" s="1298" t="n">
        <f aca="false">'[3]Monthly Curve Calc.'!C254</f>
        <v>262.565147813697</v>
      </c>
      <c r="D251" s="1298" t="n">
        <f aca="false">'[3]Monthly Curve Calc.'!D254</f>
        <v>195.900566884268</v>
      </c>
      <c r="E251" s="1298" t="n">
        <f aca="false">'[3]Monthly Curve Calc.'!E254</f>
        <v>24.8286111111112</v>
      </c>
      <c r="F251" s="1299" t="n">
        <f aca="false">'[3]Monthly Curve Calc.'!F254</f>
        <v>2.94897787285716</v>
      </c>
      <c r="G251" s="1306" t="n">
        <f aca="false">IF(AND($A251&gt;G$16,MONTH($A251)=MONTH(G$16)),B250/B238,G250)</f>
        <v>1.06966656277056</v>
      </c>
      <c r="H251" s="1304" t="n">
        <f aca="false">IF(AND($A251&gt;H$16,MONTH($A251)=MONTH(H$16)),C250/C238,H250)</f>
        <v>1.02564056909022</v>
      </c>
      <c r="I251" s="1304" t="n">
        <f aca="false">IF(AND($A251&gt;I$16,MONTH($A251)=MONTH(I$16)),C250/C238-I$18,I250)</f>
        <v>1.02314056909022</v>
      </c>
      <c r="J251" s="1304" t="n">
        <f aca="false">IF(AND($A251&gt;J$16,MONTH($A251)=MONTH(J$16)),D250/D238,J250)</f>
        <v>1.01597082315161</v>
      </c>
      <c r="K251" s="1307" t="n">
        <f aca="false">IF($A251&gt;=K$16,IF(MONTH($A251)=MONTH(K$16),AVERAGE(E239:E250),K250),K250)</f>
        <v>24.4300000000001</v>
      </c>
      <c r="L251" s="1266" t="n">
        <f aca="false">L250+1</f>
        <v>239</v>
      </c>
      <c r="M251" s="1303" t="n">
        <f aca="false">HLOOKUP(M$14,Dec_Change,$L251)</f>
        <v>1.02564056909022</v>
      </c>
      <c r="N251" s="1304" t="n">
        <f aca="false">N250</f>
        <v>1.005</v>
      </c>
      <c r="O251" s="1307" t="n">
        <f aca="false">IF(AND($A251&gt;=O$16,MONTH($A251)=MONTH(O$16)),MAX(M251,N251)*O250,O250)</f>
        <v>1.59733039824151</v>
      </c>
      <c r="Q251" s="1303" t="n">
        <f aca="false">HLOOKUP(Q$14,Dec_Change,$L251)</f>
        <v>1.02564056909022</v>
      </c>
      <c r="R251" s="1304" t="n">
        <f aca="false">R250</f>
        <v>0</v>
      </c>
      <c r="S251" s="1307" t="n">
        <f aca="false">IF(AND($A251&gt;=S$16,MONTH($A251)=MONTH(S$16)),MAX(Q251,R251)*S250,S250)</f>
        <v>1.50396430185131</v>
      </c>
    </row>
    <row r="252" customFormat="false" ht="12.75" hidden="false" customHeight="false" outlineLevel="0" collapsed="false">
      <c r="A252" s="1305" t="n">
        <f aca="false">EDATE(A251,1)</f>
        <v>42491</v>
      </c>
      <c r="B252" s="1297" t="n">
        <f aca="false">'[3]Monthly Curve Calc.'!B255</f>
        <v>591.061777723263</v>
      </c>
      <c r="C252" s="1298" t="n">
        <f aca="false">'[3]Monthly Curve Calc.'!C255</f>
        <v>263.136249982273</v>
      </c>
      <c r="D252" s="1298" t="n">
        <f aca="false">'[3]Monthly Curve Calc.'!D255</f>
        <v>196.170058038268</v>
      </c>
      <c r="E252" s="1298" t="n">
        <f aca="false">'[3]Monthly Curve Calc.'!E255</f>
        <v>24.859513888889</v>
      </c>
      <c r="F252" s="1299" t="n">
        <f aca="false">'[3]Monthly Curve Calc.'!F255</f>
        <v>2.95385041617093</v>
      </c>
      <c r="G252" s="1306" t="n">
        <f aca="false">IF(AND($A252&gt;G$16,MONTH($A252)=MONTH(G$16)),B251/B239,G251)</f>
        <v>1.069</v>
      </c>
      <c r="H252" s="1304" t="n">
        <f aca="false">IF(AND($A252&gt;H$16,MONTH($A252)=MONTH(H$16)),C251/C239,H251)</f>
        <v>1.02607666287093</v>
      </c>
      <c r="I252" s="1304" t="n">
        <f aca="false">IF(AND($A252&gt;I$16,MONTH($A252)=MONTH(I$16)),C251/C239-I$18,I251)</f>
        <v>1.02357666287093</v>
      </c>
      <c r="J252" s="1304" t="n">
        <f aca="false">IF(AND($A252&gt;J$16,MONTH($A252)=MONTH(J$16)),D251/D239,J251)</f>
        <v>1.01597082315161</v>
      </c>
      <c r="K252" s="1307" t="n">
        <f aca="false">IF($A252&gt;=K$16,IF(MONTH($A252)=MONTH(K$16),AVERAGE(E240:E251),K251),K251)</f>
        <v>24.4300000000001</v>
      </c>
      <c r="L252" s="1266" t="n">
        <f aca="false">L251+1</f>
        <v>240</v>
      </c>
      <c r="M252" s="1303" t="n">
        <f aca="false">HLOOKUP(M$14,Dec_Change,$L252)</f>
        <v>1.02607666287093</v>
      </c>
      <c r="N252" s="1304" t="n">
        <f aca="false">N251</f>
        <v>1.005</v>
      </c>
      <c r="O252" s="1307" t="n">
        <f aca="false">IF(AND($A252&gt;=O$16,MONTH($A252)=MONTH(O$16)),MAX(M252,N252)*O251,O251)</f>
        <v>1.63898344452994</v>
      </c>
      <c r="Q252" s="1303" t="n">
        <f aca="false">HLOOKUP(Q$14,Dec_Change,$L252)</f>
        <v>1.02607666287093</v>
      </c>
      <c r="R252" s="1304" t="n">
        <f aca="false">R251</f>
        <v>0</v>
      </c>
      <c r="S252" s="1307" t="n">
        <f aca="false">IF(AND($A252&gt;=S$16,MONTH($A252)=MONTH(S$16)),MAX(Q252,R252)*S251,S251)</f>
        <v>1.50396430185131</v>
      </c>
    </row>
    <row r="253" customFormat="false" ht="12.75" hidden="false" customHeight="false" outlineLevel="0" collapsed="false">
      <c r="A253" s="1305" t="n">
        <f aca="false">EDATE(A252,1)</f>
        <v>42522</v>
      </c>
      <c r="B253" s="1297" t="n">
        <f aca="false">'[3]Monthly Curve Calc.'!B256</f>
        <v>594.357413980839</v>
      </c>
      <c r="C253" s="1298" t="n">
        <f aca="false">'[3]Monthly Curve Calc.'!C256</f>
        <v>263.708594348032</v>
      </c>
      <c r="D253" s="1298" t="n">
        <f aca="false">'[3]Monthly Curve Calc.'!D256</f>
        <v>196.439919918515</v>
      </c>
      <c r="E253" s="1298" t="n">
        <f aca="false">'[3]Monthly Curve Calc.'!E256</f>
        <v>24.8904166666668</v>
      </c>
      <c r="F253" s="1299" t="n">
        <f aca="false">'[3]Monthly Curve Calc.'!F256</f>
        <v>2.95873101030073</v>
      </c>
      <c r="G253" s="1306" t="n">
        <f aca="false">IF(AND($A253&gt;G$16,MONTH($A253)=MONTH(G$16)),B252/B240,G252)</f>
        <v>1.069</v>
      </c>
      <c r="H253" s="1304" t="n">
        <f aca="false">IF(AND($A253&gt;H$16,MONTH($A253)=MONTH(H$16)),C252/C240,H252)</f>
        <v>1.02607666287093</v>
      </c>
      <c r="I253" s="1304" t="n">
        <f aca="false">IF(AND($A253&gt;I$16,MONTH($A253)=MONTH(I$16)),C252/C240-I$18,I252)</f>
        <v>1.02357666287093</v>
      </c>
      <c r="J253" s="1304" t="n">
        <f aca="false">IF(AND($A253&gt;J$16,MONTH($A253)=MONTH(J$16)),D252/D240,J252)</f>
        <v>1.01597082315161</v>
      </c>
      <c r="K253" s="1307" t="n">
        <f aca="false">IF($A253&gt;=K$16,IF(MONTH($A253)=MONTH(K$16),AVERAGE(E241:E252),K252),K252)</f>
        <v>24.4300000000001</v>
      </c>
      <c r="L253" s="1266" t="n">
        <f aca="false">L252+1</f>
        <v>241</v>
      </c>
      <c r="M253" s="1303" t="n">
        <f aca="false">HLOOKUP(M$14,Dec_Change,$L253)</f>
        <v>1.02607666287093</v>
      </c>
      <c r="N253" s="1304" t="n">
        <f aca="false">N252</f>
        <v>1.005</v>
      </c>
      <c r="O253" s="1307" t="n">
        <f aca="false">IF(AND($A253&gt;=O$16,MONTH($A253)=MONTH(O$16)),MAX(M253,N253)*O252,O252)</f>
        <v>1.63898344452994</v>
      </c>
      <c r="Q253" s="1303" t="n">
        <f aca="false">HLOOKUP(Q$14,Dec_Change,$L253)</f>
        <v>1.02607666287093</v>
      </c>
      <c r="R253" s="1304" t="n">
        <f aca="false">R252</f>
        <v>0</v>
      </c>
      <c r="S253" s="1307" t="n">
        <f aca="false">IF(AND($A253&gt;=S$16,MONTH($A253)=MONTH(S$16)),MAX(Q253,R253)*S252,S252)</f>
        <v>1.54318267192061</v>
      </c>
    </row>
    <row r="254" customFormat="false" ht="12.75" hidden="false" customHeight="false" outlineLevel="0" collapsed="false">
      <c r="A254" s="1305" t="n">
        <f aca="false">EDATE(A253,1)</f>
        <v>42552</v>
      </c>
      <c r="B254" s="1297" t="n">
        <f aca="false">'[3]Monthly Curve Calc.'!B257</f>
        <v>597.671426013591</v>
      </c>
      <c r="C254" s="1298" t="n">
        <f aca="false">'[3]Monthly Curve Calc.'!C257</f>
        <v>264.282183612862</v>
      </c>
      <c r="D254" s="1298" t="n">
        <f aca="false">'[3]Monthly Curve Calc.'!D257</f>
        <v>196.710153035001</v>
      </c>
      <c r="E254" s="1298" t="n">
        <f aca="false">'[3]Monthly Curve Calc.'!E257</f>
        <v>24.9213194444445</v>
      </c>
      <c r="F254" s="1299" t="n">
        <f aca="false">'[3]Monthly Curve Calc.'!F257</f>
        <v>2.96361966854878</v>
      </c>
      <c r="G254" s="1306" t="n">
        <f aca="false">IF(AND($A254&gt;G$16,MONTH($A254)=MONTH(G$16)),B253/B241,G253)</f>
        <v>1.069</v>
      </c>
      <c r="H254" s="1304" t="n">
        <f aca="false">IF(AND($A254&gt;H$16,MONTH($A254)=MONTH(H$16)),C253/C241,H253)</f>
        <v>1.02607666287093</v>
      </c>
      <c r="I254" s="1304" t="n">
        <f aca="false">IF(AND($A254&gt;I$16,MONTH($A254)=MONTH(I$16)),C253/C241-I$18,I253)</f>
        <v>1.02357666287093</v>
      </c>
      <c r="J254" s="1304" t="n">
        <f aca="false">IF(AND($A254&gt;J$16,MONTH($A254)=MONTH(J$16)),D253/D241,J253)</f>
        <v>1.01597082315161</v>
      </c>
      <c r="K254" s="1307" t="n">
        <f aca="false">IF($A254&gt;=K$16,IF(MONTH($A254)=MONTH(K$16),AVERAGE(E242:E253),K253),K253)</f>
        <v>24.4300000000001</v>
      </c>
      <c r="L254" s="1266" t="n">
        <f aca="false">L253+1</f>
        <v>242</v>
      </c>
      <c r="M254" s="1303" t="n">
        <f aca="false">HLOOKUP(M$14,Dec_Change,$L254)</f>
        <v>1.02607666287093</v>
      </c>
      <c r="N254" s="1304" t="n">
        <f aca="false">N253</f>
        <v>1.005</v>
      </c>
      <c r="O254" s="1307" t="n">
        <f aca="false">IF(AND($A254&gt;=O$16,MONTH($A254)=MONTH(O$16)),MAX(M254,N254)*O253,O253)</f>
        <v>1.63898344452994</v>
      </c>
      <c r="Q254" s="1303" t="n">
        <f aca="false">HLOOKUP(Q$14,Dec_Change,$L254)</f>
        <v>1.02607666287093</v>
      </c>
      <c r="R254" s="1304" t="n">
        <f aca="false">R253</f>
        <v>0</v>
      </c>
      <c r="S254" s="1307" t="n">
        <f aca="false">IF(AND($A254&gt;=S$16,MONTH($A254)=MONTH(S$16)),MAX(Q254,R254)*S253,S253)</f>
        <v>1.54318267192061</v>
      </c>
    </row>
    <row r="255" customFormat="false" ht="12.75" hidden="false" customHeight="false" outlineLevel="0" collapsed="false">
      <c r="A255" s="1305" t="n">
        <f aca="false">EDATE(A254,1)</f>
        <v>42583</v>
      </c>
      <c r="B255" s="1297" t="n">
        <f aca="false">'[3]Monthly Curve Calc.'!B258</f>
        <v>601.003916280978</v>
      </c>
      <c r="C255" s="1298" t="n">
        <f aca="false">'[3]Monthly Curve Calc.'!C258</f>
        <v>264.857020484526</v>
      </c>
      <c r="D255" s="1298" t="n">
        <f aca="false">'[3]Monthly Curve Calc.'!D258</f>
        <v>196.980757898417</v>
      </c>
      <c r="E255" s="1298" t="n">
        <f aca="false">'[3]Monthly Curve Calc.'!E258</f>
        <v>24.9522222222223</v>
      </c>
      <c r="F255" s="1299" t="n">
        <f aca="false">'[3]Monthly Curve Calc.'!F258</f>
        <v>2.96851640423929</v>
      </c>
      <c r="G255" s="1306" t="n">
        <f aca="false">IF(AND($A255&gt;G$16,MONTH($A255)=MONTH(G$16)),B254/B242,G254)</f>
        <v>1.069</v>
      </c>
      <c r="H255" s="1304" t="n">
        <f aca="false">IF(AND($A255&gt;H$16,MONTH($A255)=MONTH(H$16)),C254/C242,H254)</f>
        <v>1.02607666287093</v>
      </c>
      <c r="I255" s="1304" t="n">
        <f aca="false">IF(AND($A255&gt;I$16,MONTH($A255)=MONTH(I$16)),C254/C242-I$18,I254)</f>
        <v>1.02357666287093</v>
      </c>
      <c r="J255" s="1304" t="n">
        <f aca="false">IF(AND($A255&gt;J$16,MONTH($A255)=MONTH(J$16)),D254/D242,J254)</f>
        <v>1.01597082315161</v>
      </c>
      <c r="K255" s="1307" t="n">
        <f aca="false">IF($A255&gt;=K$16,IF(MONTH($A255)=MONTH(K$16),AVERAGE(E243:E254),K254),K254)</f>
        <v>24.4300000000001</v>
      </c>
      <c r="L255" s="1266" t="n">
        <f aca="false">L254+1</f>
        <v>243</v>
      </c>
      <c r="M255" s="1303" t="n">
        <f aca="false">HLOOKUP(M$14,Dec_Change,$L255)</f>
        <v>1.02607666287093</v>
      </c>
      <c r="N255" s="1304" t="n">
        <f aca="false">N254</f>
        <v>1.005</v>
      </c>
      <c r="O255" s="1307" t="n">
        <f aca="false">IF(AND($A255&gt;=O$16,MONTH($A255)=MONTH(O$16)),MAX(M255,N255)*O254,O254)</f>
        <v>1.63898344452994</v>
      </c>
      <c r="Q255" s="1303" t="n">
        <f aca="false">HLOOKUP(Q$14,Dec_Change,$L255)</f>
        <v>1.02607666287093</v>
      </c>
      <c r="R255" s="1304" t="n">
        <f aca="false">R254</f>
        <v>0</v>
      </c>
      <c r="S255" s="1307" t="n">
        <f aca="false">IF(AND($A255&gt;=S$16,MONTH($A255)=MONTH(S$16)),MAX(Q255,R255)*S254,S254)</f>
        <v>1.54318267192061</v>
      </c>
    </row>
    <row r="256" customFormat="false" ht="12.75" hidden="false" customHeight="false" outlineLevel="0" collapsed="false">
      <c r="A256" s="1305" t="n">
        <f aca="false">EDATE(A255,1)</f>
        <v>42614</v>
      </c>
      <c r="B256" s="1297" t="n">
        <f aca="false">'[3]Monthly Curve Calc.'!B259</f>
        <v>604.354987813755</v>
      </c>
      <c r="C256" s="1298" t="n">
        <f aca="false">'[3]Monthly Curve Calc.'!C259</f>
        <v>265.43310767668</v>
      </c>
      <c r="D256" s="1298" t="n">
        <f aca="false">'[3]Monthly Curve Calc.'!D259</f>
        <v>197.251735020158</v>
      </c>
      <c r="E256" s="1298" t="n">
        <f aca="false">'[3]Monthly Curve Calc.'!E259</f>
        <v>24.9831250000001</v>
      </c>
      <c r="F256" s="1299" t="n">
        <f aca="false">'[3]Monthly Curve Calc.'!F259</f>
        <v>2.97342123071846</v>
      </c>
      <c r="G256" s="1306" t="n">
        <f aca="false">IF(AND($A256&gt;G$16,MONTH($A256)=MONTH(G$16)),B255/B243,G255)</f>
        <v>1.069</v>
      </c>
      <c r="H256" s="1304" t="n">
        <f aca="false">IF(AND($A256&gt;H$16,MONTH($A256)=MONTH(H$16)),C255/C243,H255)</f>
        <v>1.02607666287093</v>
      </c>
      <c r="I256" s="1304" t="n">
        <f aca="false">IF(AND($A256&gt;I$16,MONTH($A256)=MONTH(I$16)),C255/C243-I$18,I255)</f>
        <v>1.02357666287093</v>
      </c>
      <c r="J256" s="1304" t="n">
        <f aca="false">IF(AND($A256&gt;J$16,MONTH($A256)=MONTH(J$16)),D255/D243,J255)</f>
        <v>1.01597082315161</v>
      </c>
      <c r="K256" s="1307" t="n">
        <f aca="false">IF($A256&gt;=K$16,IF(MONTH($A256)=MONTH(K$16),AVERAGE(E244:E255),K255),K255)</f>
        <v>24.4300000000001</v>
      </c>
      <c r="L256" s="1266" t="n">
        <f aca="false">L255+1</f>
        <v>244</v>
      </c>
      <c r="M256" s="1303" t="n">
        <f aca="false">HLOOKUP(M$14,Dec_Change,$L256)</f>
        <v>1.02607666287093</v>
      </c>
      <c r="N256" s="1304" t="n">
        <f aca="false">N255</f>
        <v>1.005</v>
      </c>
      <c r="O256" s="1307" t="n">
        <f aca="false">IF(AND($A256&gt;=O$16,MONTH($A256)=MONTH(O$16)),MAX(M256,N256)*O255,O255)</f>
        <v>1.63898344452994</v>
      </c>
      <c r="Q256" s="1303" t="n">
        <f aca="false">HLOOKUP(Q$14,Dec_Change,$L256)</f>
        <v>1.02607666287093</v>
      </c>
      <c r="R256" s="1304" t="n">
        <f aca="false">R255</f>
        <v>0</v>
      </c>
      <c r="S256" s="1307" t="n">
        <f aca="false">IF(AND($A256&gt;=S$16,MONTH($A256)=MONTH(S$16)),MAX(Q256,R256)*S255,S255)</f>
        <v>1.54318267192061</v>
      </c>
    </row>
    <row r="257" customFormat="false" ht="12.75" hidden="false" customHeight="false" outlineLevel="0" collapsed="false">
      <c r="A257" s="1305" t="n">
        <f aca="false">EDATE(A256,1)</f>
        <v>42644</v>
      </c>
      <c r="B257" s="1297" t="n">
        <f aca="false">'[3]Monthly Curve Calc.'!B260</f>
        <v>607.724744217151</v>
      </c>
      <c r="C257" s="1298" t="n">
        <f aca="false">'[3]Monthly Curve Calc.'!C260</f>
        <v>266.010447908878</v>
      </c>
      <c r="D257" s="1298" t="n">
        <f aca="false">'[3]Monthly Curve Calc.'!D260</f>
        <v>197.523084912322</v>
      </c>
      <c r="E257" s="1298" t="n">
        <f aca="false">'[3]Monthly Curve Calc.'!E260</f>
        <v>25.0140277777779</v>
      </c>
      <c r="F257" s="1299" t="n">
        <f aca="false">'[3]Monthly Curve Calc.'!F260</f>
        <v>2.97833416135456</v>
      </c>
      <c r="G257" s="1306" t="n">
        <f aca="false">IF(AND($A257&gt;G$16,MONTH($A257)=MONTH(G$16)),B256/B244,G256)</f>
        <v>1.069</v>
      </c>
      <c r="H257" s="1304" t="n">
        <f aca="false">IF(AND($A257&gt;H$16,MONTH($A257)=MONTH(H$16)),C256/C244,H256)</f>
        <v>1.02607666287093</v>
      </c>
      <c r="I257" s="1304" t="n">
        <f aca="false">IF(AND($A257&gt;I$16,MONTH($A257)=MONTH(I$16)),C256/C244-I$18,I256)</f>
        <v>1.02357666287093</v>
      </c>
      <c r="J257" s="1304" t="n">
        <f aca="false">IF(AND($A257&gt;J$16,MONTH($A257)=MONTH(J$16)),D256/D244,J256)</f>
        <v>1.01597082315161</v>
      </c>
      <c r="K257" s="1307" t="n">
        <f aca="false">IF($A257&gt;=K$16,IF(MONTH($A257)=MONTH(K$16),AVERAGE(E245:E256),K256),K256)</f>
        <v>24.4300000000001</v>
      </c>
      <c r="L257" s="1266" t="n">
        <f aca="false">L256+1</f>
        <v>245</v>
      </c>
      <c r="M257" s="1303" t="n">
        <f aca="false">HLOOKUP(M$14,Dec_Change,$L257)</f>
        <v>1.02607666287093</v>
      </c>
      <c r="N257" s="1304" t="n">
        <f aca="false">N256</f>
        <v>1.005</v>
      </c>
      <c r="O257" s="1307" t="n">
        <f aca="false">IF(AND($A257&gt;=O$16,MONTH($A257)=MONTH(O$16)),MAX(M257,N257)*O256,O256)</f>
        <v>1.63898344452994</v>
      </c>
      <c r="Q257" s="1303" t="n">
        <f aca="false">HLOOKUP(Q$14,Dec_Change,$L257)</f>
        <v>1.02607666287093</v>
      </c>
      <c r="R257" s="1304" t="n">
        <f aca="false">R256</f>
        <v>0</v>
      </c>
      <c r="S257" s="1307" t="n">
        <f aca="false">IF(AND($A257&gt;=S$16,MONTH($A257)=MONTH(S$16)),MAX(Q257,R257)*S256,S256)</f>
        <v>1.54318267192061</v>
      </c>
    </row>
    <row r="258" customFormat="false" ht="12.75" hidden="false" customHeight="false" outlineLevel="0" collapsed="false">
      <c r="A258" s="1305" t="n">
        <f aca="false">EDATE(A257,1)</f>
        <v>42675</v>
      </c>
      <c r="B258" s="1297" t="n">
        <f aca="false">'[3]Monthly Curve Calc.'!B261</f>
        <v>611.11328967408</v>
      </c>
      <c r="C258" s="1298" t="n">
        <f aca="false">'[3]Monthly Curve Calc.'!C261</f>
        <v>266.589043906594</v>
      </c>
      <c r="D258" s="1298" t="n">
        <f aca="false">'[3]Monthly Curve Calc.'!D261</f>
        <v>197.794808087713</v>
      </c>
      <c r="E258" s="1298" t="n">
        <f aca="false">'[3]Monthly Curve Calc.'!E261</f>
        <v>25.0449305555556</v>
      </c>
      <c r="F258" s="1299" t="n">
        <f aca="false">'[3]Monthly Curve Calc.'!F261</f>
        <v>2.98325520953795</v>
      </c>
      <c r="G258" s="1306" t="n">
        <f aca="false">IF(AND($A258&gt;G$16,MONTH($A258)=MONTH(G$16)),B257/B245,G257)</f>
        <v>1.069</v>
      </c>
      <c r="H258" s="1304" t="n">
        <f aca="false">IF(AND($A258&gt;H$16,MONTH($A258)=MONTH(H$16)),C257/C245,H257)</f>
        <v>1.02607666287093</v>
      </c>
      <c r="I258" s="1304" t="n">
        <f aca="false">IF(AND($A258&gt;I$16,MONTH($A258)=MONTH(I$16)),C257/C245-I$18,I257)</f>
        <v>1.02357666287093</v>
      </c>
      <c r="J258" s="1304" t="n">
        <f aca="false">IF(AND($A258&gt;J$16,MONTH($A258)=MONTH(J$16)),D257/D245,J257)</f>
        <v>1.01597082315161</v>
      </c>
      <c r="K258" s="1307" t="n">
        <f aca="false">IF($A258&gt;=K$16,IF(MONTH($A258)=MONTH(K$16),AVERAGE(E246:E257),K257),K257)</f>
        <v>24.4300000000001</v>
      </c>
      <c r="L258" s="1266" t="n">
        <f aca="false">L257+1</f>
        <v>246</v>
      </c>
      <c r="M258" s="1303" t="n">
        <f aca="false">HLOOKUP(M$14,Dec_Change,$L258)</f>
        <v>1.02607666287093</v>
      </c>
      <c r="N258" s="1304" t="n">
        <f aca="false">N257</f>
        <v>1.005</v>
      </c>
      <c r="O258" s="1307" t="n">
        <f aca="false">IF(AND($A258&gt;=O$16,MONTH($A258)=MONTH(O$16)),MAX(M258,N258)*O257,O257)</f>
        <v>1.63898344452994</v>
      </c>
      <c r="Q258" s="1303" t="n">
        <f aca="false">HLOOKUP(Q$14,Dec_Change,$L258)</f>
        <v>1.02607666287093</v>
      </c>
      <c r="R258" s="1304" t="n">
        <f aca="false">R257</f>
        <v>0</v>
      </c>
      <c r="S258" s="1307" t="n">
        <f aca="false">IF(AND($A258&gt;=S$16,MONTH($A258)=MONTH(S$16)),MAX(Q258,R258)*S257,S257)</f>
        <v>1.54318267192061</v>
      </c>
    </row>
    <row r="259" customFormat="false" ht="12.75" hidden="false" customHeight="false" outlineLevel="0" collapsed="false">
      <c r="A259" s="1305" t="n">
        <f aca="false">EDATE(A258,1)</f>
        <v>42705</v>
      </c>
      <c r="B259" s="1297" t="n">
        <f aca="false">'[3]Monthly Curve Calc.'!B262</f>
        <v>614.520728948354</v>
      </c>
      <c r="C259" s="1298" t="n">
        <f aca="false">'[3]Monthly Curve Calc.'!C262</f>
        <v>267.168898401227</v>
      </c>
      <c r="D259" s="1298" t="n">
        <f aca="false">'[3]Monthly Curve Calc.'!D262</f>
        <v>198.066905059837</v>
      </c>
      <c r="E259" s="1298" t="n">
        <f aca="false">'[3]Monthly Curve Calc.'!E262</f>
        <v>25.0758333333334</v>
      </c>
      <c r="F259" s="1299" t="n">
        <f aca="false">'[3]Monthly Curve Calc.'!F262</f>
        <v>2.9881843886811</v>
      </c>
      <c r="G259" s="1306" t="n">
        <f aca="false">IF(AND($A259&gt;G$16,MONTH($A259)=MONTH(G$16)),B258/B246,G258)</f>
        <v>1.069</v>
      </c>
      <c r="H259" s="1304" t="n">
        <f aca="false">IF(AND($A259&gt;H$16,MONTH($A259)=MONTH(H$16)),C258/C246,H258)</f>
        <v>1.02607666287093</v>
      </c>
      <c r="I259" s="1304" t="n">
        <f aca="false">IF(AND($A259&gt;I$16,MONTH($A259)=MONTH(I$16)),C258/C246-I$18,I258)</f>
        <v>1.02357666287093</v>
      </c>
      <c r="J259" s="1304" t="n">
        <f aca="false">IF(AND($A259&gt;J$16,MONTH($A259)=MONTH(J$16)),D258/D246,J258)</f>
        <v>1.01597082315161</v>
      </c>
      <c r="K259" s="1307" t="n">
        <f aca="false">IF($A259&gt;=K$16,IF(MONTH($A259)=MONTH(K$16),AVERAGE(E247:E258),K258),K258)</f>
        <v>24.4300000000001</v>
      </c>
      <c r="L259" s="1266" t="n">
        <f aca="false">L258+1</f>
        <v>247</v>
      </c>
      <c r="M259" s="1303" t="n">
        <f aca="false">HLOOKUP(M$14,Dec_Change,$L259)</f>
        <v>1.02607666287093</v>
      </c>
      <c r="N259" s="1304" t="n">
        <f aca="false">N258</f>
        <v>1.005</v>
      </c>
      <c r="O259" s="1307" t="n">
        <f aca="false">IF(AND($A259&gt;=O$16,MONTH($A259)=MONTH(O$16)),MAX(M259,N259)*O258,O258)</f>
        <v>1.63898344452994</v>
      </c>
      <c r="Q259" s="1303" t="n">
        <f aca="false">HLOOKUP(Q$14,Dec_Change,$L259)</f>
        <v>1.02607666287093</v>
      </c>
      <c r="R259" s="1304" t="n">
        <f aca="false">R258</f>
        <v>0</v>
      </c>
      <c r="S259" s="1307" t="n">
        <f aca="false">IF(AND($A259&gt;=S$16,MONTH($A259)=MONTH(S$16)),MAX(Q259,R259)*S258,S258)</f>
        <v>1.54318267192061</v>
      </c>
    </row>
    <row r="260" customFormat="false" ht="12.75" hidden="false" customHeight="false" outlineLevel="0" collapsed="false">
      <c r="A260" s="1305" t="n">
        <f aca="false">EDATE(A259,1)</f>
        <v>42736</v>
      </c>
      <c r="B260" s="1297" t="n">
        <f aca="false">'[3]Monthly Curve Calc.'!B263</f>
        <v>617.898974975202</v>
      </c>
      <c r="C260" s="1298" t="n">
        <f aca="false">'[3]Monthly Curve Calc.'!C263</f>
        <v>267.760699845458</v>
      </c>
      <c r="D260" s="1298" t="n">
        <f aca="false">'[3]Monthly Curve Calc.'!D263</f>
        <v>198.350618042666</v>
      </c>
      <c r="E260" s="1298" t="n">
        <f aca="false">'[3]Monthly Curve Calc.'!E263</f>
        <v>25.0761805555557</v>
      </c>
      <c r="F260" s="1299" t="n">
        <f aca="false">'[3]Monthly Curve Calc.'!F263</f>
        <v>2.99310910169973</v>
      </c>
      <c r="G260" s="1306" t="n">
        <f aca="false">IF(AND($A260&gt;G$16,MONTH($A260)=MONTH(G$16)),B259/B247,G259)</f>
        <v>1.069</v>
      </c>
      <c r="H260" s="1304" t="n">
        <f aca="false">IF(AND($A260&gt;H$16,MONTH($A260)=MONTH(H$16)),C259/C247,H259)</f>
        <v>1.02607666287093</v>
      </c>
      <c r="I260" s="1304" t="n">
        <f aca="false">IF(AND($A260&gt;I$16,MONTH($A260)=MONTH(I$16)),C259/C247-I$18,I259)</f>
        <v>1.02357666287093</v>
      </c>
      <c r="J260" s="1304" t="n">
        <f aca="false">IF(AND($A260&gt;J$16,MONTH($A260)=MONTH(J$16)),D259/D247,J259)</f>
        <v>1.01663330728512</v>
      </c>
      <c r="K260" s="1307" t="n">
        <f aca="false">IF($A260&gt;=K$16,IF(MONTH($A260)=MONTH(K$16),AVERAGE(E248:E259),K259),K259)</f>
        <v>24.9058680555557</v>
      </c>
      <c r="L260" s="1266" t="n">
        <f aca="false">L259+1</f>
        <v>248</v>
      </c>
      <c r="M260" s="1303" t="n">
        <f aca="false">HLOOKUP(M$14,Dec_Change,$L260)</f>
        <v>1.02607666287093</v>
      </c>
      <c r="N260" s="1304" t="n">
        <f aca="false">N259</f>
        <v>1.005</v>
      </c>
      <c r="O260" s="1307" t="n">
        <f aca="false">IF(AND($A260&gt;=O$16,MONTH($A260)=MONTH(O$16)),MAX(M260,N260)*O259,O259)</f>
        <v>1.63898344452994</v>
      </c>
      <c r="Q260" s="1303" t="n">
        <f aca="false">HLOOKUP(Q$14,Dec_Change,$L260)</f>
        <v>1.02607666287093</v>
      </c>
      <c r="R260" s="1304" t="n">
        <f aca="false">R259</f>
        <v>0</v>
      </c>
      <c r="S260" s="1307" t="n">
        <f aca="false">IF(AND($A260&gt;=S$16,MONTH($A260)=MONTH(S$16)),MAX(Q260,R260)*S259,S259)</f>
        <v>1.54318267192061</v>
      </c>
    </row>
    <row r="261" customFormat="false" ht="12.75" hidden="false" customHeight="false" outlineLevel="0" collapsed="false">
      <c r="A261" s="1305" t="n">
        <f aca="false">EDATE(A260,1)</f>
        <v>42767</v>
      </c>
      <c r="B261" s="1297" t="n">
        <f aca="false">'[3]Monthly Curve Calc.'!B264</f>
        <v>621.295792460556</v>
      </c>
      <c r="C261" s="1298" t="n">
        <f aca="false">'[3]Monthly Curve Calc.'!C264</f>
        <v>268.35381217936</v>
      </c>
      <c r="D261" s="1298" t="n">
        <f aca="false">'[3]Monthly Curve Calc.'!D264</f>
        <v>198.634737418761</v>
      </c>
      <c r="E261" s="1298" t="n">
        <f aca="false">'[3]Monthly Curve Calc.'!E264</f>
        <v>25.0765277777779</v>
      </c>
      <c r="F261" s="1299" t="n">
        <f aca="false">'[3]Monthly Curve Calc.'!F264</f>
        <v>2.99804193095055</v>
      </c>
      <c r="G261" s="1306" t="n">
        <f aca="false">IF(AND($A261&gt;G$16,MONTH($A261)=MONTH(G$16)),B260/B248,G260)</f>
        <v>1.069</v>
      </c>
      <c r="H261" s="1304" t="n">
        <f aca="false">IF(AND($A261&gt;H$16,MONTH($A261)=MONTH(H$16)),C260/C248,H260)</f>
        <v>1.02607666287093</v>
      </c>
      <c r="I261" s="1304" t="n">
        <f aca="false">IF(AND($A261&gt;I$16,MONTH($A261)=MONTH(I$16)),C260/C248-I$18,I260)</f>
        <v>1.02357666287093</v>
      </c>
      <c r="J261" s="1304" t="n">
        <f aca="false">IF(AND($A261&gt;J$16,MONTH($A261)=MONTH(J$16)),D260/D248,J260)</f>
        <v>1.01663330728512</v>
      </c>
      <c r="K261" s="1307" t="n">
        <f aca="false">IF($A261&gt;=K$16,IF(MONTH($A261)=MONTH(K$16),AVERAGE(E249:E260),K260),K260)</f>
        <v>24.9058680555557</v>
      </c>
      <c r="L261" s="1266" t="n">
        <f aca="false">L260+1</f>
        <v>249</v>
      </c>
      <c r="M261" s="1303" t="n">
        <f aca="false">HLOOKUP(M$14,Dec_Change,$L261)</f>
        <v>1.02607666287093</v>
      </c>
      <c r="N261" s="1304" t="n">
        <f aca="false">N260</f>
        <v>1.005</v>
      </c>
      <c r="O261" s="1307" t="n">
        <f aca="false">IF(AND($A261&gt;=O$16,MONTH($A261)=MONTH(O$16)),MAX(M261,N261)*O260,O260)</f>
        <v>1.63898344452994</v>
      </c>
      <c r="Q261" s="1303" t="n">
        <f aca="false">HLOOKUP(Q$14,Dec_Change,$L261)</f>
        <v>1.02607666287093</v>
      </c>
      <c r="R261" s="1304" t="n">
        <f aca="false">R260</f>
        <v>0</v>
      </c>
      <c r="S261" s="1307" t="n">
        <f aca="false">IF(AND($A261&gt;=S$16,MONTH($A261)=MONTH(S$16)),MAX(Q261,R261)*S260,S260)</f>
        <v>1.54318267192061</v>
      </c>
    </row>
    <row r="262" customFormat="false" ht="12.75" hidden="false" customHeight="false" outlineLevel="0" collapsed="false">
      <c r="A262" s="1305" t="n">
        <f aca="false">EDATE(A261,1)</f>
        <v>42795</v>
      </c>
      <c r="B262" s="1297" t="n">
        <f aca="false">'[3]Monthly Curve Calc.'!B265</f>
        <v>624.711283498538</v>
      </c>
      <c r="C262" s="1298" t="n">
        <f aca="false">'[3]Monthly Curve Calc.'!C265</f>
        <v>268.948238306664</v>
      </c>
      <c r="D262" s="1298" t="n">
        <f aca="false">'[3]Monthly Curve Calc.'!D265</f>
        <v>198.919263770245</v>
      </c>
      <c r="E262" s="1298" t="n">
        <f aca="false">'[3]Monthly Curve Calc.'!E265</f>
        <v>25.0768750000001</v>
      </c>
      <c r="F262" s="1299" t="n">
        <f aca="false">'[3]Monthly Curve Calc.'!F265</f>
        <v>3.00298288980961</v>
      </c>
      <c r="G262" s="1306" t="n">
        <f aca="false">IF(AND($A262&gt;G$16,MONTH($A262)=MONTH(G$16)),B261/B249,G261)</f>
        <v>1.069</v>
      </c>
      <c r="H262" s="1304" t="n">
        <f aca="false">IF(AND($A262&gt;H$16,MONTH($A262)=MONTH(H$16)),C261/C249,H261)</f>
        <v>1.02607666287093</v>
      </c>
      <c r="I262" s="1304" t="n">
        <f aca="false">IF(AND($A262&gt;I$16,MONTH($A262)=MONTH(I$16)),C261/C249-I$18,I261)</f>
        <v>1.02357666287093</v>
      </c>
      <c r="J262" s="1304" t="n">
        <f aca="false">IF(AND($A262&gt;J$16,MONTH($A262)=MONTH(J$16)),D261/D249,J261)</f>
        <v>1.01663330728512</v>
      </c>
      <c r="K262" s="1307" t="n">
        <f aca="false">IF($A262&gt;=K$16,IF(MONTH($A262)=MONTH(K$16),AVERAGE(E250:E261),K261),K261)</f>
        <v>24.9058680555557</v>
      </c>
      <c r="L262" s="1266" t="n">
        <f aca="false">L261+1</f>
        <v>250</v>
      </c>
      <c r="M262" s="1303" t="n">
        <f aca="false">HLOOKUP(M$14,Dec_Change,$L262)</f>
        <v>1.02607666287093</v>
      </c>
      <c r="N262" s="1304" t="n">
        <f aca="false">N261</f>
        <v>1.005</v>
      </c>
      <c r="O262" s="1307" t="n">
        <f aca="false">IF(AND($A262&gt;=O$16,MONTH($A262)=MONTH(O$16)),MAX(M262,N262)*O261,O261)</f>
        <v>1.63898344452994</v>
      </c>
      <c r="Q262" s="1303" t="n">
        <f aca="false">HLOOKUP(Q$14,Dec_Change,$L262)</f>
        <v>1.02607666287093</v>
      </c>
      <c r="R262" s="1304" t="n">
        <f aca="false">R261</f>
        <v>0</v>
      </c>
      <c r="S262" s="1307" t="n">
        <f aca="false">IF(AND($A262&gt;=S$16,MONTH($A262)=MONTH(S$16)),MAX(Q262,R262)*S261,S261)</f>
        <v>1.54318267192061</v>
      </c>
    </row>
    <row r="263" customFormat="false" ht="12.75" hidden="false" customHeight="false" outlineLevel="0" collapsed="false">
      <c r="A263" s="1305" t="n">
        <f aca="false">EDATE(A262,1)</f>
        <v>42826</v>
      </c>
      <c r="B263" s="1297" t="n">
        <f aca="false">'[3]Monthly Curve Calc.'!B266</f>
        <v>628.145550744524</v>
      </c>
      <c r="C263" s="1298" t="n">
        <f aca="false">'[3]Monthly Curve Calc.'!C266</f>
        <v>269.543981137531</v>
      </c>
      <c r="D263" s="1298" t="n">
        <f aca="false">'[3]Monthly Curve Calc.'!D266</f>
        <v>199.204197680074</v>
      </c>
      <c r="E263" s="1298" t="n">
        <f aca="false">'[3]Monthly Curve Calc.'!E266</f>
        <v>25.0772222222223</v>
      </c>
      <c r="F263" s="1299" t="n">
        <f aca="false">'[3]Monthly Curve Calc.'!F266</f>
        <v>3.00793199167501</v>
      </c>
      <c r="G263" s="1306" t="n">
        <f aca="false">IF(AND($A263&gt;G$16,MONTH($A263)=MONTH(G$16)),B262/B250,G262)</f>
        <v>1.069</v>
      </c>
      <c r="H263" s="1304" t="n">
        <f aca="false">IF(AND($A263&gt;H$16,MONTH($A263)=MONTH(H$16)),C262/C250,H262)</f>
        <v>1.02607666287093</v>
      </c>
      <c r="I263" s="1304" t="n">
        <f aca="false">IF(AND($A263&gt;I$16,MONTH($A263)=MONTH(I$16)),C262/C250-I$18,I262)</f>
        <v>1.02357666287093</v>
      </c>
      <c r="J263" s="1304" t="n">
        <f aca="false">IF(AND($A263&gt;J$16,MONTH($A263)=MONTH(J$16)),D262/D250,J262)</f>
        <v>1.01663330728512</v>
      </c>
      <c r="K263" s="1307" t="n">
        <f aca="false">IF($A263&gt;=K$16,IF(MONTH($A263)=MONTH(K$16),AVERAGE(E251:E262),K262),K262)</f>
        <v>24.9058680555557</v>
      </c>
      <c r="L263" s="1266" t="n">
        <f aca="false">L262+1</f>
        <v>251</v>
      </c>
      <c r="M263" s="1303" t="n">
        <f aca="false">HLOOKUP(M$14,Dec_Change,$L263)</f>
        <v>1.02607666287093</v>
      </c>
      <c r="N263" s="1304" t="n">
        <f aca="false">N262</f>
        <v>1.005</v>
      </c>
      <c r="O263" s="1307" t="n">
        <f aca="false">IF(AND($A263&gt;=O$16,MONTH($A263)=MONTH(O$16)),MAX(M263,N263)*O262,O262)</f>
        <v>1.63898344452994</v>
      </c>
      <c r="Q263" s="1303" t="n">
        <f aca="false">HLOOKUP(Q$14,Dec_Change,$L263)</f>
        <v>1.02607666287093</v>
      </c>
      <c r="R263" s="1304" t="n">
        <f aca="false">R262</f>
        <v>0</v>
      </c>
      <c r="S263" s="1307" t="n">
        <f aca="false">IF(AND($A263&gt;=S$16,MONTH($A263)=MONTH(S$16)),MAX(Q263,R263)*S262,S262)</f>
        <v>1.54318267192061</v>
      </c>
    </row>
    <row r="264" customFormat="false" ht="12.75" hidden="false" customHeight="false" outlineLevel="0" collapsed="false">
      <c r="A264" s="1305" t="n">
        <f aca="false">EDATE(A263,1)</f>
        <v>42856</v>
      </c>
      <c r="B264" s="1297" t="n">
        <f aca="false">'[3]Monthly Curve Calc.'!B267</f>
        <v>631.59869741822</v>
      </c>
      <c r="C264" s="1298" t="n">
        <f aca="false">'[3]Monthly Curve Calc.'!C267</f>
        <v>270.14104358857</v>
      </c>
      <c r="D264" s="1298" t="n">
        <f aca="false">'[3]Monthly Curve Calc.'!D267</f>
        <v>199.489539732037</v>
      </c>
      <c r="E264" s="1298" t="n">
        <f aca="false">'[3]Monthly Curve Calc.'!E267</f>
        <v>25.0775694444445</v>
      </c>
      <c r="F264" s="1299" t="n">
        <f aca="false">'[3]Monthly Curve Calc.'!F267</f>
        <v>3.01288924996692</v>
      </c>
      <c r="G264" s="1306" t="n">
        <f aca="false">IF(AND($A264&gt;G$16,MONTH($A264)=MONTH(G$16)),B263/B251,G263)</f>
        <v>1.06866656267332</v>
      </c>
      <c r="H264" s="1304" t="n">
        <f aca="false">IF(AND($A264&gt;H$16,MONTH($A264)=MONTH(H$16)),C263/C251,H263)</f>
        <v>1.02657943516855</v>
      </c>
      <c r="I264" s="1304" t="n">
        <f aca="false">IF(AND($A264&gt;I$16,MONTH($A264)=MONTH(I$16)),C263/C251-I$18,I263)</f>
        <v>1.02407943516855</v>
      </c>
      <c r="J264" s="1304" t="n">
        <f aca="false">IF(AND($A264&gt;J$16,MONTH($A264)=MONTH(J$16)),D263/D251,J263)</f>
        <v>1.01663330728512</v>
      </c>
      <c r="K264" s="1307" t="n">
        <f aca="false">IF($A264&gt;=K$16,IF(MONTH($A264)=MONTH(K$16),AVERAGE(E252:E263),K263),K263)</f>
        <v>24.9058680555557</v>
      </c>
      <c r="L264" s="1266" t="n">
        <f aca="false">L263+1</f>
        <v>252</v>
      </c>
      <c r="M264" s="1303" t="n">
        <f aca="false">HLOOKUP(M$14,Dec_Change,$L264)</f>
        <v>1.02657943516855</v>
      </c>
      <c r="N264" s="1304" t="n">
        <f aca="false">N263</f>
        <v>1.005</v>
      </c>
      <c r="O264" s="1307" t="n">
        <f aca="false">IF(AND($A264&gt;=O$16,MONTH($A264)=MONTH(O$16)),MAX(M264,N264)*O263,O263)</f>
        <v>1.68254669873615</v>
      </c>
      <c r="Q264" s="1303" t="n">
        <f aca="false">HLOOKUP(Q$14,Dec_Change,$L264)</f>
        <v>1.02657943516855</v>
      </c>
      <c r="R264" s="1304" t="n">
        <f aca="false">R263</f>
        <v>0</v>
      </c>
      <c r="S264" s="1307" t="n">
        <f aca="false">IF(AND($A264&gt;=S$16,MONTH($A264)=MONTH(S$16)),MAX(Q264,R264)*S263,S263)</f>
        <v>1.54318267192061</v>
      </c>
    </row>
    <row r="265" customFormat="false" ht="12.75" hidden="false" customHeight="false" outlineLevel="0" collapsed="false">
      <c r="A265" s="1305" t="n">
        <f aca="false">EDATE(A264,1)</f>
        <v>42887</v>
      </c>
      <c r="B265" s="1297" t="n">
        <f aca="false">'[3]Monthly Curve Calc.'!B268</f>
        <v>635.070827306771</v>
      </c>
      <c r="C265" s="1298" t="n">
        <f aca="false">'[3]Monthly Curve Calc.'!C268</f>
        <v>270.739428582851</v>
      </c>
      <c r="D265" s="1298" t="n">
        <f aca="false">'[3]Monthly Curve Calc.'!D268</f>
        <v>199.775290510761</v>
      </c>
      <c r="E265" s="1298" t="n">
        <f aca="false">'[3]Monthly Curve Calc.'!E268</f>
        <v>25.0779166666668</v>
      </c>
      <c r="F265" s="1299" t="n">
        <f aca="false">'[3]Monthly Curve Calc.'!F268</f>
        <v>3.01785467812765</v>
      </c>
      <c r="G265" s="1306" t="n">
        <f aca="false">IF(AND($A265&gt;G$16,MONTH($A265)=MONTH(G$16)),B264/B252,G264)</f>
        <v>1.06866656267332</v>
      </c>
      <c r="H265" s="1304" t="n">
        <f aca="false">IF(AND($A265&gt;H$16,MONTH($A265)=MONTH(H$16)),C264/C252,H264)</f>
        <v>1.02657943516855</v>
      </c>
      <c r="I265" s="1304" t="n">
        <f aca="false">IF(AND($A265&gt;I$16,MONTH($A265)=MONTH(I$16)),C264/C252-I$18,I264)</f>
        <v>1.02407943516855</v>
      </c>
      <c r="J265" s="1304" t="n">
        <f aca="false">IF(AND($A265&gt;J$16,MONTH($A265)=MONTH(J$16)),D264/D252,J264)</f>
        <v>1.01663330728512</v>
      </c>
      <c r="K265" s="1307" t="n">
        <f aca="false">IF($A265&gt;=K$16,IF(MONTH($A265)=MONTH(K$16),AVERAGE(E253:E264),K264),K264)</f>
        <v>24.9058680555557</v>
      </c>
      <c r="L265" s="1266" t="n">
        <f aca="false">L264+1</f>
        <v>253</v>
      </c>
      <c r="M265" s="1303" t="n">
        <f aca="false">HLOOKUP(M$14,Dec_Change,$L265)</f>
        <v>1.02657943516855</v>
      </c>
      <c r="N265" s="1304" t="n">
        <f aca="false">N264</f>
        <v>1.005</v>
      </c>
      <c r="O265" s="1307" t="n">
        <f aca="false">IF(AND($A265&gt;=O$16,MONTH($A265)=MONTH(O$16)),MAX(M265,N265)*O264,O264)</f>
        <v>1.68254669873615</v>
      </c>
      <c r="Q265" s="1303" t="n">
        <f aca="false">HLOOKUP(Q$14,Dec_Change,$L265)</f>
        <v>1.02657943516855</v>
      </c>
      <c r="R265" s="1304" t="n">
        <f aca="false">R264</f>
        <v>0</v>
      </c>
      <c r="S265" s="1307" t="n">
        <f aca="false">IF(AND($A265&gt;=S$16,MONTH($A265)=MONTH(S$16)),MAX(Q265,R265)*S264,S264)</f>
        <v>1.58419959570215</v>
      </c>
    </row>
    <row r="266" customFormat="false" ht="12.75" hidden="false" customHeight="false" outlineLevel="0" collapsed="false">
      <c r="A266" s="1305" t="n">
        <f aca="false">EDATE(A265,1)</f>
        <v>42917</v>
      </c>
      <c r="B266" s="1297" t="n">
        <f aca="false">'[3]Monthly Curve Calc.'!B269</f>
        <v>638.562044767878</v>
      </c>
      <c r="C266" s="1298" t="n">
        <f aca="false">'[3]Monthly Curve Calc.'!C269</f>
        <v>271.339139049916</v>
      </c>
      <c r="D266" s="1298" t="n">
        <f aca="false">'[3]Monthly Curve Calc.'!D269</f>
        <v>200.061450601712</v>
      </c>
      <c r="E266" s="1298" t="n">
        <f aca="false">'[3]Monthly Curve Calc.'!E269</f>
        <v>25.078263888889</v>
      </c>
      <c r="F266" s="1299" t="n">
        <f aca="false">'[3]Monthly Curve Calc.'!F269</f>
        <v>3.02282828962165</v>
      </c>
      <c r="G266" s="1306" t="n">
        <f aca="false">IF(AND($A266&gt;G$16,MONTH($A266)=MONTH(G$16)),B265/B253,G265)</f>
        <v>1.06866656267332</v>
      </c>
      <c r="H266" s="1304" t="n">
        <f aca="false">IF(AND($A266&gt;H$16,MONTH($A266)=MONTH(H$16)),C265/C253,H265)</f>
        <v>1.02657943516855</v>
      </c>
      <c r="I266" s="1304" t="n">
        <f aca="false">IF(AND($A266&gt;I$16,MONTH($A266)=MONTH(I$16)),C265/C253-I$18,I265)</f>
        <v>1.02407943516855</v>
      </c>
      <c r="J266" s="1304" t="n">
        <f aca="false">IF(AND($A266&gt;J$16,MONTH($A266)=MONTH(J$16)),D265/D253,J265)</f>
        <v>1.01663330728512</v>
      </c>
      <c r="K266" s="1307" t="n">
        <f aca="false">IF($A266&gt;=K$16,IF(MONTH($A266)=MONTH(K$16),AVERAGE(E254:E265),K265),K265)</f>
        <v>24.9058680555557</v>
      </c>
      <c r="L266" s="1266" t="n">
        <f aca="false">L265+1</f>
        <v>254</v>
      </c>
      <c r="M266" s="1303" t="n">
        <f aca="false">HLOOKUP(M$14,Dec_Change,$L266)</f>
        <v>1.02657943516855</v>
      </c>
      <c r="N266" s="1304" t="n">
        <f aca="false">N265</f>
        <v>1.005</v>
      </c>
      <c r="O266" s="1307" t="n">
        <f aca="false">IF(AND($A266&gt;=O$16,MONTH($A266)=MONTH(O$16)),MAX(M266,N266)*O265,O265)</f>
        <v>1.68254669873615</v>
      </c>
      <c r="Q266" s="1303" t="n">
        <f aca="false">HLOOKUP(Q$14,Dec_Change,$L266)</f>
        <v>1.02657943516855</v>
      </c>
      <c r="R266" s="1304" t="n">
        <f aca="false">R265</f>
        <v>0</v>
      </c>
      <c r="S266" s="1307" t="n">
        <f aca="false">IF(AND($A266&gt;=S$16,MONTH($A266)=MONTH(S$16)),MAX(Q266,R266)*S265,S265)</f>
        <v>1.58419959570215</v>
      </c>
    </row>
    <row r="267" customFormat="false" ht="12.75" hidden="false" customHeight="false" outlineLevel="0" collapsed="false">
      <c r="A267" s="1305" t="n">
        <f aca="false">EDATE(A266,1)</f>
        <v>42948</v>
      </c>
      <c r="B267" s="1297" t="n">
        <f aca="false">'[3]Monthly Curve Calc.'!B270</f>
        <v>642.072454732934</v>
      </c>
      <c r="C267" s="1298" t="n">
        <f aca="false">'[3]Monthly Curve Calc.'!C270</f>
        <v>271.940177925799</v>
      </c>
      <c r="D267" s="1298" t="n">
        <f aca="false">'[3]Monthly Curve Calc.'!D270</f>
        <v>200.348020591191</v>
      </c>
      <c r="E267" s="1298" t="n">
        <f aca="false">'[3]Monthly Curve Calc.'!E270</f>
        <v>25.0786111111112</v>
      </c>
      <c r="F267" s="1299" t="n">
        <f aca="false">'[3]Monthly Curve Calc.'!F270</f>
        <v>3.02781009793555</v>
      </c>
      <c r="G267" s="1306" t="n">
        <f aca="false">IF(AND($A267&gt;G$16,MONTH($A267)=MONTH(G$16)),B266/B254,G266)</f>
        <v>1.06866656267332</v>
      </c>
      <c r="H267" s="1304" t="n">
        <f aca="false">IF(AND($A267&gt;H$16,MONTH($A267)=MONTH(H$16)),C266/C254,H266)</f>
        <v>1.02657943516855</v>
      </c>
      <c r="I267" s="1304" t="n">
        <f aca="false">IF(AND($A267&gt;I$16,MONTH($A267)=MONTH(I$16)),C266/C254-I$18,I266)</f>
        <v>1.02407943516855</v>
      </c>
      <c r="J267" s="1304" t="n">
        <f aca="false">IF(AND($A267&gt;J$16,MONTH($A267)=MONTH(J$16)),D266/D254,J266)</f>
        <v>1.01663330728512</v>
      </c>
      <c r="K267" s="1307" t="n">
        <f aca="false">IF($A267&gt;=K$16,IF(MONTH($A267)=MONTH(K$16),AVERAGE(E255:E266),K266),K266)</f>
        <v>24.9058680555557</v>
      </c>
      <c r="L267" s="1266" t="n">
        <f aca="false">L266+1</f>
        <v>255</v>
      </c>
      <c r="M267" s="1303" t="n">
        <f aca="false">HLOOKUP(M$14,Dec_Change,$L267)</f>
        <v>1.02657943516855</v>
      </c>
      <c r="N267" s="1304" t="n">
        <f aca="false">N266</f>
        <v>1.005</v>
      </c>
      <c r="O267" s="1307" t="n">
        <f aca="false">IF(AND($A267&gt;=O$16,MONTH($A267)=MONTH(O$16)),MAX(M267,N267)*O266,O266)</f>
        <v>1.68254669873615</v>
      </c>
      <c r="Q267" s="1303" t="n">
        <f aca="false">HLOOKUP(Q$14,Dec_Change,$L267)</f>
        <v>1.02657943516855</v>
      </c>
      <c r="R267" s="1304" t="n">
        <f aca="false">R266</f>
        <v>0</v>
      </c>
      <c r="S267" s="1307" t="n">
        <f aca="false">IF(AND($A267&gt;=S$16,MONTH($A267)=MONTH(S$16)),MAX(Q267,R267)*S266,S266)</f>
        <v>1.58419959570215</v>
      </c>
    </row>
    <row r="268" customFormat="false" ht="12.75" hidden="false" customHeight="false" outlineLevel="0" collapsed="false">
      <c r="A268" s="1305" t="n">
        <f aca="false">EDATE(A267,1)</f>
        <v>42979</v>
      </c>
      <c r="B268" s="1297" t="n">
        <f aca="false">'[3]Monthly Curve Calc.'!B271</f>
        <v>645.602162710177</v>
      </c>
      <c r="C268" s="1298" t="n">
        <f aca="false">'[3]Monthly Curve Calc.'!C271</f>
        <v>272.542548153037</v>
      </c>
      <c r="D268" s="1298" t="n">
        <f aca="false">'[3]Monthly Curve Calc.'!D271</f>
        <v>200.635001066342</v>
      </c>
      <c r="E268" s="1298" t="n">
        <f aca="false">'[3]Monthly Curve Calc.'!E271</f>
        <v>25.0789583333334</v>
      </c>
      <c r="F268" s="1299" t="n">
        <f aca="false">'[3]Monthly Curve Calc.'!F271</f>
        <v>3.03280011657821</v>
      </c>
      <c r="G268" s="1306" t="n">
        <f aca="false">IF(AND($A268&gt;G$16,MONTH($A268)=MONTH(G$16)),B267/B255,G267)</f>
        <v>1.06866656267332</v>
      </c>
      <c r="H268" s="1304" t="n">
        <f aca="false">IF(AND($A268&gt;H$16,MONTH($A268)=MONTH(H$16)),C267/C255,H267)</f>
        <v>1.02657943516855</v>
      </c>
      <c r="I268" s="1304" t="n">
        <f aca="false">IF(AND($A268&gt;I$16,MONTH($A268)=MONTH(I$16)),C267/C255-I$18,I267)</f>
        <v>1.02407943516855</v>
      </c>
      <c r="J268" s="1304" t="n">
        <f aca="false">IF(AND($A268&gt;J$16,MONTH($A268)=MONTH(J$16)),D267/D255,J267)</f>
        <v>1.01663330728512</v>
      </c>
      <c r="K268" s="1307" t="n">
        <f aca="false">IF($A268&gt;=K$16,IF(MONTH($A268)=MONTH(K$16),AVERAGE(E256:E267),K267),K267)</f>
        <v>24.9058680555557</v>
      </c>
      <c r="L268" s="1266" t="n">
        <f aca="false">L267+1</f>
        <v>256</v>
      </c>
      <c r="M268" s="1303" t="n">
        <f aca="false">HLOOKUP(M$14,Dec_Change,$L268)</f>
        <v>1.02657943516855</v>
      </c>
      <c r="N268" s="1304" t="n">
        <f aca="false">N267</f>
        <v>1.005</v>
      </c>
      <c r="O268" s="1307" t="n">
        <f aca="false">IF(AND($A268&gt;=O$16,MONTH($A268)=MONTH(O$16)),MAX(M268,N268)*O267,O267)</f>
        <v>1.68254669873615</v>
      </c>
      <c r="Q268" s="1303" t="n">
        <f aca="false">HLOOKUP(Q$14,Dec_Change,$L268)</f>
        <v>1.02657943516855</v>
      </c>
      <c r="R268" s="1304" t="n">
        <f aca="false">R267</f>
        <v>0</v>
      </c>
      <c r="S268" s="1307" t="n">
        <f aca="false">IF(AND($A268&gt;=S$16,MONTH($A268)=MONTH(S$16)),MAX(Q268,R268)*S267,S267)</f>
        <v>1.58419959570215</v>
      </c>
    </row>
    <row r="269" customFormat="false" ht="12.75" hidden="false" customHeight="false" outlineLevel="0" collapsed="false">
      <c r="A269" s="1305" t="n">
        <f aca="false">EDATE(A268,1)</f>
        <v>43009</v>
      </c>
      <c r="B269" s="1297" t="n">
        <f aca="false">'[3]Monthly Curve Calc.'!B272</f>
        <v>649.151274787866</v>
      </c>
      <c r="C269" s="1298" t="n">
        <f aca="false">'[3]Monthly Curve Calc.'!C272</f>
        <v>273.146252680685</v>
      </c>
      <c r="D269" s="1298" t="n">
        <f aca="false">'[3]Monthly Curve Calc.'!D272</f>
        <v>200.922392615148</v>
      </c>
      <c r="E269" s="1298" t="n">
        <f aca="false">'[3]Monthly Curve Calc.'!E272</f>
        <v>25.0793055555556</v>
      </c>
      <c r="F269" s="1299" t="n">
        <f aca="false">'[3]Monthly Curve Calc.'!F272</f>
        <v>3.03779835908079</v>
      </c>
      <c r="G269" s="1306" t="n">
        <f aca="false">IF(AND($A269&gt;G$16,MONTH($A269)=MONTH(G$16)),B268/B256,G268)</f>
        <v>1.06866656267332</v>
      </c>
      <c r="H269" s="1304" t="n">
        <f aca="false">IF(AND($A269&gt;H$16,MONTH($A269)=MONTH(H$16)),C268/C256,H268)</f>
        <v>1.02657943516855</v>
      </c>
      <c r="I269" s="1304" t="n">
        <f aca="false">IF(AND($A269&gt;I$16,MONTH($A269)=MONTH(I$16)),C268/C256-I$18,I268)</f>
        <v>1.02407943516855</v>
      </c>
      <c r="J269" s="1304" t="n">
        <f aca="false">IF(AND($A269&gt;J$16,MONTH($A269)=MONTH(J$16)),D268/D256,J268)</f>
        <v>1.01663330728512</v>
      </c>
      <c r="K269" s="1307" t="n">
        <f aca="false">IF($A269&gt;=K$16,IF(MONTH($A269)=MONTH(K$16),AVERAGE(E257:E268),K268),K268)</f>
        <v>24.9058680555557</v>
      </c>
      <c r="L269" s="1266" t="n">
        <f aca="false">L268+1</f>
        <v>257</v>
      </c>
      <c r="M269" s="1303" t="n">
        <f aca="false">HLOOKUP(M$14,Dec_Change,$L269)</f>
        <v>1.02657943516855</v>
      </c>
      <c r="N269" s="1304" t="n">
        <f aca="false">N268</f>
        <v>1.005</v>
      </c>
      <c r="O269" s="1307" t="n">
        <f aca="false">IF(AND($A269&gt;=O$16,MONTH($A269)=MONTH(O$16)),MAX(M269,N269)*O268,O268)</f>
        <v>1.68254669873615</v>
      </c>
      <c r="Q269" s="1303" t="n">
        <f aca="false">HLOOKUP(Q$14,Dec_Change,$L269)</f>
        <v>1.02657943516855</v>
      </c>
      <c r="R269" s="1304" t="n">
        <f aca="false">R268</f>
        <v>0</v>
      </c>
      <c r="S269" s="1307" t="n">
        <f aca="false">IF(AND($A269&gt;=S$16,MONTH($A269)=MONTH(S$16)),MAX(Q269,R269)*S268,S268)</f>
        <v>1.58419959570215</v>
      </c>
    </row>
    <row r="270" customFormat="false" ht="12.75" hidden="false" customHeight="false" outlineLevel="0" collapsed="false">
      <c r="A270" s="1305" t="n">
        <f aca="false">EDATE(A269,1)</f>
        <v>43040</v>
      </c>
      <c r="B270" s="1297" t="n">
        <f aca="false">'[3]Monthly Curve Calc.'!B273</f>
        <v>652.719897637462</v>
      </c>
      <c r="C270" s="1298" t="n">
        <f aca="false">'[3]Monthly Curve Calc.'!C273</f>
        <v>273.751294464328</v>
      </c>
      <c r="D270" s="1298" t="n">
        <f aca="false">'[3]Monthly Curve Calc.'!D273</f>
        <v>201.210195826435</v>
      </c>
      <c r="E270" s="1298" t="n">
        <f aca="false">'[3]Monthly Curve Calc.'!E273</f>
        <v>25.0796527777779</v>
      </c>
      <c r="F270" s="1299" t="n">
        <f aca="false">'[3]Monthly Curve Calc.'!F273</f>
        <v>3.04280483899669</v>
      </c>
      <c r="G270" s="1306" t="n">
        <f aca="false">IF(AND($A270&gt;G$16,MONTH($A270)=MONTH(G$16)),B269/B257,G269)</f>
        <v>1.06866656267332</v>
      </c>
      <c r="H270" s="1304" t="n">
        <f aca="false">IF(AND($A270&gt;H$16,MONTH($A270)=MONTH(H$16)),C269/C257,H269)</f>
        <v>1.02657943516855</v>
      </c>
      <c r="I270" s="1304" t="n">
        <f aca="false">IF(AND($A270&gt;I$16,MONTH($A270)=MONTH(I$16)),C269/C257-I$18,I269)</f>
        <v>1.02407943516855</v>
      </c>
      <c r="J270" s="1304" t="n">
        <f aca="false">IF(AND($A270&gt;J$16,MONTH($A270)=MONTH(J$16)),D269/D257,J269)</f>
        <v>1.01663330728512</v>
      </c>
      <c r="K270" s="1307" t="n">
        <f aca="false">IF($A270&gt;=K$16,IF(MONTH($A270)=MONTH(K$16),AVERAGE(E258:E269),K269),K269)</f>
        <v>24.9058680555557</v>
      </c>
      <c r="L270" s="1266" t="n">
        <f aca="false">L269+1</f>
        <v>258</v>
      </c>
      <c r="M270" s="1303" t="n">
        <f aca="false">HLOOKUP(M$14,Dec_Change,$L270)</f>
        <v>1.02657943516855</v>
      </c>
      <c r="N270" s="1304" t="n">
        <f aca="false">N269</f>
        <v>1.005</v>
      </c>
      <c r="O270" s="1307" t="n">
        <f aca="false">IF(AND($A270&gt;=O$16,MONTH($A270)=MONTH(O$16)),MAX(M270,N270)*O269,O269)</f>
        <v>1.68254669873615</v>
      </c>
      <c r="Q270" s="1303" t="n">
        <f aca="false">HLOOKUP(Q$14,Dec_Change,$L270)</f>
        <v>1.02657943516855</v>
      </c>
      <c r="R270" s="1304" t="n">
        <f aca="false">R269</f>
        <v>0</v>
      </c>
      <c r="S270" s="1307" t="n">
        <f aca="false">IF(AND($A270&gt;=S$16,MONTH($A270)=MONTH(S$16)),MAX(Q270,R270)*S269,S269)</f>
        <v>1.58419959570215</v>
      </c>
    </row>
    <row r="271" customFormat="false" ht="12.75" hidden="false" customHeight="false" outlineLevel="0" collapsed="false">
      <c r="A271" s="1305" t="n">
        <f aca="false">EDATE(A270,1)</f>
        <v>43070</v>
      </c>
      <c r="B271" s="1297" t="n">
        <f aca="false">'[3]Monthly Curve Calc.'!B274</f>
        <v>656.308138516842</v>
      </c>
      <c r="C271" s="1298" t="n">
        <f aca="false">'[3]Monthly Curve Calc.'!C274</f>
        <v>274.357676466101</v>
      </c>
      <c r="D271" s="1298" t="n">
        <f aca="false">'[3]Monthly Curve Calc.'!D274</f>
        <v>201.498411289872</v>
      </c>
      <c r="E271" s="1298" t="n">
        <f aca="false">'[3]Monthly Curve Calc.'!E274</f>
        <v>25.0800000000001</v>
      </c>
      <c r="F271" s="1299" t="n">
        <f aca="false">'[3]Monthly Curve Calc.'!F274</f>
        <v>3.04781956990169</v>
      </c>
      <c r="G271" s="1306" t="n">
        <f aca="false">IF(AND($A271&gt;G$16,MONTH($A271)=MONTH(G$16)),B270/B258,G270)</f>
        <v>1.06866656267332</v>
      </c>
      <c r="H271" s="1304" t="n">
        <f aca="false">IF(AND($A271&gt;H$16,MONTH($A271)=MONTH(H$16)),C270/C258,H270)</f>
        <v>1.02657943516855</v>
      </c>
      <c r="I271" s="1304" t="n">
        <f aca="false">IF(AND($A271&gt;I$16,MONTH($A271)=MONTH(I$16)),C270/C258-I$18,I270)</f>
        <v>1.02407943516855</v>
      </c>
      <c r="J271" s="1304" t="n">
        <f aca="false">IF(AND($A271&gt;J$16,MONTH($A271)=MONTH(J$16)),D270/D258,J270)</f>
        <v>1.01663330728512</v>
      </c>
      <c r="K271" s="1307" t="n">
        <f aca="false">IF($A271&gt;=K$16,IF(MONTH($A271)=MONTH(K$16),AVERAGE(E259:E270),K270),K270)</f>
        <v>24.9058680555557</v>
      </c>
      <c r="L271" s="1266" t="n">
        <f aca="false">L270+1</f>
        <v>259</v>
      </c>
      <c r="M271" s="1303" t="n">
        <f aca="false">HLOOKUP(M$14,Dec_Change,$L271)</f>
        <v>1.02657943516855</v>
      </c>
      <c r="N271" s="1304" t="n">
        <f aca="false">N270</f>
        <v>1.005</v>
      </c>
      <c r="O271" s="1307" t="n">
        <f aca="false">IF(AND($A271&gt;=O$16,MONTH($A271)=MONTH(O$16)),MAX(M271,N271)*O270,O270)</f>
        <v>1.68254669873615</v>
      </c>
      <c r="Q271" s="1303" t="n">
        <f aca="false">HLOOKUP(Q$14,Dec_Change,$L271)</f>
        <v>1.02657943516855</v>
      </c>
      <c r="R271" s="1304" t="n">
        <f aca="false">R270</f>
        <v>0</v>
      </c>
      <c r="S271" s="1307" t="n">
        <f aca="false">IF(AND($A271&gt;=S$16,MONTH($A271)=MONTH(S$16)),MAX(Q271,R271)*S270,S270)</f>
        <v>1.58419959570215</v>
      </c>
    </row>
    <row r="272" customFormat="false" ht="12.75" hidden="false" customHeight="false" outlineLevel="0" collapsed="false">
      <c r="A272" s="1305" t="n">
        <f aca="false">EDATE(A271,1)</f>
        <v>43101</v>
      </c>
      <c r="B272" s="1297" t="n">
        <f aca="false">'[3]Monthly Curve Calc.'!B275</f>
        <v>659.916105273517</v>
      </c>
      <c r="C272" s="1298" t="n">
        <f aca="false">'[3]Monthly Curve Calc.'!C275</f>
        <v>274.973117170653</v>
      </c>
      <c r="D272" s="1298" t="n">
        <f aca="false">'[3]Monthly Curve Calc.'!D275</f>
        <v>201.799638495327</v>
      </c>
      <c r="E272" s="1298" t="n">
        <f aca="false">'[3]Monthly Curve Calc.'!E275</f>
        <v>25.0800000000001</v>
      </c>
      <c r="F272" s="1299" t="n">
        <f aca="false">'[3]Monthly Curve Calc.'!F275</f>
        <v>3.05285098115965</v>
      </c>
      <c r="G272" s="1306" t="n">
        <f aca="false">IF(AND($A272&gt;G$16,MONTH($A272)=MONTH(G$16)),B271/B259,G271)</f>
        <v>1.06866656267332</v>
      </c>
      <c r="H272" s="1304" t="n">
        <f aca="false">IF(AND($A272&gt;H$16,MONTH($A272)=MONTH(H$16)),C271/C259,H271)</f>
        <v>1.02657943516855</v>
      </c>
      <c r="I272" s="1304" t="n">
        <f aca="false">IF(AND($A272&gt;I$16,MONTH($A272)=MONTH(I$16)),C271/C259-I$18,I271)</f>
        <v>1.02407943516855</v>
      </c>
      <c r="J272" s="1304" t="n">
        <f aca="false">IF(AND($A272&gt;J$16,MONTH($A272)=MONTH(J$16)),D271/D259,J271)</f>
        <v>1.01732498535784</v>
      </c>
      <c r="K272" s="1307" t="n">
        <f aca="false">IF($A272&gt;=K$16,IF(MONTH($A272)=MONTH(K$16),AVERAGE(E260:E271),K271),K271)</f>
        <v>25.0780902777779</v>
      </c>
      <c r="L272" s="1266" t="n">
        <f aca="false">L271+1</f>
        <v>260</v>
      </c>
      <c r="M272" s="1303" t="n">
        <f aca="false">HLOOKUP(M$14,Dec_Change,$L272)</f>
        <v>1.02657943516855</v>
      </c>
      <c r="N272" s="1304" t="n">
        <f aca="false">N271</f>
        <v>1.005</v>
      </c>
      <c r="O272" s="1307" t="n">
        <f aca="false">IF(AND($A272&gt;=O$16,MONTH($A272)=MONTH(O$16)),MAX(M272,N272)*O271,O271)</f>
        <v>1.68254669873615</v>
      </c>
      <c r="Q272" s="1303" t="n">
        <f aca="false">HLOOKUP(Q$14,Dec_Change,$L272)</f>
        <v>1.02657943516855</v>
      </c>
      <c r="R272" s="1304" t="n">
        <f aca="false">R271</f>
        <v>0</v>
      </c>
      <c r="S272" s="1307" t="n">
        <f aca="false">IF(AND($A272&gt;=S$16,MONTH($A272)=MONTH(S$16)),MAX(Q272,R272)*S271,S271)</f>
        <v>1.58419959570215</v>
      </c>
    </row>
    <row r="273" customFormat="false" ht="12.75" hidden="false" customHeight="false" outlineLevel="0" collapsed="false">
      <c r="A273" s="1305" t="n">
        <f aca="false">EDATE(A272,1)</f>
        <v>43132</v>
      </c>
      <c r="B273" s="1297" t="n">
        <f aca="false">'[3]Monthly Curve Calc.'!B276</f>
        <v>663.543906347874</v>
      </c>
      <c r="C273" s="1298" t="n">
        <f aca="false">'[3]Monthly Curve Calc.'!C276</f>
        <v>275.589938435303</v>
      </c>
      <c r="D273" s="1298" t="n">
        <f aca="false">'[3]Monthly Curve Calc.'!D276</f>
        <v>202.101316016141</v>
      </c>
      <c r="E273" s="1298" t="n">
        <f aca="false">'[3]Monthly Curve Calc.'!E276</f>
        <v>25.0800000000001</v>
      </c>
      <c r="F273" s="1299" t="n">
        <f aca="false">'[3]Monthly Curve Calc.'!F276</f>
        <v>3.05789069838804</v>
      </c>
      <c r="G273" s="1306" t="n">
        <f aca="false">IF(AND($A273&gt;G$16,MONTH($A273)=MONTH(G$16)),B272/B260,G272)</f>
        <v>1.06866656267332</v>
      </c>
      <c r="H273" s="1304" t="n">
        <f aca="false">IF(AND($A273&gt;H$16,MONTH($A273)=MONTH(H$16)),C272/C260,H272)</f>
        <v>1.02657943516855</v>
      </c>
      <c r="I273" s="1304" t="n">
        <f aca="false">IF(AND($A273&gt;I$16,MONTH($A273)=MONTH(I$16)),C272/C260-I$18,I272)</f>
        <v>1.02407943516855</v>
      </c>
      <c r="J273" s="1304" t="n">
        <f aca="false">IF(AND($A273&gt;J$16,MONTH($A273)=MONTH(J$16)),D272/D260,J272)</f>
        <v>1.01732498535784</v>
      </c>
      <c r="K273" s="1307" t="n">
        <f aca="false">IF($A273&gt;=K$16,IF(MONTH($A273)=MONTH(K$16),AVERAGE(E261:E272),K272),K272)</f>
        <v>25.0780902777779</v>
      </c>
      <c r="L273" s="1266" t="n">
        <f aca="false">L272+1</f>
        <v>261</v>
      </c>
      <c r="M273" s="1303" t="n">
        <f aca="false">HLOOKUP(M$14,Dec_Change,$L273)</f>
        <v>1.02657943516855</v>
      </c>
      <c r="N273" s="1304" t="n">
        <f aca="false">N272</f>
        <v>1.005</v>
      </c>
      <c r="O273" s="1307" t="n">
        <f aca="false">IF(AND($A273&gt;=O$16,MONTH($A273)=MONTH(O$16)),MAX(M273,N273)*O272,O272)</f>
        <v>1.68254669873615</v>
      </c>
      <c r="Q273" s="1303" t="n">
        <f aca="false">HLOOKUP(Q$14,Dec_Change,$L273)</f>
        <v>1.02657943516855</v>
      </c>
      <c r="R273" s="1304" t="n">
        <f aca="false">R272</f>
        <v>0</v>
      </c>
      <c r="S273" s="1307" t="n">
        <f aca="false">IF(AND($A273&gt;=S$16,MONTH($A273)=MONTH(S$16)),MAX(Q273,R273)*S272,S272)</f>
        <v>1.58419959570215</v>
      </c>
    </row>
    <row r="274" customFormat="false" ht="12.75" hidden="false" customHeight="false" outlineLevel="0" collapsed="false">
      <c r="A274" s="1305" t="n">
        <f aca="false">EDATE(A273,1)</f>
        <v>43160</v>
      </c>
      <c r="B274" s="1297" t="n">
        <f aca="false">'[3]Monthly Curve Calc.'!B277</f>
        <v>667.19165077644</v>
      </c>
      <c r="C274" s="1298" t="n">
        <f aca="false">'[3]Monthly Curve Calc.'!C277</f>
        <v>276.208143356931</v>
      </c>
      <c r="D274" s="1298" t="n">
        <f aca="false">'[3]Monthly Curve Calc.'!D277</f>
        <v>202.403444525506</v>
      </c>
      <c r="E274" s="1298" t="n">
        <f aca="false">'[3]Monthly Curve Calc.'!E277</f>
        <v>25.0800000000001</v>
      </c>
      <c r="F274" s="1299" t="n">
        <f aca="false">'[3]Monthly Curve Calc.'!F277</f>
        <v>3.06293873529856</v>
      </c>
      <c r="G274" s="1306" t="n">
        <f aca="false">IF(AND($A274&gt;G$16,MONTH($A274)=MONTH(G$16)),B273/B261,G273)</f>
        <v>1.06866656267332</v>
      </c>
      <c r="H274" s="1304" t="n">
        <f aca="false">IF(AND($A274&gt;H$16,MONTH($A274)=MONTH(H$16)),C273/C261,H273)</f>
        <v>1.02657943516855</v>
      </c>
      <c r="I274" s="1304" t="n">
        <f aca="false">IF(AND($A274&gt;I$16,MONTH($A274)=MONTH(I$16)),C273/C261-I$18,I273)</f>
        <v>1.02407943516855</v>
      </c>
      <c r="J274" s="1304" t="n">
        <f aca="false">IF(AND($A274&gt;J$16,MONTH($A274)=MONTH(J$16)),D273/D261,J273)</f>
        <v>1.01732498535784</v>
      </c>
      <c r="K274" s="1307" t="n">
        <f aca="false">IF($A274&gt;=K$16,IF(MONTH($A274)=MONTH(K$16),AVERAGE(E262:E273),K273),K273)</f>
        <v>25.0780902777779</v>
      </c>
      <c r="L274" s="1266" t="n">
        <f aca="false">L273+1</f>
        <v>262</v>
      </c>
      <c r="M274" s="1303" t="n">
        <f aca="false">HLOOKUP(M$14,Dec_Change,$L274)</f>
        <v>1.02657943516855</v>
      </c>
      <c r="N274" s="1304" t="n">
        <f aca="false">N273</f>
        <v>1.005</v>
      </c>
      <c r="O274" s="1307" t="n">
        <f aca="false">IF(AND($A274&gt;=O$16,MONTH($A274)=MONTH(O$16)),MAX(M274,N274)*O273,O273)</f>
        <v>1.68254669873615</v>
      </c>
      <c r="Q274" s="1303" t="n">
        <f aca="false">HLOOKUP(Q$14,Dec_Change,$L274)</f>
        <v>1.02657943516855</v>
      </c>
      <c r="R274" s="1304" t="n">
        <f aca="false">R273</f>
        <v>0</v>
      </c>
      <c r="S274" s="1307" t="n">
        <f aca="false">IF(AND($A274&gt;=S$16,MONTH($A274)=MONTH(S$16)),MAX(Q274,R274)*S273,S273)</f>
        <v>1.58419959570215</v>
      </c>
    </row>
    <row r="275" customFormat="false" ht="12.75" hidden="false" customHeight="false" outlineLevel="0" collapsed="false">
      <c r="A275" s="1305" t="n">
        <f aca="false">EDATE(A274,1)</f>
        <v>43191</v>
      </c>
      <c r="B275" s="1297" t="n">
        <f aca="false">'[3]Monthly Curve Calc.'!B278</f>
        <v>670.859448195152</v>
      </c>
      <c r="C275" s="1298" t="n">
        <f aca="false">'[3]Monthly Curve Calc.'!C278</f>
        <v>276.827735039366</v>
      </c>
      <c r="D275" s="1298" t="n">
        <f aca="false">'[3]Monthly Curve Calc.'!D278</f>
        <v>202.70602469762</v>
      </c>
      <c r="E275" s="1298" t="n">
        <f aca="false">'[3]Monthly Curve Calc.'!E278</f>
        <v>25.0800000000001</v>
      </c>
      <c r="F275" s="1299" t="n">
        <f aca="false">'[3]Monthly Curve Calc.'!F278</f>
        <v>3.06799510562553</v>
      </c>
      <c r="G275" s="1306" t="n">
        <f aca="false">IF(AND($A275&gt;G$16,MONTH($A275)=MONTH(G$16)),B274/B262,G274)</f>
        <v>1.06866656267332</v>
      </c>
      <c r="H275" s="1304" t="n">
        <f aca="false">IF(AND($A275&gt;H$16,MONTH($A275)=MONTH(H$16)),C274/C262,H274)</f>
        <v>1.02657943516855</v>
      </c>
      <c r="I275" s="1304" t="n">
        <f aca="false">IF(AND($A275&gt;I$16,MONTH($A275)=MONTH(I$16)),C274/C262-I$18,I274)</f>
        <v>1.02407943516855</v>
      </c>
      <c r="J275" s="1304" t="n">
        <f aca="false">IF(AND($A275&gt;J$16,MONTH($A275)=MONTH(J$16)),D274/D262,J274)</f>
        <v>1.01732498535784</v>
      </c>
      <c r="K275" s="1307" t="n">
        <f aca="false">IF($A275&gt;=K$16,IF(MONTH($A275)=MONTH(K$16),AVERAGE(E263:E274),K274),K274)</f>
        <v>25.0780902777779</v>
      </c>
      <c r="L275" s="1266" t="n">
        <f aca="false">L274+1</f>
        <v>263</v>
      </c>
      <c r="M275" s="1303" t="n">
        <f aca="false">HLOOKUP(M$14,Dec_Change,$L275)</f>
        <v>1.02657943516855</v>
      </c>
      <c r="N275" s="1304" t="n">
        <f aca="false">N274</f>
        <v>1.005</v>
      </c>
      <c r="O275" s="1307" t="n">
        <f aca="false">IF(AND($A275&gt;=O$16,MONTH($A275)=MONTH(O$16)),MAX(M275,N275)*O274,O274)</f>
        <v>1.68254669873615</v>
      </c>
      <c r="Q275" s="1303" t="n">
        <f aca="false">HLOOKUP(Q$14,Dec_Change,$L275)</f>
        <v>1.02657943516855</v>
      </c>
      <c r="R275" s="1304" t="n">
        <f aca="false">R274</f>
        <v>0</v>
      </c>
      <c r="S275" s="1307" t="n">
        <f aca="false">IF(AND($A275&gt;=S$16,MONTH($A275)=MONTH(S$16)),MAX(Q275,R275)*S274,S274)</f>
        <v>1.58419959570215</v>
      </c>
    </row>
    <row r="276" customFormat="false" ht="12.75" hidden="false" customHeight="false" outlineLevel="0" collapsed="false">
      <c r="A276" s="1305" t="n">
        <f aca="false">EDATE(A275,1)</f>
        <v>43221</v>
      </c>
      <c r="B276" s="1297" t="n">
        <f aca="false">'[3]Monthly Curve Calc.'!B279</f>
        <v>674.54740884266</v>
      </c>
      <c r="C276" s="1298" t="n">
        <f aca="false">'[3]Monthly Curve Calc.'!C279</f>
        <v>277.448716593396</v>
      </c>
      <c r="D276" s="1298" t="n">
        <f aca="false">'[3]Monthly Curve Calc.'!D279</f>
        <v>203.009057207692</v>
      </c>
      <c r="E276" s="1298" t="n">
        <f aca="false">'[3]Monthly Curve Calc.'!E279</f>
        <v>25.0800000000001</v>
      </c>
      <c r="F276" s="1299" t="n">
        <f aca="false">'[3]Monthly Curve Calc.'!F279</f>
        <v>3.07305982312594</v>
      </c>
      <c r="G276" s="1306" t="n">
        <f aca="false">IF(AND($A276&gt;G$16,MONTH($A276)=MONTH(G$16)),B275/B263,G275)</f>
        <v>1.068</v>
      </c>
      <c r="H276" s="1304" t="n">
        <f aca="false">IF(AND($A276&gt;H$16,MONTH($A276)=MONTH(H$16)),C275/C263,H275)</f>
        <v>1.02702250620139</v>
      </c>
      <c r="I276" s="1304" t="n">
        <f aca="false">IF(AND($A276&gt;I$16,MONTH($A276)=MONTH(I$16)),C275/C263-I$18,I275)</f>
        <v>1.02452250620139</v>
      </c>
      <c r="J276" s="1304" t="n">
        <f aca="false">IF(AND($A276&gt;J$16,MONTH($A276)=MONTH(J$16)),D275/D263,J275)</f>
        <v>1.01732498535784</v>
      </c>
      <c r="K276" s="1307" t="n">
        <f aca="false">IF($A276&gt;=K$16,IF(MONTH($A276)=MONTH(K$16),AVERAGE(E264:E275),K275),K275)</f>
        <v>25.0780902777779</v>
      </c>
      <c r="L276" s="1266" t="n">
        <f aca="false">L275+1</f>
        <v>264</v>
      </c>
      <c r="M276" s="1303" t="n">
        <f aca="false">HLOOKUP(M$14,Dec_Change,$L276)</f>
        <v>1.02702250620139</v>
      </c>
      <c r="N276" s="1304" t="n">
        <f aca="false">N275</f>
        <v>1.005</v>
      </c>
      <c r="O276" s="1307" t="n">
        <f aca="false">IF(AND($A276&gt;=O$16,MONTH($A276)=MONTH(O$16)),MAX(M276,N276)*O275,O275)</f>
        <v>1.72801332733687</v>
      </c>
      <c r="Q276" s="1303" t="n">
        <f aca="false">HLOOKUP(Q$14,Dec_Change,$L276)</f>
        <v>1.02702250620139</v>
      </c>
      <c r="R276" s="1304" t="n">
        <f aca="false">R275</f>
        <v>0</v>
      </c>
      <c r="S276" s="1307" t="n">
        <f aca="false">IF(AND($A276&gt;=S$16,MONTH($A276)=MONTH(S$16)),MAX(Q276,R276)*S275,S275)</f>
        <v>1.58419959570215</v>
      </c>
    </row>
    <row r="277" customFormat="false" ht="12.75" hidden="false" customHeight="false" outlineLevel="0" collapsed="false">
      <c r="A277" s="1305" t="n">
        <f aca="false">EDATE(A276,1)</f>
        <v>43252</v>
      </c>
      <c r="B277" s="1297" t="n">
        <f aca="false">'[3]Monthly Curve Calc.'!B280</f>
        <v>678.255643563632</v>
      </c>
      <c r="C277" s="1298" t="n">
        <f aca="false">'[3]Monthly Curve Calc.'!C280</f>
        <v>278.07109113679</v>
      </c>
      <c r="D277" s="1298" t="n">
        <f aca="false">'[3]Monthly Curve Calc.'!D280</f>
        <v>203.312542731937</v>
      </c>
      <c r="E277" s="1298" t="n">
        <f aca="false">'[3]Monthly Curve Calc.'!E280</f>
        <v>25.0800000000001</v>
      </c>
      <c r="F277" s="1299" t="n">
        <f aca="false">'[3]Monthly Curve Calc.'!F280</f>
        <v>3.07813290157952</v>
      </c>
      <c r="G277" s="1306" t="n">
        <f aca="false">IF(AND($A277&gt;G$16,MONTH($A277)=MONTH(G$16)),B276/B264,G276)</f>
        <v>1.068</v>
      </c>
      <c r="H277" s="1304" t="n">
        <f aca="false">IF(AND($A277&gt;H$16,MONTH($A277)=MONTH(H$16)),C276/C264,H276)</f>
        <v>1.02702250620139</v>
      </c>
      <c r="I277" s="1304" t="n">
        <f aca="false">IF(AND($A277&gt;I$16,MONTH($A277)=MONTH(I$16)),C276/C264-I$18,I276)</f>
        <v>1.02452250620139</v>
      </c>
      <c r="J277" s="1304" t="n">
        <f aca="false">IF(AND($A277&gt;J$16,MONTH($A277)=MONTH(J$16)),D276/D264,J276)</f>
        <v>1.01732498535784</v>
      </c>
      <c r="K277" s="1307" t="n">
        <f aca="false">IF($A277&gt;=K$16,IF(MONTH($A277)=MONTH(K$16),AVERAGE(E265:E276),K276),K276)</f>
        <v>25.0780902777779</v>
      </c>
      <c r="L277" s="1266" t="n">
        <f aca="false">L276+1</f>
        <v>265</v>
      </c>
      <c r="M277" s="1303" t="n">
        <f aca="false">HLOOKUP(M$14,Dec_Change,$L277)</f>
        <v>1.02702250620139</v>
      </c>
      <c r="N277" s="1304" t="n">
        <f aca="false">N276</f>
        <v>1.005</v>
      </c>
      <c r="O277" s="1307" t="n">
        <f aca="false">IF(AND($A277&gt;=O$16,MONTH($A277)=MONTH(O$16)),MAX(M277,N277)*O276,O276)</f>
        <v>1.72801332733687</v>
      </c>
      <c r="Q277" s="1303" t="n">
        <f aca="false">HLOOKUP(Q$14,Dec_Change,$L277)</f>
        <v>1.02702250620139</v>
      </c>
      <c r="R277" s="1304" t="n">
        <f aca="false">R276</f>
        <v>0</v>
      </c>
      <c r="S277" s="1307" t="n">
        <f aca="false">IF(AND($A277&gt;=S$16,MONTH($A277)=MONTH(S$16)),MAX(Q277,R277)*S276,S276)</f>
        <v>1.62700863910124</v>
      </c>
    </row>
    <row r="278" customFormat="false" ht="12.75" hidden="false" customHeight="false" outlineLevel="0" collapsed="false">
      <c r="A278" s="1305" t="n">
        <f aca="false">EDATE(A277,1)</f>
        <v>43282</v>
      </c>
      <c r="B278" s="1297" t="n">
        <f aca="false">'[3]Monthly Curve Calc.'!B281</f>
        <v>681.984263812095</v>
      </c>
      <c r="C278" s="1298" t="n">
        <f aca="false">'[3]Monthly Curve Calc.'!C281</f>
        <v>278.694861794309</v>
      </c>
      <c r="D278" s="1298" t="n">
        <f aca="false">'[3]Monthly Curve Calc.'!D281</f>
        <v>203.616481947581</v>
      </c>
      <c r="E278" s="1298" t="n">
        <f aca="false">'[3]Monthly Curve Calc.'!E281</f>
        <v>25.0800000000001</v>
      </c>
      <c r="F278" s="1299" t="n">
        <f aca="false">'[3]Monthly Curve Calc.'!F281</f>
        <v>3.0832143547887</v>
      </c>
      <c r="G278" s="1306" t="n">
        <f aca="false">IF(AND($A278&gt;G$16,MONTH($A278)=MONTH(G$16)),B277/B265,G277)</f>
        <v>1.068</v>
      </c>
      <c r="H278" s="1304" t="n">
        <f aca="false">IF(AND($A278&gt;H$16,MONTH($A278)=MONTH(H$16)),C277/C265,H277)</f>
        <v>1.02702250620139</v>
      </c>
      <c r="I278" s="1304" t="n">
        <f aca="false">IF(AND($A278&gt;I$16,MONTH($A278)=MONTH(I$16)),C277/C265-I$18,I277)</f>
        <v>1.02452250620139</v>
      </c>
      <c r="J278" s="1304" t="n">
        <f aca="false">IF(AND($A278&gt;J$16,MONTH($A278)=MONTH(J$16)),D277/D265,J277)</f>
        <v>1.01732498535784</v>
      </c>
      <c r="K278" s="1307" t="n">
        <f aca="false">IF($A278&gt;=K$16,IF(MONTH($A278)=MONTH(K$16),AVERAGE(E266:E277),K277),K277)</f>
        <v>25.0780902777779</v>
      </c>
      <c r="L278" s="1266" t="n">
        <f aca="false">L277+1</f>
        <v>266</v>
      </c>
      <c r="M278" s="1303" t="n">
        <f aca="false">HLOOKUP(M$14,Dec_Change,$L278)</f>
        <v>1.02702250620139</v>
      </c>
      <c r="N278" s="1304" t="n">
        <f aca="false">N277</f>
        <v>1.005</v>
      </c>
      <c r="O278" s="1307" t="n">
        <f aca="false">IF(AND($A278&gt;=O$16,MONTH($A278)=MONTH(O$16)),MAX(M278,N278)*O277,O277)</f>
        <v>1.72801332733687</v>
      </c>
      <c r="Q278" s="1303" t="n">
        <f aca="false">HLOOKUP(Q$14,Dec_Change,$L278)</f>
        <v>1.02702250620139</v>
      </c>
      <c r="R278" s="1304" t="n">
        <f aca="false">R277</f>
        <v>0</v>
      </c>
      <c r="S278" s="1307" t="n">
        <f aca="false">IF(AND($A278&gt;=S$16,MONTH($A278)=MONTH(S$16)),MAX(Q278,R278)*S277,S277)</f>
        <v>1.62700863910124</v>
      </c>
    </row>
    <row r="279" customFormat="false" ht="12.75" hidden="false" customHeight="false" outlineLevel="0" collapsed="false">
      <c r="A279" s="1305" t="n">
        <f aca="false">EDATE(A278,1)</f>
        <v>43313</v>
      </c>
      <c r="B279" s="1297" t="n">
        <f aca="false">'[3]Monthly Curve Calc.'!B282</f>
        <v>685.733381654774</v>
      </c>
      <c r="C279" s="1298" t="n">
        <f aca="false">'[3]Monthly Curve Calc.'!C282</f>
        <v>279.320031697725</v>
      </c>
      <c r="D279" s="1298" t="n">
        <f aca="false">'[3]Monthly Curve Calc.'!D282</f>
        <v>203.920875532866</v>
      </c>
      <c r="E279" s="1298" t="n">
        <f aca="false">'[3]Monthly Curve Calc.'!E282</f>
        <v>25.0800000000001</v>
      </c>
      <c r="F279" s="1299" t="n">
        <f aca="false">'[3]Monthly Curve Calc.'!F282</f>
        <v>3.08830419657873</v>
      </c>
      <c r="G279" s="1306" t="n">
        <f aca="false">IF(AND($A279&gt;G$16,MONTH($A279)=MONTH(G$16)),B278/B266,G278)</f>
        <v>1.068</v>
      </c>
      <c r="H279" s="1304" t="n">
        <f aca="false">IF(AND($A279&gt;H$16,MONTH($A279)=MONTH(H$16)),C278/C266,H278)</f>
        <v>1.02702250620139</v>
      </c>
      <c r="I279" s="1304" t="n">
        <f aca="false">IF(AND($A279&gt;I$16,MONTH($A279)=MONTH(I$16)),C278/C266-I$18,I278)</f>
        <v>1.02452250620139</v>
      </c>
      <c r="J279" s="1304" t="n">
        <f aca="false">IF(AND($A279&gt;J$16,MONTH($A279)=MONTH(J$16)),D278/D266,J278)</f>
        <v>1.01732498535784</v>
      </c>
      <c r="K279" s="1307" t="n">
        <f aca="false">IF($A279&gt;=K$16,IF(MONTH($A279)=MONTH(K$16),AVERAGE(E267:E278),K278),K278)</f>
        <v>25.0780902777779</v>
      </c>
      <c r="L279" s="1266" t="n">
        <f aca="false">L278+1</f>
        <v>267</v>
      </c>
      <c r="M279" s="1303" t="n">
        <f aca="false">HLOOKUP(M$14,Dec_Change,$L279)</f>
        <v>1.02702250620139</v>
      </c>
      <c r="N279" s="1304" t="n">
        <f aca="false">N278</f>
        <v>1.005</v>
      </c>
      <c r="O279" s="1307" t="n">
        <f aca="false">IF(AND($A279&gt;=O$16,MONTH($A279)=MONTH(O$16)),MAX(M279,N279)*O278,O278)</f>
        <v>1.72801332733687</v>
      </c>
      <c r="Q279" s="1303" t="n">
        <f aca="false">HLOOKUP(Q$14,Dec_Change,$L279)</f>
        <v>1.02702250620139</v>
      </c>
      <c r="R279" s="1304" t="n">
        <f aca="false">R278</f>
        <v>0</v>
      </c>
      <c r="S279" s="1307" t="n">
        <f aca="false">IF(AND($A279&gt;=S$16,MONTH($A279)=MONTH(S$16)),MAX(Q279,R279)*S278,S278)</f>
        <v>1.62700863910124</v>
      </c>
    </row>
    <row r="280" customFormat="false" ht="12.75" hidden="false" customHeight="false" outlineLevel="0" collapsed="false">
      <c r="A280" s="1305" t="n">
        <f aca="false">EDATE(A279,1)</f>
        <v>43344</v>
      </c>
      <c r="B280" s="1297" t="n">
        <f aca="false">'[3]Monthly Curve Calc.'!B283</f>
        <v>689.50310977447</v>
      </c>
      <c r="C280" s="1298" t="n">
        <f aca="false">'[3]Monthly Curve Calc.'!C283</f>
        <v>279.946603985833</v>
      </c>
      <c r="D280" s="1298" t="n">
        <f aca="false">'[3]Monthly Curve Calc.'!D283</f>
        <v>204.225724167044</v>
      </c>
      <c r="E280" s="1298" t="n">
        <f aca="false">'[3]Monthly Curve Calc.'!E283</f>
        <v>25.0800000000001</v>
      </c>
      <c r="F280" s="1299" t="n">
        <f aca="false">'[3]Monthly Curve Calc.'!F283</f>
        <v>3.09340244079768</v>
      </c>
      <c r="G280" s="1306" t="n">
        <f aca="false">IF(AND($A280&gt;G$16,MONTH($A280)=MONTH(G$16)),B279/B267,G279)</f>
        <v>1.068</v>
      </c>
      <c r="H280" s="1304" t="n">
        <f aca="false">IF(AND($A280&gt;H$16,MONTH($A280)=MONTH(H$16)),C279/C267,H279)</f>
        <v>1.02702250620139</v>
      </c>
      <c r="I280" s="1304" t="n">
        <f aca="false">IF(AND($A280&gt;I$16,MONTH($A280)=MONTH(I$16)),C279/C267-I$18,I279)</f>
        <v>1.02452250620139</v>
      </c>
      <c r="J280" s="1304" t="n">
        <f aca="false">IF(AND($A280&gt;J$16,MONTH($A280)=MONTH(J$16)),D279/D267,J279)</f>
        <v>1.01732498535784</v>
      </c>
      <c r="K280" s="1307" t="n">
        <f aca="false">IF($A280&gt;=K$16,IF(MONTH($A280)=MONTH(K$16),AVERAGE(E268:E279),K279),K279)</f>
        <v>25.0780902777779</v>
      </c>
      <c r="L280" s="1266" t="n">
        <f aca="false">L279+1</f>
        <v>268</v>
      </c>
      <c r="M280" s="1303" t="n">
        <f aca="false">HLOOKUP(M$14,Dec_Change,$L280)</f>
        <v>1.02702250620139</v>
      </c>
      <c r="N280" s="1304" t="n">
        <f aca="false">N279</f>
        <v>1.005</v>
      </c>
      <c r="O280" s="1307" t="n">
        <f aca="false">IF(AND($A280&gt;=O$16,MONTH($A280)=MONTH(O$16)),MAX(M280,N280)*O279,O279)</f>
        <v>1.72801332733687</v>
      </c>
      <c r="Q280" s="1303" t="n">
        <f aca="false">HLOOKUP(Q$14,Dec_Change,$L280)</f>
        <v>1.02702250620139</v>
      </c>
      <c r="R280" s="1304" t="n">
        <f aca="false">R279</f>
        <v>0</v>
      </c>
      <c r="S280" s="1307" t="n">
        <f aca="false">IF(AND($A280&gt;=S$16,MONTH($A280)=MONTH(S$16)),MAX(Q280,R280)*S279,S279)</f>
        <v>1.62700863910124</v>
      </c>
    </row>
    <row r="281" customFormat="false" ht="12.75" hidden="false" customHeight="false" outlineLevel="0" collapsed="false">
      <c r="A281" s="1305" t="n">
        <f aca="false">EDATE(A280,1)</f>
        <v>43374</v>
      </c>
      <c r="B281" s="1297" t="n">
        <f aca="false">'[3]Monthly Curve Calc.'!B284</f>
        <v>693.293561473441</v>
      </c>
      <c r="C281" s="1298" t="n">
        <f aca="false">'[3]Monthly Curve Calc.'!C284</f>
        <v>280.574581804471</v>
      </c>
      <c r="D281" s="1298" t="n">
        <f aca="false">'[3]Monthly Curve Calc.'!D284</f>
        <v>204.531028530384</v>
      </c>
      <c r="E281" s="1298" t="n">
        <f aca="false">'[3]Monthly Curve Calc.'!E284</f>
        <v>25.0800000000001</v>
      </c>
      <c r="F281" s="1299" t="n">
        <f aca="false">'[3]Monthly Curve Calc.'!F284</f>
        <v>3.09850910131647</v>
      </c>
      <c r="G281" s="1306" t="n">
        <f aca="false">IF(AND($A281&gt;G$16,MONTH($A281)=MONTH(G$16)),B280/B268,G280)</f>
        <v>1.068</v>
      </c>
      <c r="H281" s="1304" t="n">
        <f aca="false">IF(AND($A281&gt;H$16,MONTH($A281)=MONTH(H$16)),C280/C268,H280)</f>
        <v>1.02702250620139</v>
      </c>
      <c r="I281" s="1304" t="n">
        <f aca="false">IF(AND($A281&gt;I$16,MONTH($A281)=MONTH(I$16)),C280/C268-I$18,I280)</f>
        <v>1.02452250620139</v>
      </c>
      <c r="J281" s="1304" t="n">
        <f aca="false">IF(AND($A281&gt;J$16,MONTH($A281)=MONTH(J$16)),D280/D268,J280)</f>
        <v>1.01732498535784</v>
      </c>
      <c r="K281" s="1307" t="n">
        <f aca="false">IF($A281&gt;=K$16,IF(MONTH($A281)=MONTH(K$16),AVERAGE(E269:E280),K280),K280)</f>
        <v>25.0780902777779</v>
      </c>
      <c r="L281" s="1266" t="n">
        <f aca="false">L280+1</f>
        <v>269</v>
      </c>
      <c r="M281" s="1303" t="n">
        <f aca="false">HLOOKUP(M$14,Dec_Change,$L281)</f>
        <v>1.02702250620139</v>
      </c>
      <c r="N281" s="1304" t="n">
        <f aca="false">N280</f>
        <v>1.005</v>
      </c>
      <c r="O281" s="1307" t="n">
        <f aca="false">IF(AND($A281&gt;=O$16,MONTH($A281)=MONTH(O$16)),MAX(M281,N281)*O280,O280)</f>
        <v>1.72801332733687</v>
      </c>
      <c r="Q281" s="1303" t="n">
        <f aca="false">HLOOKUP(Q$14,Dec_Change,$L281)</f>
        <v>1.02702250620139</v>
      </c>
      <c r="R281" s="1304" t="n">
        <f aca="false">R280</f>
        <v>0</v>
      </c>
      <c r="S281" s="1307" t="n">
        <f aca="false">IF(AND($A281&gt;=S$16,MONTH($A281)=MONTH(S$16)),MAX(Q281,R281)*S280,S280)</f>
        <v>1.62700863910124</v>
      </c>
    </row>
    <row r="282" customFormat="false" ht="12.75" hidden="false" customHeight="false" outlineLevel="0" collapsed="false">
      <c r="A282" s="1305" t="n">
        <f aca="false">EDATE(A281,1)</f>
        <v>43405</v>
      </c>
      <c r="B282" s="1297" t="n">
        <f aca="false">'[3]Monthly Curve Calc.'!B285</f>
        <v>697.10485067681</v>
      </c>
      <c r="C282" s="1298" t="n">
        <f aca="false">'[3]Monthly Curve Calc.'!C285</f>
        <v>281.203968306534</v>
      </c>
      <c r="D282" s="1298" t="n">
        <f aca="false">'[3]Monthly Curve Calc.'!D285</f>
        <v>204.836789304172</v>
      </c>
      <c r="E282" s="1298" t="n">
        <f aca="false">'[3]Monthly Curve Calc.'!E285</f>
        <v>25.0800000000001</v>
      </c>
      <c r="F282" s="1299" t="n">
        <f aca="false">'[3]Monthly Curve Calc.'!F285</f>
        <v>3.10362419202893</v>
      </c>
      <c r="G282" s="1306" t="n">
        <f aca="false">IF(AND($A282&gt;G$16,MONTH($A282)=MONTH(G$16)),B281/B269,G281)</f>
        <v>1.068</v>
      </c>
      <c r="H282" s="1304" t="n">
        <f aca="false">IF(AND($A282&gt;H$16,MONTH($A282)=MONTH(H$16)),C281/C269,H281)</f>
        <v>1.02702250620139</v>
      </c>
      <c r="I282" s="1304" t="n">
        <f aca="false">IF(AND($A282&gt;I$16,MONTH($A282)=MONTH(I$16)),C281/C269-I$18,I281)</f>
        <v>1.02452250620139</v>
      </c>
      <c r="J282" s="1304" t="n">
        <f aca="false">IF(AND($A282&gt;J$16,MONTH($A282)=MONTH(J$16)),D281/D269,J281)</f>
        <v>1.01732498535784</v>
      </c>
      <c r="K282" s="1307" t="n">
        <f aca="false">IF($A282&gt;=K$16,IF(MONTH($A282)=MONTH(K$16),AVERAGE(E270:E281),K281),K281)</f>
        <v>25.0780902777779</v>
      </c>
      <c r="L282" s="1266" t="n">
        <f aca="false">L281+1</f>
        <v>270</v>
      </c>
      <c r="M282" s="1303" t="n">
        <f aca="false">HLOOKUP(M$14,Dec_Change,$L282)</f>
        <v>1.02702250620139</v>
      </c>
      <c r="N282" s="1304" t="n">
        <f aca="false">N281</f>
        <v>1.005</v>
      </c>
      <c r="O282" s="1307" t="n">
        <f aca="false">IF(AND($A282&gt;=O$16,MONTH($A282)=MONTH(O$16)),MAX(M282,N282)*O281,O281)</f>
        <v>1.72801332733687</v>
      </c>
      <c r="Q282" s="1303" t="n">
        <f aca="false">HLOOKUP(Q$14,Dec_Change,$L282)</f>
        <v>1.02702250620139</v>
      </c>
      <c r="R282" s="1304" t="n">
        <f aca="false">R281</f>
        <v>0</v>
      </c>
      <c r="S282" s="1307" t="n">
        <f aca="false">IF(AND($A282&gt;=S$16,MONTH($A282)=MONTH(S$16)),MAX(Q282,R282)*S281,S281)</f>
        <v>1.62700863910124</v>
      </c>
    </row>
    <row r="283" customFormat="false" ht="12.75" hidden="false" customHeight="false" outlineLevel="0" collapsed="false">
      <c r="A283" s="1305" t="n">
        <f aca="false">EDATE(A282,1)</f>
        <v>43435</v>
      </c>
      <c r="B283" s="1297" t="n">
        <f aca="false">'[3]Monthly Curve Calc.'!B286</f>
        <v>700.937091935988</v>
      </c>
      <c r="C283" s="1298" t="n">
        <f aca="false">'[3]Monthly Curve Calc.'!C286</f>
        <v>281.834766651987</v>
      </c>
      <c r="D283" s="1298" t="n">
        <f aca="false">'[3]Monthly Curve Calc.'!D286</f>
        <v>205.143007170713</v>
      </c>
      <c r="E283" s="1298" t="n">
        <f aca="false">'[3]Monthly Curve Calc.'!E286</f>
        <v>25.0800000000001</v>
      </c>
      <c r="F283" s="1299" t="n">
        <f aca="false">'[3]Monthly Curve Calc.'!F286</f>
        <v>3.10874772685181</v>
      </c>
      <c r="G283" s="1306" t="n">
        <f aca="false">IF(AND($A283&gt;G$16,MONTH($A283)=MONTH(G$16)),B282/B270,G282)</f>
        <v>1.068</v>
      </c>
      <c r="H283" s="1304" t="n">
        <f aca="false">IF(AND($A283&gt;H$16,MONTH($A283)=MONTH(H$16)),C282/C270,H282)</f>
        <v>1.02702250620139</v>
      </c>
      <c r="I283" s="1304" t="n">
        <f aca="false">IF(AND($A283&gt;I$16,MONTH($A283)=MONTH(I$16)),C282/C270-I$18,I282)</f>
        <v>1.02452250620139</v>
      </c>
      <c r="J283" s="1304" t="n">
        <f aca="false">IF(AND($A283&gt;J$16,MONTH($A283)=MONTH(J$16)),D282/D270,J282)</f>
        <v>1.01732498535784</v>
      </c>
      <c r="K283" s="1307" t="n">
        <f aca="false">IF($A283&gt;=K$16,IF(MONTH($A283)=MONTH(K$16),AVERAGE(E271:E282),K282),K282)</f>
        <v>25.0780902777779</v>
      </c>
      <c r="L283" s="1266" t="n">
        <f aca="false">L282+1</f>
        <v>271</v>
      </c>
      <c r="M283" s="1303" t="n">
        <f aca="false">HLOOKUP(M$14,Dec_Change,$L283)</f>
        <v>1.02702250620139</v>
      </c>
      <c r="N283" s="1304" t="n">
        <f aca="false">N282</f>
        <v>1.005</v>
      </c>
      <c r="O283" s="1307" t="n">
        <f aca="false">IF(AND($A283&gt;=O$16,MONTH($A283)=MONTH(O$16)),MAX(M283,N283)*O282,O282)</f>
        <v>1.72801332733687</v>
      </c>
      <c r="Q283" s="1303" t="n">
        <f aca="false">HLOOKUP(Q$14,Dec_Change,$L283)</f>
        <v>1.02702250620139</v>
      </c>
      <c r="R283" s="1304" t="n">
        <f aca="false">R282</f>
        <v>0</v>
      </c>
      <c r="S283" s="1307" t="n">
        <f aca="false">IF(AND($A283&gt;=S$16,MONTH($A283)=MONTH(S$16)),MAX(Q283,R283)*S282,S282)</f>
        <v>1.62700863910124</v>
      </c>
    </row>
    <row r="284" customFormat="false" ht="12.75" hidden="false" customHeight="false" outlineLevel="0" collapsed="false">
      <c r="A284" s="1305" t="n">
        <f aca="false">EDATE(A283,1)</f>
        <v>43466</v>
      </c>
      <c r="B284" s="1297" t="n">
        <f aca="false">'[3]Monthly Curve Calc.'!B287</f>
        <v>704.790400432116</v>
      </c>
      <c r="C284" s="1298" t="n">
        <f aca="false">'[3]Monthly Curve Calc.'!C287</f>
        <v>282.480056369098</v>
      </c>
      <c r="D284" s="1298" t="n">
        <f aca="false">'[3]Monthly Curve Calc.'!D287</f>
        <v>205.464811657908</v>
      </c>
      <c r="E284" s="1298" t="n">
        <f aca="false">'[3]Monthly Curve Calc.'!E287</f>
        <v>25.0800000000001</v>
      </c>
      <c r="F284" s="1299" t="n">
        <f aca="false">'[3]Monthly Curve Calc.'!F287</f>
        <v>3.11389218833154</v>
      </c>
      <c r="G284" s="1306" t="n">
        <f aca="false">IF(AND($A284&gt;G$16,MONTH($A284)=MONTH(G$16)),B283/B271,G283)</f>
        <v>1.068</v>
      </c>
      <c r="H284" s="1304" t="n">
        <f aca="false">IF(AND($A284&gt;H$16,MONTH($A284)=MONTH(H$16)),C283/C271,H283)</f>
        <v>1.02702250620139</v>
      </c>
      <c r="I284" s="1304" t="n">
        <f aca="false">IF(AND($A284&gt;I$16,MONTH($A284)=MONTH(I$16)),C283/C271-I$18,I283)</f>
        <v>1.02452250620139</v>
      </c>
      <c r="J284" s="1304" t="n">
        <f aca="false">IF(AND($A284&gt;J$16,MONTH($A284)=MONTH(J$16)),D283/D271,J283)</f>
        <v>1.01808746707982</v>
      </c>
      <c r="K284" s="1307" t="n">
        <f aca="false">IF($A284&gt;=K$16,IF(MONTH($A284)=MONTH(K$16),AVERAGE(E272:E283),K283),K283)</f>
        <v>25.0800000000001</v>
      </c>
      <c r="L284" s="1266" t="n">
        <f aca="false">L283+1</f>
        <v>272</v>
      </c>
      <c r="M284" s="1303" t="n">
        <f aca="false">HLOOKUP(M$14,Dec_Change,$L284)</f>
        <v>1.02702250620139</v>
      </c>
      <c r="N284" s="1304" t="n">
        <f aca="false">N283</f>
        <v>1.005</v>
      </c>
      <c r="O284" s="1307" t="n">
        <f aca="false">IF(AND($A284&gt;=O$16,MONTH($A284)=MONTH(O$16)),MAX(M284,N284)*O283,O283)</f>
        <v>1.72801332733687</v>
      </c>
      <c r="Q284" s="1303" t="n">
        <f aca="false">HLOOKUP(Q$14,Dec_Change,$L284)</f>
        <v>1.02702250620139</v>
      </c>
      <c r="R284" s="1304" t="n">
        <f aca="false">R283</f>
        <v>0</v>
      </c>
      <c r="S284" s="1307" t="n">
        <f aca="false">IF(AND($A284&gt;=S$16,MONTH($A284)=MONTH(S$16)),MAX(Q284,R284)*S283,S283)</f>
        <v>1.62700863910124</v>
      </c>
    </row>
    <row r="285" customFormat="false" ht="12.75" hidden="false" customHeight="false" outlineLevel="0" collapsed="false">
      <c r="A285" s="1305" t="n">
        <f aca="false">EDATE(A284,1)</f>
        <v>43497</v>
      </c>
      <c r="B285" s="1297" t="n">
        <f aca="false">'[3]Monthly Curve Calc.'!B288</f>
        <v>708.66489197953</v>
      </c>
      <c r="C285" s="1298" t="n">
        <f aca="false">'[3]Monthly Curve Calc.'!C288</f>
        <v>283.126823543458</v>
      </c>
      <c r="D285" s="1298" t="n">
        <f aca="false">'[3]Monthly Curve Calc.'!D288</f>
        <v>205.78712095455</v>
      </c>
      <c r="E285" s="1298" t="n">
        <f aca="false">'[3]Monthly Curve Calc.'!E288</f>
        <v>25.0800000000001</v>
      </c>
      <c r="F285" s="1299" t="n">
        <f aca="false">'[3]Monthly Curve Calc.'!F288</f>
        <v>3.11904516304111</v>
      </c>
      <c r="G285" s="1306" t="n">
        <f aca="false">IF(AND($A285&gt;G$16,MONTH($A285)=MONTH(G$16)),B284/B272,G284)</f>
        <v>1.068</v>
      </c>
      <c r="H285" s="1304" t="n">
        <f aca="false">IF(AND($A285&gt;H$16,MONTH($A285)=MONTH(H$16)),C284/C272,H284)</f>
        <v>1.02702250620139</v>
      </c>
      <c r="I285" s="1304" t="n">
        <f aca="false">IF(AND($A285&gt;I$16,MONTH($A285)=MONTH(I$16)),C284/C272-I$18,I284)</f>
        <v>1.02452250620139</v>
      </c>
      <c r="J285" s="1304" t="n">
        <f aca="false">IF(AND($A285&gt;J$16,MONTH($A285)=MONTH(J$16)),D284/D272,J284)</f>
        <v>1.01808746707982</v>
      </c>
      <c r="K285" s="1307" t="n">
        <f aca="false">IF($A285&gt;=K$16,IF(MONTH($A285)=MONTH(K$16),AVERAGE(E273:E284),K284),K284)</f>
        <v>25.0800000000001</v>
      </c>
      <c r="L285" s="1266" t="n">
        <f aca="false">L284+1</f>
        <v>273</v>
      </c>
      <c r="M285" s="1303" t="n">
        <f aca="false">HLOOKUP(M$14,Dec_Change,$L285)</f>
        <v>1.02702250620139</v>
      </c>
      <c r="N285" s="1304" t="n">
        <f aca="false">N284</f>
        <v>1.005</v>
      </c>
      <c r="O285" s="1307" t="n">
        <f aca="false">IF(AND($A285&gt;=O$16,MONTH($A285)=MONTH(O$16)),MAX(M285,N285)*O284,O284)</f>
        <v>1.72801332733687</v>
      </c>
      <c r="Q285" s="1303" t="n">
        <f aca="false">HLOOKUP(Q$14,Dec_Change,$L285)</f>
        <v>1.02702250620139</v>
      </c>
      <c r="R285" s="1304" t="n">
        <f aca="false">R284</f>
        <v>0</v>
      </c>
      <c r="S285" s="1307" t="n">
        <f aca="false">IF(AND($A285&gt;=S$16,MONTH($A285)=MONTH(S$16)),MAX(Q285,R285)*S284,S284)</f>
        <v>1.62700863910124</v>
      </c>
    </row>
    <row r="286" customFormat="false" ht="12.75" hidden="false" customHeight="false" outlineLevel="0" collapsed="false">
      <c r="A286" s="1305" t="n">
        <f aca="false">EDATE(A285,1)</f>
        <v>43525</v>
      </c>
      <c r="B286" s="1297" t="n">
        <f aca="false">'[3]Monthly Curve Calc.'!B289</f>
        <v>712.560683029238</v>
      </c>
      <c r="C286" s="1298" t="n">
        <f aca="false">'[3]Monthly Curve Calc.'!C289</f>
        <v>283.775071557857</v>
      </c>
      <c r="D286" s="1298" t="n">
        <f aca="false">'[3]Monthly Curve Calc.'!D289</f>
        <v>206.109935852525</v>
      </c>
      <c r="E286" s="1298" t="n">
        <f aca="false">'[3]Monthly Curve Calc.'!E289</f>
        <v>25.0800000000001</v>
      </c>
      <c r="F286" s="1299" t="n">
        <f aca="false">'[3]Monthly Curve Calc.'!F289</f>
        <v>3.12420666506851</v>
      </c>
      <c r="G286" s="1306" t="n">
        <f aca="false">IF(AND($A286&gt;G$16,MONTH($A286)=MONTH(G$16)),B285/B273,G285)</f>
        <v>1.068</v>
      </c>
      <c r="H286" s="1304" t="n">
        <f aca="false">IF(AND($A286&gt;H$16,MONTH($A286)=MONTH(H$16)),C285/C273,H285)</f>
        <v>1.02702250620139</v>
      </c>
      <c r="I286" s="1304" t="n">
        <f aca="false">IF(AND($A286&gt;I$16,MONTH($A286)=MONTH(I$16)),C285/C273-I$18,I285)</f>
        <v>1.02452250620139</v>
      </c>
      <c r="J286" s="1304" t="n">
        <f aca="false">IF(AND($A286&gt;J$16,MONTH($A286)=MONTH(J$16)),D285/D273,J285)</f>
        <v>1.01808746707982</v>
      </c>
      <c r="K286" s="1307" t="n">
        <f aca="false">IF($A286&gt;=K$16,IF(MONTH($A286)=MONTH(K$16),AVERAGE(E274:E285),K285),K285)</f>
        <v>25.0800000000001</v>
      </c>
      <c r="L286" s="1266" t="n">
        <f aca="false">L285+1</f>
        <v>274</v>
      </c>
      <c r="M286" s="1303" t="n">
        <f aca="false">HLOOKUP(M$14,Dec_Change,$L286)</f>
        <v>1.02702250620139</v>
      </c>
      <c r="N286" s="1304" t="n">
        <f aca="false">N285</f>
        <v>1.005</v>
      </c>
      <c r="O286" s="1307" t="n">
        <f aca="false">IF(AND($A286&gt;=O$16,MONTH($A286)=MONTH(O$16)),MAX(M286,N286)*O285,O285)</f>
        <v>1.72801332733687</v>
      </c>
      <c r="Q286" s="1303" t="n">
        <f aca="false">HLOOKUP(Q$14,Dec_Change,$L286)</f>
        <v>1.02702250620139</v>
      </c>
      <c r="R286" s="1304" t="n">
        <f aca="false">R285</f>
        <v>0</v>
      </c>
      <c r="S286" s="1307" t="n">
        <f aca="false">IF(AND($A286&gt;=S$16,MONTH($A286)=MONTH(S$16)),MAX(Q286,R286)*S285,S285)</f>
        <v>1.62700863910124</v>
      </c>
    </row>
    <row r="287" customFormat="false" ht="12.75" hidden="false" customHeight="false" outlineLevel="0" collapsed="false">
      <c r="A287" s="1305" t="n">
        <f aca="false">EDATE(A286,1)</f>
        <v>43556</v>
      </c>
      <c r="B287" s="1297" t="n">
        <f aca="false">'[3]Monthly Curve Calc.'!B290</f>
        <v>716.477890672423</v>
      </c>
      <c r="C287" s="1298" t="n">
        <f aca="false">'[3]Monthly Curve Calc.'!C290</f>
        <v>284.424803802831</v>
      </c>
      <c r="D287" s="1298" t="n">
        <f aca="false">'[3]Monthly Curve Calc.'!D290</f>
        <v>206.433257144962</v>
      </c>
      <c r="E287" s="1298" t="n">
        <f aca="false">'[3]Monthly Curve Calc.'!E290</f>
        <v>25.0800000000001</v>
      </c>
      <c r="F287" s="1299" t="n">
        <f aca="false">'[3]Monthly Curve Calc.'!F290</f>
        <v>3.12937670852503</v>
      </c>
      <c r="G287" s="1306" t="n">
        <f aca="false">IF(AND($A287&gt;G$16,MONTH($A287)=MONTH(G$16)),B286/B274,G286)</f>
        <v>1.068</v>
      </c>
      <c r="H287" s="1304" t="n">
        <f aca="false">IF(AND($A287&gt;H$16,MONTH($A287)=MONTH(H$16)),C286/C274,H286)</f>
        <v>1.02702250620139</v>
      </c>
      <c r="I287" s="1304" t="n">
        <f aca="false">IF(AND($A287&gt;I$16,MONTH($A287)=MONTH(I$16)),C286/C274-I$18,I286)</f>
        <v>1.02452250620139</v>
      </c>
      <c r="J287" s="1304" t="n">
        <f aca="false">IF(AND($A287&gt;J$16,MONTH($A287)=MONTH(J$16)),D286/D274,J286)</f>
        <v>1.01808746707982</v>
      </c>
      <c r="K287" s="1307" t="n">
        <f aca="false">IF($A287&gt;=K$16,IF(MONTH($A287)=MONTH(K$16),AVERAGE(E275:E286),K286),K286)</f>
        <v>25.0800000000001</v>
      </c>
      <c r="L287" s="1266" t="n">
        <f aca="false">L286+1</f>
        <v>275</v>
      </c>
      <c r="M287" s="1303" t="n">
        <f aca="false">HLOOKUP(M$14,Dec_Change,$L287)</f>
        <v>1.02702250620139</v>
      </c>
      <c r="N287" s="1304" t="n">
        <f aca="false">N286</f>
        <v>1.005</v>
      </c>
      <c r="O287" s="1307" t="n">
        <f aca="false">IF(AND($A287&gt;=O$16,MONTH($A287)=MONTH(O$16)),MAX(M287,N287)*O286,O286)</f>
        <v>1.72801332733687</v>
      </c>
      <c r="Q287" s="1303" t="n">
        <f aca="false">HLOOKUP(Q$14,Dec_Change,$L287)</f>
        <v>1.02702250620139</v>
      </c>
      <c r="R287" s="1304" t="n">
        <f aca="false">R286</f>
        <v>0</v>
      </c>
      <c r="S287" s="1307" t="n">
        <f aca="false">IF(AND($A287&gt;=S$16,MONTH($A287)=MONTH(S$16)),MAX(Q287,R287)*S286,S286)</f>
        <v>1.62700863910124</v>
      </c>
    </row>
    <row r="288" customFormat="false" ht="12.75" hidden="false" customHeight="false" outlineLevel="0" collapsed="false">
      <c r="A288" s="1305" t="n">
        <f aca="false">EDATE(A287,1)</f>
        <v>43586</v>
      </c>
      <c r="B288" s="1297" t="n">
        <f aca="false">'[3]Monthly Curve Calc.'!B291</f>
        <v>720.416632643961</v>
      </c>
      <c r="C288" s="1298" t="n">
        <f aca="false">'[3]Monthly Curve Calc.'!C291</f>
        <v>285.076023676679</v>
      </c>
      <c r="D288" s="1298" t="n">
        <f aca="false">'[3]Monthly Curve Calc.'!D291</f>
        <v>206.757085626233</v>
      </c>
      <c r="E288" s="1298" t="n">
        <f aca="false">'[3]Monthly Curve Calc.'!E291</f>
        <v>25.0800000000001</v>
      </c>
      <c r="F288" s="1299" t="n">
        <f aca="false">'[3]Monthly Curve Calc.'!F291</f>
        <v>3.13455530754531</v>
      </c>
      <c r="G288" s="1306" t="n">
        <f aca="false">IF(AND($A288&gt;G$16,MONTH($A288)=MONTH(G$16)),B287/B275,G287)</f>
        <v>1.068</v>
      </c>
      <c r="H288" s="1304" t="n">
        <f aca="false">IF(AND($A288&gt;H$16,MONTH($A288)=MONTH(H$16)),C287/C275,H287)</f>
        <v>1.02744330788382</v>
      </c>
      <c r="I288" s="1304" t="n">
        <f aca="false">IF(AND($A288&gt;I$16,MONTH($A288)=MONTH(I$16)),C287/C275-I$18,I287)</f>
        <v>1.02494330788382</v>
      </c>
      <c r="J288" s="1304" t="n">
        <f aca="false">IF(AND($A288&gt;J$16,MONTH($A288)=MONTH(J$16)),D287/D275,J287)</f>
        <v>1.01808746707982</v>
      </c>
      <c r="K288" s="1307" t="n">
        <f aca="false">IF($A288&gt;=K$16,IF(MONTH($A288)=MONTH(K$16),AVERAGE(E276:E287),K287),K287)</f>
        <v>25.0800000000001</v>
      </c>
      <c r="L288" s="1266" t="n">
        <f aca="false">L287+1</f>
        <v>276</v>
      </c>
      <c r="M288" s="1303" t="n">
        <f aca="false">HLOOKUP(M$14,Dec_Change,$L288)</f>
        <v>1.02744330788382</v>
      </c>
      <c r="N288" s="1304" t="n">
        <f aca="false">N287</f>
        <v>1.005</v>
      </c>
      <c r="O288" s="1307" t="n">
        <f aca="false">IF(AND($A288&gt;=O$16,MONTH($A288)=MONTH(O$16)),MAX(M288,N288)*O287,O287)</f>
        <v>1.77543572910631</v>
      </c>
      <c r="Q288" s="1303" t="n">
        <f aca="false">HLOOKUP(Q$14,Dec_Change,$L288)</f>
        <v>1.02744330788382</v>
      </c>
      <c r="R288" s="1304" t="n">
        <f aca="false">R287</f>
        <v>0</v>
      </c>
      <c r="S288" s="1307" t="n">
        <f aca="false">IF(AND($A288&gt;=S$16,MONTH($A288)=MONTH(S$16)),MAX(Q288,R288)*S287,S287)</f>
        <v>1.62700863910124</v>
      </c>
    </row>
    <row r="289" customFormat="false" ht="13.5" hidden="false" customHeight="false" outlineLevel="0" collapsed="false">
      <c r="A289" s="1309"/>
      <c r="B289" s="1310"/>
      <c r="C289" s="1311"/>
      <c r="D289" s="1311"/>
      <c r="E289" s="1311"/>
      <c r="F289" s="1311"/>
      <c r="G289" s="1310"/>
      <c r="H289" s="1311"/>
      <c r="I289" s="1311"/>
      <c r="J289" s="1311"/>
      <c r="K289" s="1312"/>
      <c r="M289" s="1313"/>
      <c r="N289" s="1311"/>
      <c r="O289" s="1312"/>
      <c r="Q289" s="1313"/>
      <c r="R289" s="1311"/>
      <c r="S289" s="1312"/>
    </row>
    <row r="291" customFormat="false" ht="12.75" hidden="false" customHeight="false" outlineLevel="0" collapsed="false">
      <c r="A291" s="1314" t="n">
        <v>1</v>
      </c>
      <c r="B291" s="1314" t="n">
        <f aca="false">A291+1</f>
        <v>2</v>
      </c>
      <c r="C291" s="1314" t="n">
        <f aca="false">B291+1</f>
        <v>3</v>
      </c>
      <c r="D291" s="1314" t="n">
        <f aca="false">C291+1</f>
        <v>4</v>
      </c>
      <c r="E291" s="1314" t="n">
        <f aca="false">D291+1</f>
        <v>5</v>
      </c>
      <c r="F291" s="1314" t="n">
        <f aca="false">E291+1</f>
        <v>6</v>
      </c>
      <c r="G291" s="1314" t="n">
        <f aca="false">F291+1</f>
        <v>7</v>
      </c>
      <c r="H291" s="1314" t="n">
        <f aca="false">G291+1</f>
        <v>8</v>
      </c>
      <c r="I291" s="1314" t="n">
        <f aca="false">H291+1</f>
        <v>9</v>
      </c>
      <c r="J291" s="1314" t="n">
        <f aca="false">I291+1</f>
        <v>10</v>
      </c>
      <c r="K291" s="1314" t="n">
        <f aca="false">J291+1</f>
        <v>11</v>
      </c>
      <c r="L291" s="1314" t="n">
        <f aca="false">K291+1</f>
        <v>12</v>
      </c>
      <c r="M291" s="1314" t="n">
        <f aca="false">L291+1</f>
        <v>13</v>
      </c>
      <c r="N291" s="1314" t="n">
        <f aca="false">M291+1</f>
        <v>14</v>
      </c>
      <c r="O291" s="1315" t="n">
        <f aca="false">N291+1</f>
        <v>15</v>
      </c>
      <c r="P291" s="1314" t="n">
        <f aca="false">O291+1</f>
        <v>16</v>
      </c>
      <c r="Q291" s="1314" t="n">
        <f aca="false">P291+1</f>
        <v>17</v>
      </c>
      <c r="R291" s="1314" t="n">
        <f aca="false">Q291+1</f>
        <v>18</v>
      </c>
      <c r="S291" s="1314" t="n">
        <f aca="false">R291+1</f>
        <v>19</v>
      </c>
    </row>
  </sheetData>
  <mergeCells count="3">
    <mergeCell ref="M12:O12"/>
    <mergeCell ref="Q12:S12"/>
    <mergeCell ref="G14:K14"/>
  </mergeCells>
  <printOptions headings="false" gridLines="false" gridLinesSet="true" horizontalCentered="true" verticalCentered="false"/>
  <pageMargins left="0.25" right="0.25" top="0.5" bottom="0.5" header="0.511811023622047" footer="0.511811023622047"/>
  <pageSetup paperSize="1" scale="100" fitToWidth="1" fitToHeight="4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8"/>
  <sheetViews>
    <sheetView showFormulas="false" showGridLines="false" showRowColHeaders="true" showZeros="true" rightToLeft="false" tabSelected="false" showOutlineSymbols="true" defaultGridColor="true" view="normal" topLeftCell="A7" colorId="64" zoomScale="80" zoomScaleNormal="80" zoomScalePageLayoutView="100" workbookViewId="0">
      <pane xSplit="0" ySplit="1" topLeftCell="BM8" activePane="bottomLeft" state="frozen"/>
      <selection pane="topLeft" activeCell="A7" activeCellId="0" sqref="A7"/>
      <selection pane="bottomLeft" activeCell="H17" activeCellId="0" sqref="H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2.7"/>
    <col collapsed="false" customWidth="true" hidden="false" outlineLevel="0" max="2" min="2" style="39" width="42.7"/>
    <col collapsed="false" customWidth="true" hidden="false" outlineLevel="0" max="3" min="3" style="1" width="14.7"/>
    <col collapsed="false" customWidth="true" hidden="false" outlineLevel="0" max="4" min="4" style="1" width="20.7"/>
    <col collapsed="false" customWidth="true" hidden="false" outlineLevel="0" max="25" min="5" style="1" width="11.7"/>
    <col collapsed="false" customWidth="true" hidden="false" outlineLevel="0" max="26" min="26" style="39" width="12.7"/>
    <col collapsed="false" customWidth="false" hidden="false" outlineLevel="0" max="257" min="27" style="1" width="9.14"/>
  </cols>
  <sheetData>
    <row r="1" customFormat="false" ht="15.75" hidden="false" customHeight="false" outlineLevel="0" collapsed="false">
      <c r="A1" s="14" t="str">
        <f aca="false">Assm!A1</f>
        <v>GAS ORIENTE BOLIVIANO S.A. (GASBOL) *** DRAFT COPY ***</v>
      </c>
      <c r="B1" s="283"/>
      <c r="C1" s="15"/>
      <c r="D1" s="39"/>
      <c r="H1" s="284"/>
      <c r="K1" s="23"/>
      <c r="S1" s="17"/>
    </row>
    <row r="2" customFormat="false" ht="15.75" hidden="false" customHeight="false" outlineLevel="0" collapsed="false">
      <c r="A2" s="14" t="str">
        <f aca="false">Assm!A2</f>
        <v>369 KM PIPELINE SPUR FOR CUIABA POWER PLANT (BOLIVIA)</v>
      </c>
      <c r="B2" s="283"/>
      <c r="C2" s="15"/>
      <c r="D2" s="39"/>
      <c r="H2" s="284"/>
      <c r="K2" s="23"/>
      <c r="S2" s="17"/>
    </row>
    <row r="3" customFormat="false" ht="15.75" hidden="false" customHeight="false" outlineLevel="0" collapsed="false">
      <c r="A3" s="18" t="str">
        <f aca="false">Assm!A3</f>
        <v>ENRON INTERNATIONAL</v>
      </c>
      <c r="B3" s="18"/>
      <c r="C3" s="15"/>
      <c r="D3" s="39"/>
      <c r="F3" s="19"/>
      <c r="H3" s="284"/>
      <c r="K3" s="23"/>
      <c r="T3" s="20"/>
      <c r="U3" s="20"/>
    </row>
    <row r="4" customFormat="false" ht="15.75" hidden="false" customHeight="false" outlineLevel="0" collapsed="false">
      <c r="A4" s="21" t="s">
        <v>311</v>
      </c>
      <c r="B4" s="21"/>
      <c r="C4" s="15"/>
      <c r="D4" s="39"/>
      <c r="F4" s="19"/>
      <c r="H4" s="284"/>
      <c r="K4" s="23"/>
    </row>
    <row r="5" customFormat="false" ht="13.5" hidden="false" customHeight="false" outlineLevel="0" collapsed="false">
      <c r="AB5" s="3" t="s">
        <v>312</v>
      </c>
    </row>
    <row r="6" customFormat="false" ht="12.75" hidden="false" customHeight="false" outlineLevel="0" collapsed="false">
      <c r="A6" s="285" t="s">
        <v>313</v>
      </c>
      <c r="B6" s="26"/>
      <c r="C6" s="26"/>
      <c r="D6" s="26"/>
      <c r="E6" s="286" t="n">
        <v>1</v>
      </c>
      <c r="F6" s="287" t="n">
        <f aca="false">E6+1</f>
        <v>2</v>
      </c>
      <c r="G6" s="287" t="n">
        <f aca="false">F6+1</f>
        <v>3</v>
      </c>
      <c r="H6" s="287" t="n">
        <f aca="false">G6+1</f>
        <v>4</v>
      </c>
      <c r="I6" s="287" t="n">
        <f aca="false">H6+1</f>
        <v>5</v>
      </c>
      <c r="J6" s="287" t="n">
        <f aca="false">I6+1</f>
        <v>6</v>
      </c>
      <c r="K6" s="287" t="n">
        <f aca="false">J6+1</f>
        <v>7</v>
      </c>
      <c r="L6" s="287" t="n">
        <f aca="false">K6+1</f>
        <v>8</v>
      </c>
      <c r="M6" s="287" t="n">
        <f aca="false">L6+1</f>
        <v>9</v>
      </c>
      <c r="N6" s="287" t="n">
        <f aca="false">M6+1</f>
        <v>10</v>
      </c>
      <c r="O6" s="287" t="n">
        <f aca="false">N6+1</f>
        <v>11</v>
      </c>
      <c r="P6" s="287" t="n">
        <f aca="false">O6+1</f>
        <v>12</v>
      </c>
      <c r="Q6" s="287" t="n">
        <f aca="false">P6+1</f>
        <v>13</v>
      </c>
      <c r="R6" s="287" t="n">
        <f aca="false">Q6+1</f>
        <v>14</v>
      </c>
      <c r="S6" s="287" t="n">
        <f aca="false">R6+1</f>
        <v>15</v>
      </c>
      <c r="T6" s="287" t="n">
        <f aca="false">S6+1</f>
        <v>16</v>
      </c>
      <c r="U6" s="287" t="n">
        <f aca="false">T6+1</f>
        <v>17</v>
      </c>
      <c r="V6" s="287" t="n">
        <f aca="false">U6+1</f>
        <v>18</v>
      </c>
      <c r="W6" s="287" t="n">
        <f aca="false">V6+1</f>
        <v>19</v>
      </c>
      <c r="X6" s="287" t="n">
        <f aca="false">W6+1</f>
        <v>20</v>
      </c>
      <c r="Y6" s="287" t="n">
        <f aca="false">X6+1</f>
        <v>21</v>
      </c>
      <c r="Z6" s="288"/>
      <c r="AA6" s="39"/>
      <c r="AB6" s="289" t="s">
        <v>314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290" t="s">
        <v>315</v>
      </c>
      <c r="B7" s="291"/>
      <c r="C7" s="22"/>
      <c r="D7" s="22"/>
      <c r="E7" s="292" t="n">
        <v>1999</v>
      </c>
      <c r="F7" s="293" t="n">
        <f aca="false">E7+1</f>
        <v>2000</v>
      </c>
      <c r="G7" s="293" t="n">
        <f aca="false">F7+1</f>
        <v>2001</v>
      </c>
      <c r="H7" s="293" t="n">
        <f aca="false">G7+1</f>
        <v>2002</v>
      </c>
      <c r="I7" s="293" t="n">
        <f aca="false">H7+1</f>
        <v>2003</v>
      </c>
      <c r="J7" s="293" t="n">
        <f aca="false">I7+1</f>
        <v>2004</v>
      </c>
      <c r="K7" s="293" t="n">
        <f aca="false">J7+1</f>
        <v>2005</v>
      </c>
      <c r="L7" s="293" t="n">
        <f aca="false">K7+1</f>
        <v>2006</v>
      </c>
      <c r="M7" s="293" t="n">
        <f aca="false">L7+1</f>
        <v>2007</v>
      </c>
      <c r="N7" s="293" t="n">
        <f aca="false">M7+1</f>
        <v>2008</v>
      </c>
      <c r="O7" s="293" t="n">
        <f aca="false">N7+1</f>
        <v>2009</v>
      </c>
      <c r="P7" s="293" t="n">
        <f aca="false">O7+1</f>
        <v>2010</v>
      </c>
      <c r="Q7" s="293" t="n">
        <f aca="false">P7+1</f>
        <v>2011</v>
      </c>
      <c r="R7" s="293" t="n">
        <f aca="false">Q7+1</f>
        <v>2012</v>
      </c>
      <c r="S7" s="293" t="n">
        <f aca="false">R7+1</f>
        <v>2013</v>
      </c>
      <c r="T7" s="293" t="n">
        <f aca="false">S7+1</f>
        <v>2014</v>
      </c>
      <c r="U7" s="293" t="n">
        <f aca="false">T7+1</f>
        <v>2015</v>
      </c>
      <c r="V7" s="293" t="n">
        <f aca="false">U7+1</f>
        <v>2016</v>
      </c>
      <c r="W7" s="293" t="n">
        <f aca="false">V7+1</f>
        <v>2017</v>
      </c>
      <c r="X7" s="293" t="n">
        <f aca="false">W7+1</f>
        <v>2018</v>
      </c>
      <c r="Y7" s="293" t="n">
        <f aca="false">X7+1</f>
        <v>2019</v>
      </c>
      <c r="Z7" s="294" t="s">
        <v>316</v>
      </c>
      <c r="AA7" s="39"/>
      <c r="AB7" s="295" t="n">
        <v>1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296"/>
      <c r="B8" s="297"/>
      <c r="C8" s="39"/>
      <c r="D8" s="39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9"/>
      <c r="AA8" s="39"/>
      <c r="AB8" s="300" t="n">
        <f aca="false">AB7+1</f>
        <v>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317</v>
      </c>
      <c r="C9" s="39"/>
      <c r="D9" s="39"/>
      <c r="E9" s="39" t="n">
        <f aca="false">IF(OR(E$7&lt;YEAR(Startops1),E$7&gt;YEAR(Endyr)),0,IF(E$7=YEAR(Startops1),13-MONTH(Startops1),IF(E$7=YEAR(Endyr),MONTH(Endyr),12)))</f>
        <v>0</v>
      </c>
      <c r="F9" s="39" t="n">
        <f aca="false">IF(OR(F$7&lt;YEAR(Startops1),F$7&gt;YEAR(Endyr)),0,IF(F$7=YEAR(Startops1),13-MONTH(Startops1),IF(F$7=YEAR(Endyr),MONTH(Endyr),12)))</f>
        <v>0</v>
      </c>
      <c r="G9" s="39" t="n">
        <f aca="false">IF(OR(G$7&lt;YEAR(Startops1),G$7&gt;YEAR(Endyr)),0,IF(G$7=YEAR(Startops1),13-MONTH(Startops1),IF(G$7=YEAR(Endyr),MONTH(Endyr),12)))</f>
        <v>10</v>
      </c>
      <c r="H9" s="301" t="n">
        <f aca="false">IF(OR(H$7&lt;YEAR(Startops1),H$7&gt;YEAR(Endyr)),0,IF(H$7=YEAR(Startops1),13-MONTH(Startops1),IF(H$7=YEAR(Endyr),MONTH(Endyr),12)))</f>
        <v>12</v>
      </c>
      <c r="I9" s="39" t="n">
        <f aca="false">IF(OR(I$7&lt;YEAR(Startops1),I$7&gt;YEAR(Endyr)),0,IF(I$7=YEAR(Startops1),13-MONTH(Startops1),IF(I$7=YEAR(Endyr),MONTH(Endyr),12)))</f>
        <v>12</v>
      </c>
      <c r="J9" s="39" t="n">
        <f aca="false">IF(OR(J$7&lt;YEAR(Startops1),J$7&gt;YEAR(Endyr)),0,IF(J$7=YEAR(Startops1),13-MONTH(Startops1),IF(J$7=YEAR(Endyr),MONTH(Endyr),12)))</f>
        <v>12</v>
      </c>
      <c r="K9" s="39" t="n">
        <f aca="false">IF(OR(K$7&lt;YEAR(Startops1),K$7&gt;YEAR(Endyr)),0,IF(K$7=YEAR(Startops1),13-MONTH(Startops1),IF(K$7=YEAR(Endyr),MONTH(Endyr),12)))</f>
        <v>12</v>
      </c>
      <c r="L9" s="39" t="n">
        <f aca="false">IF(OR(L$7&lt;YEAR(Startops1),L$7&gt;YEAR(Endyr)),0,IF(L$7=YEAR(Startops1),13-MONTH(Startops1),IF(L$7=YEAR(Endyr),MONTH(Endyr),12)))</f>
        <v>12</v>
      </c>
      <c r="M9" s="39" t="n">
        <f aca="false">IF(OR(M$7&lt;YEAR(Startops1),M$7&gt;YEAR(Endyr)),0,IF(M$7=YEAR(Startops1),13-MONTH(Startops1),IF(M$7=YEAR(Endyr),MONTH(Endyr),12)))</f>
        <v>12</v>
      </c>
      <c r="N9" s="39" t="n">
        <f aca="false">IF(OR(N$7&lt;YEAR(Startops1),N$7&gt;YEAR(Endyr)),0,IF(N$7=YEAR(Startops1),13-MONTH(Startops1),IF(N$7=YEAR(Endyr),MONTH(Endyr),12)))</f>
        <v>12</v>
      </c>
      <c r="O9" s="39" t="n">
        <f aca="false">IF(OR(O$7&lt;YEAR(Startops1),O$7&gt;YEAR(Endyr)),0,IF(O$7=YEAR(Startops1),13-MONTH(Startops1),IF(O$7=YEAR(Endyr),MONTH(Endyr),12)))</f>
        <v>12</v>
      </c>
      <c r="P9" s="39" t="n">
        <f aca="false">IF(OR(P$7&lt;YEAR(Startops1),P$7&gt;YEAR(Endyr)),0,IF(P$7=YEAR(Startops1),13-MONTH(Startops1),IF(P$7=YEAR(Endyr),MONTH(Endyr),12)))</f>
        <v>12</v>
      </c>
      <c r="Q9" s="39" t="n">
        <f aca="false">IF(OR(Q$7&lt;YEAR(Startops1),Q$7&gt;YEAR(Endyr)),0,IF(Q$7=YEAR(Startops1),13-MONTH(Startops1),IF(Q$7=YEAR(Endyr),MONTH(Endyr),12)))</f>
        <v>12</v>
      </c>
      <c r="R9" s="39" t="n">
        <f aca="false">IF(OR(R$7&lt;YEAR(Startops1),R$7&gt;YEAR(Endyr)),0,IF(R$7=YEAR(Startops1),13-MONTH(Startops1),IF(R$7=YEAR(Endyr),MONTH(Endyr),12)))</f>
        <v>12</v>
      </c>
      <c r="S9" s="39" t="n">
        <f aca="false">IF(OR(S$7&lt;YEAR(Startops1),S$7&gt;YEAR(Endyr)),0,IF(S$7=YEAR(Startops1),13-MONTH(Startops1),IF(S$7=YEAR(Endyr),MONTH(Endyr),12)))</f>
        <v>12</v>
      </c>
      <c r="T9" s="39" t="n">
        <f aca="false">IF(OR(T$7&lt;YEAR(Startops1),T$7&gt;YEAR(Endyr)),0,IF(T$7=YEAR(Startops1),13-MONTH(Startops1),IF(T$7=YEAR(Endyr),MONTH(Endyr),12)))</f>
        <v>12</v>
      </c>
      <c r="U9" s="39" t="n">
        <f aca="false">IF(OR(U$7&lt;YEAR(Startops1),U$7&gt;YEAR(Endyr)),0,IF(U$7=YEAR(Startops1),13-MONTH(Startops1),IF(U$7=YEAR(Endyr),MONTH(Endyr),12)))</f>
        <v>12</v>
      </c>
      <c r="V9" s="39" t="n">
        <f aca="false">IF(OR(V$7&lt;YEAR(Startops1),V$7&gt;YEAR(Endyr)),0,IF(V$7=YEAR(Startops1),13-MONTH(Startops1),IF(V$7=YEAR(Endyr),MONTH(Endyr),12)))</f>
        <v>12</v>
      </c>
      <c r="W9" s="39" t="n">
        <f aca="false">IF(OR(W$7&lt;YEAR(Startops1),W$7&gt;YEAR(Endyr)),0,IF(W$7=YEAR(Startops1),13-MONTH(Startops1),IF(W$7=YEAR(Endyr),MONTH(Endyr),12)))</f>
        <v>12</v>
      </c>
      <c r="X9" s="39" t="n">
        <f aca="false">IF(OR(X$7&lt;YEAR(Startops1),X$7&gt;YEAR(Endyr)),0,IF(X$7=YEAR(Startops1),13-MONTH(Startops1),IF(X$7=YEAR(Endyr),MONTH(Endyr),12)))</f>
        <v>12</v>
      </c>
      <c r="Y9" s="39" t="n">
        <f aca="false">IF(OR(Y$7&lt;YEAR(Startops1),Y$7&gt;YEAR(Endyr)),0,IF(Y$7=YEAR(Startops1),13-MONTH(Startops1),IF(Y$7=YEAR(Endyr),MONTH(Endyr),12)))</f>
        <v>4</v>
      </c>
      <c r="Z9" s="302" t="n">
        <f aca="false">SUM(E9:Y9)</f>
        <v>218</v>
      </c>
      <c r="AA9" s="39"/>
      <c r="AB9" s="300" t="n">
        <f aca="false">AB8+1</f>
        <v>3</v>
      </c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02"/>
      <c r="AA10" s="39"/>
      <c r="AB10" s="300" t="n">
        <f aca="false">AB9+1</f>
        <v>4</v>
      </c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37" t="s">
        <v>318</v>
      </c>
      <c r="C11" s="303" t="str">
        <f aca="false">Assm!$F$29</f>
        <v>Greater Of CPI Or 1.005</v>
      </c>
      <c r="D11" s="39"/>
      <c r="E11" s="304" t="n">
        <f aca="false">VLOOKUP(DATE(E$7,12,1),Curves_Table,Escalation!$O$291)</f>
        <v>1.0374531835206</v>
      </c>
      <c r="F11" s="304" t="n">
        <f aca="false">VLOOKUP(DATE(F$7,12,1),Curves_Table,Escalation!$O$291)</f>
        <v>1.06207999503397</v>
      </c>
      <c r="G11" s="304" t="n">
        <f aca="false">VLOOKUP(DATE(G$7,12,1),Curves_Table,Escalation!$O$291)</f>
        <v>1.09718061747934</v>
      </c>
      <c r="H11" s="304" t="n">
        <f aca="false">VLOOKUP(DATE(H$7,12,1),Curves_Table,Escalation!$O$291)</f>
        <v>1.13219066683837</v>
      </c>
      <c r="I11" s="304" t="n">
        <f aca="false">VLOOKUP(DATE(I$7,12,1),Curves_Table,Escalation!$O$291)</f>
        <v>1.16628704592773</v>
      </c>
      <c r="J11" s="304" t="n">
        <f aca="false">VLOOKUP(DATE(J$7,12,1),Curves_Table,Escalation!$O$291)</f>
        <v>1.20034933429065</v>
      </c>
      <c r="K11" s="304" t="n">
        <f aca="false">VLOOKUP(DATE(K$7,12,1),Curves_Table,Escalation!$O$291)</f>
        <v>1.23462294375966</v>
      </c>
      <c r="L11" s="304" t="n">
        <f aca="false">VLOOKUP(DATE(L$7,12,1),Curves_Table,Escalation!$O$291)</f>
        <v>1.26919095628799</v>
      </c>
      <c r="M11" s="304" t="n">
        <f aca="false">VLOOKUP(DATE(M$7,12,1),Curves_Table,Escalation!$O$291)</f>
        <v>1.30389657610682</v>
      </c>
      <c r="N11" s="304" t="n">
        <f aca="false">VLOOKUP(DATE(N$7,12,1),Curves_Table,Escalation!$O$291)</f>
        <v>1.33877978058913</v>
      </c>
      <c r="O11" s="304" t="n">
        <f aca="false">VLOOKUP(DATE(O$7,12,1),Curves_Table,Escalation!$O$291)</f>
        <v>1.37395101449367</v>
      </c>
      <c r="P11" s="304" t="n">
        <f aca="false">VLOOKUP(DATE(P$7,12,1),Curves_Table,Escalation!$O$291)</f>
        <v>1.40945468809218</v>
      </c>
      <c r="Q11" s="304" t="n">
        <f aca="false">VLOOKUP(DATE(Q$7,12,1),Curves_Table,Escalation!$O$291)</f>
        <v>1.44536293026781</v>
      </c>
      <c r="R11" s="304" t="n">
        <f aca="false">VLOOKUP(DATE(R$7,12,1),Curves_Table,Escalation!$O$291)</f>
        <v>1.48180861051097</v>
      </c>
      <c r="S11" s="304" t="n">
        <f aca="false">VLOOKUP(DATE(S$7,12,1),Curves_Table,Escalation!$O$291)</f>
        <v>1.51901070889322</v>
      </c>
      <c r="T11" s="304" t="n">
        <f aca="false">VLOOKUP(DATE(T$7,12,1),Curves_Table,Escalation!$O$291)</f>
        <v>1.55739783154092</v>
      </c>
      <c r="U11" s="304" t="n">
        <f aca="false">VLOOKUP(DATE(U$7,12,1),Curves_Table,Escalation!$O$291)</f>
        <v>1.59733039824151</v>
      </c>
      <c r="V11" s="304" t="n">
        <f aca="false">VLOOKUP(DATE(V$7,12,1),Curves_Table,Escalation!$O$291)</f>
        <v>1.63898344452994</v>
      </c>
      <c r="W11" s="304" t="n">
        <f aca="false">VLOOKUP(DATE(W$7,12,1),Curves_Table,Escalation!$O$291)</f>
        <v>1.68254669873615</v>
      </c>
      <c r="X11" s="304" t="n">
        <f aca="false">VLOOKUP(DATE(X$7,12,1),Curves_Table,Escalation!$O$291)</f>
        <v>1.72801332733687</v>
      </c>
      <c r="Y11" s="304" t="n">
        <f aca="false">VLOOKUP(DATE(Y$7,12,1),Curves_Table,Escalation!$O$291)</f>
        <v>1.77543572910631</v>
      </c>
      <c r="Z11" s="305"/>
      <c r="AA11" s="39"/>
      <c r="AB11" s="300" t="n">
        <f aca="false">AB10+1</f>
        <v>5</v>
      </c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7" t="s">
        <v>319</v>
      </c>
      <c r="C12" s="303" t="str">
        <f aca="false">CPI</f>
        <v>CPI Annual</v>
      </c>
      <c r="D12" s="39"/>
      <c r="E12" s="304" t="n">
        <f aca="false">VLOOKUP(DATE(E$7,12,1),Curves_Table,Escalation!$O$291)</f>
        <v>1.0374531835206</v>
      </c>
      <c r="F12" s="304" t="n">
        <f aca="false">VLOOKUP(DATE(F$7,12,1),Curves_Table,Escalation!$O$291)</f>
        <v>1.06207999503397</v>
      </c>
      <c r="G12" s="304" t="n">
        <f aca="false">VLOOKUP(DATE(G$7,12,1),Curves_Table,Escalation!$O$291)</f>
        <v>1.09718061747934</v>
      </c>
      <c r="H12" s="306" t="n">
        <f aca="false">VLOOKUP(DATE(H$7,12,1),Curves_Table,Escalation!$O$291)</f>
        <v>1.13219066683837</v>
      </c>
      <c r="I12" s="304" t="n">
        <f aca="false">VLOOKUP(DATE(I$7,12,1),Curves_Table,Escalation!$O$291)</f>
        <v>1.16628704592773</v>
      </c>
      <c r="J12" s="304" t="n">
        <f aca="false">VLOOKUP(DATE(J$7,12,1),Curves_Table,Escalation!$O$291)</f>
        <v>1.20034933429065</v>
      </c>
      <c r="K12" s="304" t="n">
        <f aca="false">VLOOKUP(DATE(K$7,12,1),Curves_Table,Escalation!$O$291)</f>
        <v>1.23462294375966</v>
      </c>
      <c r="L12" s="304" t="n">
        <f aca="false">VLOOKUP(DATE(L$7,12,1),Curves_Table,Escalation!$O$291)</f>
        <v>1.26919095628799</v>
      </c>
      <c r="M12" s="304" t="n">
        <f aca="false">VLOOKUP(DATE(M$7,12,1),Curves_Table,Escalation!$O$291)</f>
        <v>1.30389657610682</v>
      </c>
      <c r="N12" s="304" t="n">
        <f aca="false">VLOOKUP(DATE(N$7,12,1),Curves_Table,Escalation!$O$291)</f>
        <v>1.33877978058913</v>
      </c>
      <c r="O12" s="304" t="n">
        <f aca="false">VLOOKUP(DATE(O$7,12,1),Curves_Table,Escalation!$O$291)</f>
        <v>1.37395101449367</v>
      </c>
      <c r="P12" s="304" t="n">
        <f aca="false">VLOOKUP(DATE(P$7,12,1),Curves_Table,Escalation!$O$291)</f>
        <v>1.40945468809218</v>
      </c>
      <c r="Q12" s="304" t="n">
        <f aca="false">VLOOKUP(DATE(Q$7,12,1),Curves_Table,Escalation!$O$291)</f>
        <v>1.44536293026781</v>
      </c>
      <c r="R12" s="304" t="n">
        <f aca="false">VLOOKUP(DATE(R$7,12,1),Curves_Table,Escalation!$O$291)</f>
        <v>1.48180861051097</v>
      </c>
      <c r="S12" s="304" t="n">
        <f aca="false">VLOOKUP(DATE(S$7,12,1),Curves_Table,Escalation!$O$291)</f>
        <v>1.51901070889322</v>
      </c>
      <c r="T12" s="304" t="n">
        <f aca="false">VLOOKUP(DATE(T$7,12,1),Curves_Table,Escalation!$O$291)</f>
        <v>1.55739783154092</v>
      </c>
      <c r="U12" s="304" t="n">
        <f aca="false">VLOOKUP(DATE(U$7,12,1),Curves_Table,Escalation!$O$291)</f>
        <v>1.59733039824151</v>
      </c>
      <c r="V12" s="304" t="n">
        <f aca="false">VLOOKUP(DATE(V$7,12,1),Curves_Table,Escalation!$O$291)</f>
        <v>1.63898344452994</v>
      </c>
      <c r="W12" s="304" t="n">
        <f aca="false">VLOOKUP(DATE(W$7,12,1),Curves_Table,Escalation!$O$291)</f>
        <v>1.68254669873615</v>
      </c>
      <c r="X12" s="304" t="n">
        <f aca="false">VLOOKUP(DATE(X$7,12,1),Curves_Table,Escalation!$O$291)</f>
        <v>1.72801332733687</v>
      </c>
      <c r="Y12" s="304" t="n">
        <f aca="false">VLOOKUP(DATE(Y$7,12,1),Curves_Table,Escalation!$O$291)</f>
        <v>1.77543572910631</v>
      </c>
      <c r="Z12" s="305"/>
      <c r="AA12" s="39"/>
      <c r="AB12" s="300" t="n">
        <f aca="false">AB11+1</f>
        <v>6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320</v>
      </c>
      <c r="C13" s="303" t="str">
        <f aca="false">CPI</f>
        <v>CPI Annual</v>
      </c>
      <c r="D13" s="39"/>
      <c r="E13" s="304" t="n">
        <f aca="false">VLOOKUP(DATE(E$7,12,1),Curves_Table,Escalation!$S$291)</f>
        <v>1</v>
      </c>
      <c r="F13" s="304" t="n">
        <f aca="false">VLOOKUP(DATE(F$7,12,1),Curves_Table,Escalation!$S$291)</f>
        <v>1</v>
      </c>
      <c r="G13" s="304" t="n">
        <f aca="false">VLOOKUP(DATE(G$7,12,1),Curves_Table,Escalation!$S$291)</f>
        <v>1.03304894415627</v>
      </c>
      <c r="H13" s="304" t="n">
        <f aca="false">VLOOKUP(DATE(H$7,12,1),Curves_Table,Escalation!$S$291)</f>
        <v>1.06601260934413</v>
      </c>
      <c r="I13" s="304" t="n">
        <f aca="false">VLOOKUP(DATE(I$7,12,1),Curves_Table,Escalation!$S$291)</f>
        <v>1.09811600951059</v>
      </c>
      <c r="J13" s="304" t="n">
        <f aca="false">VLOOKUP(DATE(J$7,12,1),Curves_Table,Escalation!$S$291)</f>
        <v>1.13018731159912</v>
      </c>
      <c r="K13" s="304" t="n">
        <f aca="false">VLOOKUP(DATE(K$7,12,1),Curves_Table,Escalation!$S$291)</f>
        <v>1.16245758279269</v>
      </c>
      <c r="L13" s="304" t="n">
        <f aca="false">VLOOKUP(DATE(L$7,12,1),Curves_Table,Escalation!$S$291)</f>
        <v>1.19500504879333</v>
      </c>
      <c r="M13" s="304" t="n">
        <f aca="false">VLOOKUP(DATE(M$7,12,1),Curves_Table,Escalation!$S$291)</f>
        <v>1.22768207875445</v>
      </c>
      <c r="N13" s="304" t="n">
        <f aca="false">VLOOKUP(DATE(N$7,12,1),Curves_Table,Escalation!$S$291)</f>
        <v>1.26052631331815</v>
      </c>
      <c r="O13" s="304" t="n">
        <f aca="false">VLOOKUP(DATE(O$7,12,1),Curves_Table,Escalation!$S$291)</f>
        <v>1.29364174159944</v>
      </c>
      <c r="P13" s="304" t="n">
        <f aca="false">VLOOKUP(DATE(P$7,12,1),Curves_Table,Escalation!$S$291)</f>
        <v>1.32707017803033</v>
      </c>
      <c r="Q13" s="304" t="n">
        <f aca="false">VLOOKUP(DATE(Q$7,12,1),Curves_Table,Escalation!$S$291)</f>
        <v>1.36087953546435</v>
      </c>
      <c r="R13" s="304" t="n">
        <f aca="false">VLOOKUP(DATE(R$7,12,1),Curves_Table,Escalation!$S$291)</f>
        <v>1.39519491699265</v>
      </c>
      <c r="S13" s="304" t="n">
        <f aca="false">VLOOKUP(DATE(S$7,12,1),Curves_Table,Escalation!$S$291)</f>
        <v>1.43022250300896</v>
      </c>
      <c r="T13" s="304" t="n">
        <f aca="false">VLOOKUP(DATE(T$7,12,1),Curves_Table,Escalation!$S$291)</f>
        <v>1.46636584703877</v>
      </c>
      <c r="U13" s="304" t="n">
        <f aca="false">VLOOKUP(DATE(U$7,12,1),Curves_Table,Escalation!$S$291)</f>
        <v>1.50396430185131</v>
      </c>
      <c r="V13" s="304" t="n">
        <f aca="false">VLOOKUP(DATE(V$7,12,1),Curves_Table,Escalation!$S$291)</f>
        <v>1.54318267192061</v>
      </c>
      <c r="W13" s="304" t="n">
        <f aca="false">VLOOKUP(DATE(W$7,12,1),Curves_Table,Escalation!$S$291)</f>
        <v>1.58419959570215</v>
      </c>
      <c r="X13" s="304" t="n">
        <f aca="false">VLOOKUP(DATE(X$7,12,1),Curves_Table,Escalation!$S$291)</f>
        <v>1.62700863910124</v>
      </c>
      <c r="Y13" s="304" t="n">
        <f aca="false">VLOOKUP(DATE(Y$7,12,1),Curves_Table,Escalation!$S$291)</f>
        <v>1.62700863910124</v>
      </c>
      <c r="Z13" s="305"/>
      <c r="AA13" s="39"/>
      <c r="AB13" s="300" t="n">
        <f aca="false">AB12+1</f>
        <v>7</v>
      </c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12.75" hidden="false" customHeight="false" outlineLevel="0" collapsed="false">
      <c r="A14" s="37"/>
      <c r="C14" s="39"/>
      <c r="D14" s="39"/>
      <c r="E14" s="307"/>
      <c r="F14" s="307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5"/>
      <c r="AA14" s="39"/>
      <c r="AB14" s="300" t="n">
        <f aca="false">AB13+1</f>
        <v>8</v>
      </c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12.75" hidden="false" customHeight="false" outlineLevel="0" collapsed="false">
      <c r="A15" s="308" t="s">
        <v>321</v>
      </c>
      <c r="B15" s="38"/>
      <c r="C15" s="39"/>
      <c r="D15" s="39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309"/>
      <c r="AB15" s="300" t="n">
        <f aca="false">AB14+1</f>
        <v>9</v>
      </c>
    </row>
    <row r="16" customFormat="false" ht="12.75" hidden="false" customHeight="false" outlineLevel="0" collapsed="false">
      <c r="A16" s="310" t="s">
        <v>322</v>
      </c>
      <c r="B16" s="106"/>
      <c r="C16" s="39"/>
      <c r="D16" s="39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309"/>
      <c r="AB16" s="300" t="n">
        <f aca="false">AB15+1</f>
        <v>10</v>
      </c>
    </row>
    <row r="17" customFormat="false" ht="12.75" hidden="false" customHeight="false" outlineLevel="0" collapsed="false">
      <c r="A17" s="37"/>
      <c r="B17" s="39" t="s">
        <v>323</v>
      </c>
      <c r="C17" s="39"/>
      <c r="D17" s="39"/>
      <c r="E17" s="311" t="n">
        <f aca="false">IF(E$7&lt;YEAR(Startops1),0,VLOOKUP(DATE(E$7,12,1),Revenue_Table,Transportation!$M$249))</f>
        <v>0</v>
      </c>
      <c r="F17" s="311" t="n">
        <f aca="false">IF(F$7&lt;YEAR(Startops1),0,VLOOKUP(DATE(F$7,12,1),Revenue_Table,Transportation!$M$249))</f>
        <v>0</v>
      </c>
      <c r="G17" s="311" t="n">
        <f aca="false">IF(G$7&lt;YEAR(Startops1),0,VLOOKUP(DATE(G$7,12,1),Revenue_Table,Transportation!$M$249))</f>
        <v>14282.925136278</v>
      </c>
      <c r="H17" s="312" t="n">
        <f aca="false">IF(H$7&lt;YEAR(Startops1),0,VLOOKUP(DATE(H$7,12,1),Revenue_Table,Transportation!$M$249))</f>
        <v>24055.0510107009</v>
      </c>
      <c r="I17" s="311" t="n">
        <f aca="false">IF(I$7&lt;YEAR(Startops1),0,VLOOKUP(DATE(I$7,12,1),Revenue_Table,Transportation!$M$249))</f>
        <v>24793.3666132372</v>
      </c>
      <c r="J17" s="311" t="n">
        <f aca="false">IF(J$7&lt;YEAR(Startops1),0,VLOOKUP(DATE(J$7,12,1),Revenue_Table,Transportation!$M$249))</f>
        <v>25593.3296288714</v>
      </c>
      <c r="K17" s="311" t="n">
        <f aca="false">IF(K$7&lt;YEAR(Startops1),0,VLOOKUP(DATE(K$7,12,1),Revenue_Table,Transportation!$M$249))</f>
        <v>26258.9242454311</v>
      </c>
      <c r="L17" s="311" t="n">
        <f aca="false">IF(L$7&lt;YEAR(Startops1),0,VLOOKUP(DATE(L$7,12,1),Revenue_Table,Transportation!$M$249))</f>
        <v>26998.838079134</v>
      </c>
      <c r="M17" s="311" t="n">
        <f aca="false">IF(M$7&lt;YEAR(Startops1),0,VLOOKUP(DATE(M$7,12,1),Revenue_Table,Transportation!$M$249))</f>
        <v>27742.8120987957</v>
      </c>
      <c r="N17" s="311" t="n">
        <f aca="false">IF(N$7&lt;YEAR(Startops1),0,VLOOKUP(DATE(N$7,12,1),Revenue_Table,Transportation!$M$249))</f>
        <v>28566.9945013695</v>
      </c>
      <c r="O17" s="311" t="n">
        <f aca="false">IF(O$7&lt;YEAR(Startops1),0,VLOOKUP(DATE(O$7,12,1),Revenue_Table,Transportation!$M$249))</f>
        <v>29243.2225680268</v>
      </c>
      <c r="P17" s="311" t="n">
        <f aca="false">IF(P$7&lt;YEAR(Startops1),0,VLOOKUP(DATE(P$7,12,1),Revenue_Table,Transportation!$M$249))</f>
        <v>30002.9516491615</v>
      </c>
      <c r="Q17" s="311" t="n">
        <f aca="false">IF(Q$7&lt;YEAR(Startops1),0,VLOOKUP(DATE(Q$7,12,1),Revenue_Table,Transportation!$M$249))</f>
        <v>30770.8556612069</v>
      </c>
      <c r="R17" s="311" t="n">
        <f aca="false">IF(R$7&lt;YEAR(Startops1),0,VLOOKUP(DATE(R$7,12,1),Revenue_Table,Transportation!$M$249))</f>
        <v>31634.3559275759</v>
      </c>
      <c r="S17" s="311" t="n">
        <f aca="false">IF(S$7&lt;YEAR(Startops1),0,VLOOKUP(DATE(S$7,12,1),Revenue_Table,Transportation!$M$249))</f>
        <v>32342.5512297466</v>
      </c>
      <c r="T17" s="311" t="n">
        <f aca="false">IF(T$7&lt;YEAR(Startops1),0,VLOOKUP(DATE(T$7,12,1),Revenue_Table,Transportation!$M$249))</f>
        <v>33158.1560396562</v>
      </c>
      <c r="U17" s="311" t="n">
        <f aca="false">IF(U$7&lt;YEAR(Startops1),0,VLOOKUP(DATE(U$7,12,1),Revenue_Table,Transportation!$M$249))</f>
        <v>34004.3898750948</v>
      </c>
      <c r="V17" s="311" t="n">
        <f aca="false">IF(V$7&lt;YEAR(Startops1),0,VLOOKUP(DATE(V$7,12,1),Revenue_Table,Transportation!$M$249))</f>
        <v>34980.2528180879</v>
      </c>
      <c r="W17" s="311" t="n">
        <f aca="false">IF(W$7&lt;YEAR(Startops1),0,VLOOKUP(DATE(W$7,12,1),Revenue_Table,Transportation!$M$249))</f>
        <v>35807.9093461755</v>
      </c>
      <c r="X17" s="311" t="n">
        <f aca="false">IF(X$7&lt;YEAR(Startops1),0,VLOOKUP(DATE(X$7,12,1),Revenue_Table,Transportation!$M$249))</f>
        <v>36770.4041891557</v>
      </c>
      <c r="Y17" s="311" t="n">
        <f aca="false">IF(Y$7&lt;YEAR(Startops1),0,VLOOKUP(DATE(Y$7,12,1),Revenue_Table,Transportation!$M$249))</f>
        <v>12194.3858015608</v>
      </c>
      <c r="Z17" s="313" t="n">
        <f aca="false">SUM(E17:Y17)</f>
        <v>539201.676419266</v>
      </c>
      <c r="AB17" s="300" t="n">
        <f aca="false">AB16+1</f>
        <v>11</v>
      </c>
    </row>
    <row r="18" customFormat="false" ht="12.75" hidden="false" customHeight="false" outlineLevel="0" collapsed="false">
      <c r="A18" s="37"/>
      <c r="B18" s="38" t="s">
        <v>324</v>
      </c>
      <c r="C18" s="39"/>
      <c r="D18" s="134"/>
      <c r="E18" s="314" t="n">
        <f aca="false">SUM(E17)</f>
        <v>0</v>
      </c>
      <c r="F18" s="314" t="n">
        <f aca="false">SUM(F17)</f>
        <v>0</v>
      </c>
      <c r="G18" s="314" t="n">
        <f aca="false">SUM(G17)</f>
        <v>14282.925136278</v>
      </c>
      <c r="H18" s="315" t="n">
        <f aca="false">SUM(H17)</f>
        <v>24055.0510107009</v>
      </c>
      <c r="I18" s="314" t="n">
        <f aca="false">SUM(I17)</f>
        <v>24793.3666132372</v>
      </c>
      <c r="J18" s="314" t="n">
        <f aca="false">SUM(J17)</f>
        <v>25593.3296288714</v>
      </c>
      <c r="K18" s="314" t="n">
        <f aca="false">SUM(K17)</f>
        <v>26258.9242454311</v>
      </c>
      <c r="L18" s="314" t="n">
        <f aca="false">SUM(L17)</f>
        <v>26998.838079134</v>
      </c>
      <c r="M18" s="314" t="n">
        <f aca="false">SUM(M17)</f>
        <v>27742.8120987957</v>
      </c>
      <c r="N18" s="314" t="n">
        <f aca="false">SUM(N17)</f>
        <v>28566.9945013695</v>
      </c>
      <c r="O18" s="314" t="n">
        <f aca="false">SUM(O17)</f>
        <v>29243.2225680268</v>
      </c>
      <c r="P18" s="314" t="n">
        <f aca="false">SUM(P17)</f>
        <v>30002.9516491615</v>
      </c>
      <c r="Q18" s="314" t="n">
        <f aca="false">SUM(Q17)</f>
        <v>30770.8556612069</v>
      </c>
      <c r="R18" s="314" t="n">
        <f aca="false">SUM(R17)</f>
        <v>31634.3559275759</v>
      </c>
      <c r="S18" s="314" t="n">
        <f aca="false">SUM(S17)</f>
        <v>32342.5512297466</v>
      </c>
      <c r="T18" s="314" t="n">
        <f aca="false">SUM(T17)</f>
        <v>33158.1560396562</v>
      </c>
      <c r="U18" s="314" t="n">
        <f aca="false">SUM(U17)</f>
        <v>34004.3898750948</v>
      </c>
      <c r="V18" s="314" t="n">
        <f aca="false">SUM(V17)</f>
        <v>34980.2528180879</v>
      </c>
      <c r="W18" s="314" t="n">
        <f aca="false">SUM(W17)</f>
        <v>35807.9093461755</v>
      </c>
      <c r="X18" s="314" t="n">
        <f aca="false">SUM(X17)</f>
        <v>36770.4041891557</v>
      </c>
      <c r="Y18" s="314" t="n">
        <f aca="false">SUM(Y17)</f>
        <v>12194.3858015608</v>
      </c>
      <c r="Z18" s="316" t="n">
        <f aca="false">SUM(E18:Y18)</f>
        <v>539201.676419266</v>
      </c>
      <c r="AB18" s="300" t="n">
        <f aca="false">AB17+1</f>
        <v>12</v>
      </c>
    </row>
    <row r="19" customFormat="false" ht="12.75" hidden="false" customHeight="false" outlineLevel="0" collapsed="false">
      <c r="A19" s="308"/>
      <c r="B19" s="38"/>
      <c r="C19" s="39"/>
      <c r="D19" s="134"/>
      <c r="E19" s="314"/>
      <c r="F19" s="314"/>
      <c r="G19" s="314"/>
      <c r="H19" s="317" t="n">
        <f aca="false">+H17/G17-1</f>
        <v>0.684182391294767</v>
      </c>
      <c r="I19" s="317" t="n">
        <f aca="false">+I17/H17-1</f>
        <v>0.030692747323956</v>
      </c>
      <c r="J19" s="317" t="n">
        <f aca="false">+J17/I17-1</f>
        <v>0.0322652033551216</v>
      </c>
      <c r="K19" s="317" t="n">
        <f aca="false">+K17/J17-1</f>
        <v>0.0260065660158932</v>
      </c>
      <c r="L19" s="317" t="n">
        <f aca="false">+L17/K17-1</f>
        <v>0.0281776140860615</v>
      </c>
      <c r="M19" s="317" t="n">
        <f aca="false">+M17/L17-1</f>
        <v>0.0275557791591288</v>
      </c>
      <c r="N19" s="317" t="n">
        <f aca="false">+N17/M17-1</f>
        <v>0.0297079618186804</v>
      </c>
      <c r="O19" s="317" t="n">
        <f aca="false">+O17/N17-1</f>
        <v>0.0236716559953407</v>
      </c>
      <c r="P19" s="317" t="n">
        <f aca="false">+P17/O17-1</f>
        <v>0.0259796634713356</v>
      </c>
      <c r="Q19" s="317" t="n">
        <f aca="false">+Q17/P17-1</f>
        <v>0.0255942822234589</v>
      </c>
      <c r="R19" s="317" t="n">
        <f aca="false">+R17/Q17-1</f>
        <v>0.0280622767165255</v>
      </c>
      <c r="S19" s="317" t="n">
        <f aca="false">+S17/R17-1</f>
        <v>0.0223869044083591</v>
      </c>
      <c r="T19" s="317" t="n">
        <f aca="false">+T17/S17-1</f>
        <v>0.0252177017241442</v>
      </c>
      <c r="U19" s="317" t="n">
        <f aca="false">+U17/T17-1</f>
        <v>0.0255211367733039</v>
      </c>
      <c r="V19" s="317" t="n">
        <f aca="false">+V17/U17-1</f>
        <v>0.028698145932853</v>
      </c>
      <c r="W19" s="317" t="n">
        <f aca="false">+W17/V17-1</f>
        <v>0.0236606788519163</v>
      </c>
      <c r="X19" s="317" t="n">
        <f aca="false">+X17/W17-1</f>
        <v>0.0268793923061847</v>
      </c>
      <c r="Y19" s="317" t="n">
        <f aca="false">+Y17/X17-1</f>
        <v>-0.668364107752801</v>
      </c>
      <c r="Z19" s="316"/>
      <c r="AB19" s="300" t="n">
        <f aca="false">AB18+1</f>
        <v>13</v>
      </c>
    </row>
    <row r="20" customFormat="false" ht="12.75" hidden="false" customHeight="false" outlineLevel="0" collapsed="false">
      <c r="A20" s="308" t="s">
        <v>325</v>
      </c>
      <c r="B20" s="38"/>
      <c r="C20" s="39"/>
      <c r="D20" s="65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309"/>
      <c r="AB20" s="300" t="n">
        <f aca="false">AB19+1</f>
        <v>14</v>
      </c>
    </row>
    <row r="21" customFormat="false" ht="12.75" hidden="false" customHeight="false" outlineLevel="0" collapsed="false">
      <c r="A21" s="310" t="s">
        <v>326</v>
      </c>
      <c r="B21" s="106"/>
      <c r="C21" s="39"/>
      <c r="D21" s="39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309"/>
      <c r="AB21" s="300" t="n">
        <f aca="false">AB20+1</f>
        <v>15</v>
      </c>
    </row>
    <row r="22" customFormat="false" ht="12.75" hidden="false" customHeight="false" outlineLevel="0" collapsed="false">
      <c r="A22" s="37"/>
      <c r="B22" s="39" t="str">
        <f aca="false">Assm!A40</f>
        <v>Salaries &amp; Benefits</v>
      </c>
      <c r="C22" s="39"/>
      <c r="D22" s="39"/>
      <c r="E22" s="61" t="n">
        <f aca="false">Assm!$E40*E$9/12*E$12</f>
        <v>0</v>
      </c>
      <c r="F22" s="61" t="n">
        <f aca="false">Assm!$E40*F$9/12*F$12</f>
        <v>0</v>
      </c>
      <c r="G22" s="61" t="n">
        <f aca="false">Assm!$E40*G$9/12*G$12</f>
        <v>215.778854770937</v>
      </c>
      <c r="H22" s="318" t="n">
        <f aca="false">Assm!$E40*H$9/12*H$12</f>
        <v>267.196997373854</v>
      </c>
      <c r="I22" s="61" t="n">
        <f aca="false">Assm!$E40*I$9/12*I$12</f>
        <v>275.243742838945</v>
      </c>
      <c r="J22" s="61" t="n">
        <f aca="false">Assm!$E40*J$9/12*J$12</f>
        <v>283.282442892593</v>
      </c>
      <c r="K22" s="61" t="n">
        <f aca="false">Assm!$E40*K$9/12*K$12</f>
        <v>291.37101472728</v>
      </c>
      <c r="L22" s="61" t="n">
        <f aca="false">Assm!$E40*L$9/12*L$12</f>
        <v>299.529065683965</v>
      </c>
      <c r="M22" s="61" t="n">
        <f aca="false">Assm!$E40*M$9/12*M$12</f>
        <v>307.719591961209</v>
      </c>
      <c r="N22" s="61" t="n">
        <f aca="false">Assm!$E40*N$9/12*N$12</f>
        <v>315.952028219034</v>
      </c>
      <c r="O22" s="61" t="n">
        <f aca="false">Assm!$E40*O$9/12*O$12</f>
        <v>324.252439420506</v>
      </c>
      <c r="P22" s="61" t="n">
        <f aca="false">Assm!$E40*P$9/12*P$12</f>
        <v>332.631306389754</v>
      </c>
      <c r="Q22" s="61" t="n">
        <f aca="false">Assm!$E40*Q$9/12*Q$12</f>
        <v>341.105651543203</v>
      </c>
      <c r="R22" s="61" t="n">
        <f aca="false">Assm!$E40*R$9/12*R$12</f>
        <v>349.706832080589</v>
      </c>
      <c r="S22" s="61" t="n">
        <f aca="false">Assm!$E40*S$9/12*S$12</f>
        <v>358.486527298801</v>
      </c>
      <c r="T22" s="61" t="n">
        <f aca="false">Assm!$E40*T$9/12*T$12</f>
        <v>367.545888243657</v>
      </c>
      <c r="U22" s="61" t="n">
        <f aca="false">Assm!$E40*U$9/12*U$12</f>
        <v>376.969973984996</v>
      </c>
      <c r="V22" s="61" t="n">
        <f aca="false">Assm!$E40*V$9/12*V$12</f>
        <v>386.800092909067</v>
      </c>
      <c r="W22" s="61" t="n">
        <f aca="false">Assm!$E40*W$9/12*W$12</f>
        <v>397.081020901731</v>
      </c>
      <c r="X22" s="61" t="n">
        <f aca="false">Assm!$E40*X$9/12*X$12</f>
        <v>407.811145251501</v>
      </c>
      <c r="Y22" s="61" t="n">
        <f aca="false">Assm!$E40*Y$9/12*Y$12</f>
        <v>139.667610689697</v>
      </c>
      <c r="Z22" s="309" t="n">
        <f aca="false">SUM(E22:Y22)</f>
        <v>6038.13222718132</v>
      </c>
      <c r="AB22" s="300" t="n">
        <f aca="false">AB21+1</f>
        <v>16</v>
      </c>
    </row>
    <row r="23" customFormat="false" ht="12.75" hidden="false" customHeight="false" outlineLevel="0" collapsed="false">
      <c r="A23" s="37"/>
      <c r="B23" s="39" t="str">
        <f aca="false">Assm!A41</f>
        <v>Administrative Expenses - General</v>
      </c>
      <c r="C23" s="39"/>
      <c r="D23" s="39"/>
      <c r="E23" s="61" t="n">
        <f aca="false">Assm!$E41*E$9/12*E$12</f>
        <v>0</v>
      </c>
      <c r="F23" s="61" t="n">
        <f aca="false">Assm!$E41*F$9/12*F$12</f>
        <v>0</v>
      </c>
      <c r="G23" s="61" t="n">
        <f aca="false">Assm!$E41*G$9/12*G$12</f>
        <v>74.0596916798555</v>
      </c>
      <c r="H23" s="318" t="n">
        <f aca="false">Assm!$E41*H$9/12*H$12</f>
        <v>91.7074440139076</v>
      </c>
      <c r="I23" s="61" t="n">
        <f aca="false">Assm!$E41*I$9/12*I$12</f>
        <v>94.4692507201464</v>
      </c>
      <c r="J23" s="61" t="n">
        <f aca="false">Assm!$E41*J$9/12*J$12</f>
        <v>97.2282960775427</v>
      </c>
      <c r="K23" s="61" t="n">
        <f aca="false">Assm!$E41*K$9/12*K$12</f>
        <v>100.004458444533</v>
      </c>
      <c r="L23" s="61" t="n">
        <f aca="false">Assm!$E41*L$9/12*L$12</f>
        <v>102.804467459327</v>
      </c>
      <c r="M23" s="61" t="n">
        <f aca="false">Assm!$E41*M$9/12*M$12</f>
        <v>105.615622664652</v>
      </c>
      <c r="N23" s="61" t="n">
        <f aca="false">Assm!$E41*N$9/12*N$12</f>
        <v>108.441162227719</v>
      </c>
      <c r="O23" s="61" t="n">
        <f aca="false">Assm!$E41*O$9/12*O$12</f>
        <v>111.290032173987</v>
      </c>
      <c r="P23" s="61" t="n">
        <f aca="false">Assm!$E41*P$9/12*P$12</f>
        <v>114.165829735467</v>
      </c>
      <c r="Q23" s="61" t="n">
        <f aca="false">Assm!$E41*Q$9/12*Q$12</f>
        <v>117.074397351692</v>
      </c>
      <c r="R23" s="61" t="n">
        <f aca="false">Assm!$E41*R$9/12*R$12</f>
        <v>120.026497451389</v>
      </c>
      <c r="S23" s="61" t="n">
        <f aca="false">Assm!$E41*S$9/12*S$12</f>
        <v>123.039867420351</v>
      </c>
      <c r="T23" s="61" t="n">
        <f aca="false">Assm!$E41*T$9/12*T$12</f>
        <v>126.149224354814</v>
      </c>
      <c r="U23" s="61" t="n">
        <f aca="false">Assm!$E41*U$9/12*U$12</f>
        <v>129.383762257562</v>
      </c>
      <c r="V23" s="61" t="n">
        <f aca="false">Assm!$E41*V$9/12*V$12</f>
        <v>132.757659006925</v>
      </c>
      <c r="W23" s="61" t="n">
        <f aca="false">Assm!$E41*W$9/12*W$12</f>
        <v>136.286282597628</v>
      </c>
      <c r="X23" s="61" t="n">
        <f aca="false">Assm!$E41*X$9/12*X$12</f>
        <v>139.969079514286</v>
      </c>
      <c r="Y23" s="61" t="n">
        <f aca="false">Assm!$E41*Y$9/12*Y$12</f>
        <v>47.9367646858704</v>
      </c>
      <c r="Z23" s="309" t="n">
        <f aca="false">SUM(E23:Y23)</f>
        <v>2072.40978983766</v>
      </c>
      <c r="AB23" s="300" t="n">
        <f aca="false">AB22+1</f>
        <v>17</v>
      </c>
    </row>
    <row r="24" customFormat="false" ht="12.75" hidden="false" customHeight="false" outlineLevel="0" collapsed="false">
      <c r="A24" s="37"/>
      <c r="B24" s="39" t="str">
        <f aca="false">Assm!A42</f>
        <v>Administrative Expenses - Transredes</v>
      </c>
      <c r="C24" s="39"/>
      <c r="D24" s="39"/>
      <c r="E24" s="61" t="n">
        <f aca="false">Assm!$E42*E$9/12*E$12</f>
        <v>0</v>
      </c>
      <c r="F24" s="61" t="n">
        <f aca="false">Assm!$E42*F$9/12*F$12</f>
        <v>0</v>
      </c>
      <c r="G24" s="61" t="n">
        <f aca="false">Assm!$E42*G$9/12*G$12</f>
        <v>342.868942962294</v>
      </c>
      <c r="H24" s="318" t="n">
        <f aca="false">Assm!$E42*H$9/12*H$12</f>
        <v>424.571500064387</v>
      </c>
      <c r="I24" s="61" t="n">
        <f aca="false">Assm!$E42*I$9/12*I$12</f>
        <v>437.3576422229</v>
      </c>
      <c r="J24" s="61" t="n">
        <f aca="false">Assm!$E42*J$9/12*J$12</f>
        <v>450.131000358994</v>
      </c>
      <c r="K24" s="61" t="n">
        <f aca="false">Assm!$E42*K$9/12*K$12</f>
        <v>462.983603909874</v>
      </c>
      <c r="L24" s="61" t="n">
        <f aca="false">Assm!$E42*L$9/12*L$12</f>
        <v>475.946608607996</v>
      </c>
      <c r="M24" s="61" t="n">
        <f aca="false">Assm!$E42*M$9/12*M$12</f>
        <v>488.961216040056</v>
      </c>
      <c r="N24" s="61" t="n">
        <f aca="false">Assm!$E42*N$9/12*N$12</f>
        <v>502.042417720922</v>
      </c>
      <c r="O24" s="61" t="n">
        <f aca="false">Assm!$E42*O$9/12*O$12</f>
        <v>515.231630435126</v>
      </c>
      <c r="P24" s="61" t="n">
        <f aca="false">Assm!$E42*P$9/12*P$12</f>
        <v>528.545508034567</v>
      </c>
      <c r="Q24" s="61" t="n">
        <f aca="false">Assm!$E42*Q$9/12*Q$12</f>
        <v>542.011098850428</v>
      </c>
      <c r="R24" s="61" t="n">
        <f aca="false">Assm!$E42*R$9/12*R$12</f>
        <v>555.678228941614</v>
      </c>
      <c r="S24" s="61" t="n">
        <f aca="false">Assm!$E42*S$9/12*S$12</f>
        <v>569.629015834959</v>
      </c>
      <c r="T24" s="61" t="n">
        <f aca="false">Assm!$E42*T$9/12*T$12</f>
        <v>584.024186827844</v>
      </c>
      <c r="U24" s="61" t="n">
        <f aca="false">Assm!$E42*U$9/12*U$12</f>
        <v>598.998899340565</v>
      </c>
      <c r="V24" s="61" t="n">
        <f aca="false">Assm!$E42*V$9/12*V$12</f>
        <v>614.618791698729</v>
      </c>
      <c r="W24" s="61" t="n">
        <f aca="false">Assm!$E42*W$9/12*W$12</f>
        <v>630.955012026056</v>
      </c>
      <c r="X24" s="61" t="n">
        <f aca="false">Assm!$E42*X$9/12*X$12</f>
        <v>648.004997751325</v>
      </c>
      <c r="Y24" s="61" t="n">
        <f aca="false">Assm!$E42*Y$9/12*Y$12</f>
        <v>221.929466138289</v>
      </c>
      <c r="Z24" s="309" t="n">
        <f aca="false">SUM(E24:Y24)</f>
        <v>9594.48976776692</v>
      </c>
      <c r="AB24" s="300" t="n">
        <f aca="false">AB23+1</f>
        <v>18</v>
      </c>
    </row>
    <row r="25" customFormat="false" ht="12.75" hidden="false" customHeight="false" outlineLevel="0" collapsed="false">
      <c r="A25" s="37"/>
      <c r="B25" s="39" t="str">
        <f aca="false">Assm!A43</f>
        <v>Equipment Rental</v>
      </c>
      <c r="C25" s="319" t="s">
        <v>327</v>
      </c>
      <c r="D25" s="320"/>
      <c r="E25" s="61" t="n">
        <f aca="false">Trapped!F59</f>
        <v>0</v>
      </c>
      <c r="F25" s="61" t="n">
        <f aca="false">Trapped!G59</f>
        <v>0</v>
      </c>
      <c r="G25" s="61" t="n">
        <f aca="false">Trapped!H59</f>
        <v>909.922058542598</v>
      </c>
      <c r="H25" s="318" t="n">
        <f aca="false">Trapped!I59</f>
        <v>1126.74822630287</v>
      </c>
      <c r="I25" s="61" t="n">
        <f aca="false">Trapped!J59</f>
        <v>2210.33904543292</v>
      </c>
      <c r="J25" s="61" t="n">
        <f aca="false">Trapped!K59</f>
        <v>1194.57925504071</v>
      </c>
      <c r="K25" s="61" t="n">
        <f aca="false">Trapped!L59</f>
        <v>1228.68811126901</v>
      </c>
      <c r="L25" s="61" t="n">
        <f aca="false">Trapped!M59</f>
        <v>1263.08995536111</v>
      </c>
      <c r="M25" s="61" t="n">
        <f aca="false">Trapped!N59</f>
        <v>1297.62874526547</v>
      </c>
      <c r="N25" s="61" t="n">
        <f aca="false">Trapped!O59</f>
        <v>1332.34426618383</v>
      </c>
      <c r="O25" s="61" t="n">
        <f aca="false">Trapped!P59</f>
        <v>1367.346431967</v>
      </c>
      <c r="P25" s="61" t="n">
        <f aca="false">Trapped!Q59</f>
        <v>1402.67943940652</v>
      </c>
      <c r="Q25" s="61" t="n">
        <f aca="false">Trapped!R59</f>
        <v>1438.41507066201</v>
      </c>
      <c r="R25" s="61" t="n">
        <f aca="false">Trapped!S59</f>
        <v>1474.68555652025</v>
      </c>
      <c r="S25" s="61" t="n">
        <f aca="false">Trapped!T59</f>
        <v>2878.81846241947</v>
      </c>
      <c r="T25" s="61" t="n">
        <f aca="false">Trapped!U59</f>
        <v>1549.9114201647</v>
      </c>
      <c r="U25" s="61" t="n">
        <f aca="false">Trapped!V59</f>
        <v>1589.65203101716</v>
      </c>
      <c r="V25" s="61" t="n">
        <f aca="false">Trapped!W59</f>
        <v>1631.10485111209</v>
      </c>
      <c r="W25" s="61" t="n">
        <f aca="false">Trapped!X59</f>
        <v>1674.45869675532</v>
      </c>
      <c r="X25" s="61" t="n">
        <f aca="false">Trapped!Y59</f>
        <v>1719.70676727236</v>
      </c>
      <c r="Y25" s="61" t="n">
        <f aca="false">Trapped!Z59</f>
        <v>588.967069852166</v>
      </c>
      <c r="Z25" s="309" t="n">
        <f aca="false">SUM(E25:Y25)</f>
        <v>27879.0854605476</v>
      </c>
      <c r="AB25" s="300" t="n">
        <f aca="false">AB24+1</f>
        <v>19</v>
      </c>
    </row>
    <row r="26" customFormat="false" ht="12.75" hidden="false" customHeight="false" outlineLevel="0" collapsed="false">
      <c r="A26" s="37"/>
      <c r="B26" s="39" t="str">
        <f aca="false">Assm!A44</f>
        <v>Other O&amp;M Expenses</v>
      </c>
      <c r="C26" s="39"/>
      <c r="D26" s="39"/>
      <c r="E26" s="61" t="n">
        <f aca="false">((Assm!$E44*E$9/12)+IF(OR(E$6=3,E$6=6,E$6=9,E$6=12,E$6=15,E$6=18),Assm!$B$44,0))*E$12</f>
        <v>0</v>
      </c>
      <c r="F26" s="61" t="n">
        <f aca="false">((Assm!$E44*F$9/12)+IF(OR(F$6=3,F$6=6,F$6=9,F$6=12,F$6=15,F$6=18),Assm!$B$44,0))*F$12</f>
        <v>0</v>
      </c>
      <c r="G26" s="61" t="n">
        <f aca="false">((Assm!$E44*G$9/12)+IF(OR(G$6=3,G$6=6,G$6=9,G$6=12,G$6=15,G$6=18),Assm!$B$44,0))*G$12</f>
        <v>39.4985022292563</v>
      </c>
      <c r="H26" s="318" t="n">
        <f aca="false">((Assm!$E44*H$9/12)+IF(OR(H$6=3,H$6=6,H$6=9,H$6=12,H$6=15,H$6=18),Assm!$B$44,0))*H$12</f>
        <v>8.15177280123623</v>
      </c>
      <c r="I26" s="61" t="n">
        <f aca="false">((Assm!$E44*I$9/12)+IF(OR(I$6=3,I$6=6,I$6=9,I$6=12,I$6=15,I$6=18),Assm!$B$44,0))*I$12</f>
        <v>8.39726673067968</v>
      </c>
      <c r="J26" s="61" t="n">
        <f aca="false">((Assm!$E44*J$9/12)+IF(OR(J$6=3,J$6=6,J$6=9,J$6=12,J$6=15,J$6=18),Assm!$B$44,0))*J$12</f>
        <v>44.6529952356122</v>
      </c>
      <c r="K26" s="61" t="n">
        <f aca="false">((Assm!$E44*K$9/12)+IF(OR(K$6=3,K$6=6,K$6=9,K$6=12,K$6=15,K$6=18),Assm!$B$44,0))*K$12</f>
        <v>8.88928519506957</v>
      </c>
      <c r="L26" s="61" t="n">
        <f aca="false">((Assm!$E44*L$9/12)+IF(OR(L$6=3,L$6=6,L$6=9,L$6=12,L$6=15,L$6=18),Assm!$B$44,0))*L$12</f>
        <v>9.13817488527352</v>
      </c>
      <c r="M26" s="61" t="n">
        <f aca="false">((Assm!$E44*M$9/12)+IF(OR(M$6=3,M$6=6,M$6=9,M$6=12,M$6=15,M$6=18),Assm!$B$44,0))*M$12</f>
        <v>48.5049526311736</v>
      </c>
      <c r="N26" s="61" t="n">
        <f aca="false">((Assm!$E44*N$9/12)+IF(OR(N$6=3,N$6=6,N$6=9,N$6=12,N$6=15,N$6=18),Assm!$B$44,0))*N$12</f>
        <v>9.63921442024171</v>
      </c>
      <c r="O26" s="61" t="n">
        <f aca="false">((Assm!$E44*O$9/12)+IF(OR(O$6=3,O$6=6,O$6=9,O$6=12,O$6=15,O$6=18),Assm!$B$44,0))*O$12</f>
        <v>9.89244730435441</v>
      </c>
      <c r="P26" s="61" t="n">
        <f aca="false">((Assm!$E44*P$9/12)+IF(OR(P$6=3,P$6=6,P$6=9,P$6=12,P$6=15,P$6=18),Assm!$B$44,0))*P$12</f>
        <v>52.4317143970291</v>
      </c>
      <c r="Q26" s="61" t="n">
        <f aca="false">((Assm!$E44*Q$9/12)+IF(OR(Q$6=3,Q$6=6,Q$6=9,Q$6=12,Q$6=15,Q$6=18),Assm!$B$44,0))*Q$12</f>
        <v>10.4066130979282</v>
      </c>
      <c r="R26" s="61" t="n">
        <f aca="false">((Assm!$E44*R$9/12)+IF(OR(R$6=3,R$6=6,R$6=9,R$6=12,R$6=15,R$6=18),Assm!$B$44,0))*R$12</f>
        <v>10.669021995679</v>
      </c>
      <c r="S26" s="61" t="n">
        <f aca="false">((Assm!$E44*S$9/12)+IF(OR(S$6=3,S$6=6,S$6=9,S$6=12,S$6=15,S$6=18),Assm!$B$44,0))*S$12</f>
        <v>56.5071983708279</v>
      </c>
      <c r="T26" s="61" t="n">
        <f aca="false">((Assm!$E44*T$9/12)+IF(OR(T$6=3,T$6=6,T$6=9,T$6=12,T$6=15,T$6=18),Assm!$B$44,0))*T$12</f>
        <v>11.2132643870946</v>
      </c>
      <c r="U26" s="61" t="n">
        <f aca="false">((Assm!$E44*U$9/12)+IF(OR(U$6=3,U$6=6,U$6=9,U$6=12,U$6=15,U$6=18),Assm!$B$44,0))*U$12</f>
        <v>11.5007788673389</v>
      </c>
      <c r="V26" s="61" t="n">
        <f aca="false">((Assm!$E44*V$9/12)+IF(OR(V$6=3,V$6=6,V$6=9,V$6=12,V$6=15,V$6=18),Assm!$B$44,0))*V$12</f>
        <v>60.9701841365139</v>
      </c>
      <c r="W26" s="61" t="n">
        <f aca="false">((Assm!$E44*W$9/12)+IF(OR(W$6=3,W$6=6,W$6=9,W$6=12,W$6=15,W$6=18),Assm!$B$44,0))*W$12</f>
        <v>12.1143362309003</v>
      </c>
      <c r="X26" s="61" t="n">
        <f aca="false">((Assm!$E44*X$9/12)+IF(OR(X$6=3,X$6=6,X$6=9,X$6=12,X$6=15,X$6=18),Assm!$B$44,0))*X$12</f>
        <v>12.4416959568254</v>
      </c>
      <c r="Y26" s="61" t="n">
        <f aca="false">((Assm!$E44*Y$9/12)+IF(OR(Y$6=3,Y$6=6,Y$6=9,Y$6=12,Y$6=15,Y$6=18),Assm!$B$44,0))*Y$12</f>
        <v>4.26104574985515</v>
      </c>
      <c r="Z26" s="309" t="n">
        <f aca="false">SUM(E26:Y26)</f>
        <v>429.28046462289</v>
      </c>
      <c r="AB26" s="300" t="n">
        <f aca="false">AB25+1</f>
        <v>20</v>
      </c>
    </row>
    <row r="27" customFormat="false" ht="12.75" hidden="false" customHeight="false" outlineLevel="0" collapsed="false">
      <c r="A27" s="37"/>
      <c r="B27" s="39" t="str">
        <f aca="false">Assm!A45</f>
        <v>Gas Loss</v>
      </c>
      <c r="C27" s="39"/>
      <c r="D27" s="39"/>
      <c r="E27" s="61" t="n">
        <f aca="false">Assm!$E45*E$9/12*E$12</f>
        <v>0</v>
      </c>
      <c r="F27" s="61" t="n">
        <f aca="false">Assm!$E45*F$9/12*F$12</f>
        <v>0</v>
      </c>
      <c r="G27" s="61" t="n">
        <f aca="false">Assm!$E45*G$9/12*G$12</f>
        <v>0</v>
      </c>
      <c r="H27" s="318" t="n">
        <f aca="false">Assm!$E45*H$9/12*H$12</f>
        <v>0</v>
      </c>
      <c r="I27" s="61" t="n">
        <f aca="false">Assm!$E45*I$9/12*I$12</f>
        <v>0</v>
      </c>
      <c r="J27" s="61" t="n">
        <f aca="false">Assm!$E45*J$9/12*J$12</f>
        <v>0</v>
      </c>
      <c r="K27" s="61" t="n">
        <f aca="false">Assm!$E45*K$9/12*K$12</f>
        <v>0</v>
      </c>
      <c r="L27" s="61" t="n">
        <f aca="false">Assm!$E45*L$9/12*L$12</f>
        <v>0</v>
      </c>
      <c r="M27" s="61" t="n">
        <f aca="false">Assm!$E45*M$9/12*M$12</f>
        <v>0</v>
      </c>
      <c r="N27" s="61" t="n">
        <f aca="false">Assm!$E45*N$9/12*N$12</f>
        <v>0</v>
      </c>
      <c r="O27" s="61" t="n">
        <f aca="false">Assm!$E45*O$9/12*O$12</f>
        <v>0</v>
      </c>
      <c r="P27" s="61" t="n">
        <f aca="false">Assm!$E45*P$9/12*P$12</f>
        <v>0</v>
      </c>
      <c r="Q27" s="61" t="n">
        <f aca="false">Assm!$E45*Q$9/12*Q$12</f>
        <v>0</v>
      </c>
      <c r="R27" s="61" t="n">
        <f aca="false">Assm!$E45*R$9/12*R$12</f>
        <v>0</v>
      </c>
      <c r="S27" s="61" t="n">
        <f aca="false">Assm!$E45*S$9/12*S$12</f>
        <v>0</v>
      </c>
      <c r="T27" s="61" t="n">
        <f aca="false">Assm!$E45*T$9/12*T$12</f>
        <v>0</v>
      </c>
      <c r="U27" s="61" t="n">
        <f aca="false">Assm!$E45*U$9/12*U$12</f>
        <v>0</v>
      </c>
      <c r="V27" s="61" t="n">
        <f aca="false">Assm!$E45*V$9/12*V$12</f>
        <v>0</v>
      </c>
      <c r="W27" s="61" t="n">
        <f aca="false">Assm!$E45*W$9/12*W$12</f>
        <v>0</v>
      </c>
      <c r="X27" s="61" t="n">
        <f aca="false">Assm!$E45*X$9/12*X$12</f>
        <v>0</v>
      </c>
      <c r="Y27" s="61" t="n">
        <f aca="false">Assm!$E45*Y$9/12*Y$12</f>
        <v>0</v>
      </c>
      <c r="Z27" s="309" t="n">
        <f aca="false">SUM(E27:Y27)</f>
        <v>0</v>
      </c>
      <c r="AB27" s="300" t="n">
        <f aca="false">AB26+1</f>
        <v>21</v>
      </c>
    </row>
    <row r="28" customFormat="false" ht="12.75" hidden="false" customHeight="false" outlineLevel="0" collapsed="false">
      <c r="A28" s="37"/>
      <c r="B28" s="39" t="str">
        <f aca="false">Assm!A46</f>
        <v>Technical Services Fee</v>
      </c>
      <c r="C28" s="321" t="n">
        <v>-1</v>
      </c>
      <c r="D28" s="39"/>
      <c r="E28" s="61" t="n">
        <f aca="false">Assm!$E46*E$9/12*E$12</f>
        <v>0</v>
      </c>
      <c r="F28" s="61" t="n">
        <f aca="false">Assm!$E46*F$9/12*F$12</f>
        <v>0</v>
      </c>
      <c r="G28" s="61" t="n">
        <f aca="false">Assm!$E46*G$9/12*G$12</f>
        <v>232.207305883328</v>
      </c>
      <c r="H28" s="318" t="n">
        <f aca="false">Assm!$E46*H$9/12*H$12</f>
        <v>287.540199275606</v>
      </c>
      <c r="I28" s="61" t="n">
        <f aca="false">Assm!$E46*I$9/12*I$12</f>
        <v>296.199588480175</v>
      </c>
      <c r="J28" s="61" t="n">
        <f aca="false">Assm!$E46*J$9/12*J$12</f>
        <v>304.850319731128</v>
      </c>
      <c r="K28" s="61" t="n">
        <f aca="false">Assm!$E46*K$9/12*K$12</f>
        <v>313.554719780754</v>
      </c>
      <c r="L28" s="61" t="n">
        <f aca="false">Assm!$E46*L$9/12*L$12</f>
        <v>322.333888786548</v>
      </c>
      <c r="M28" s="61" t="n">
        <f aca="false">Assm!$E46*M$9/12*M$12</f>
        <v>331.148005640696</v>
      </c>
      <c r="N28" s="61" t="n">
        <f aca="false">Assm!$E46*N$9/12*N$12</f>
        <v>340.007223316659</v>
      </c>
      <c r="O28" s="61" t="n">
        <f aca="false">Assm!$E46*O$9/12*O$12</f>
        <v>348.939591248928</v>
      </c>
      <c r="P28" s="61" t="n">
        <f aca="false">Assm!$E46*P$9/12*P$12</f>
        <v>357.956388225395</v>
      </c>
      <c r="Q28" s="61" t="n">
        <f aca="false">Assm!$E46*Q$9/12*Q$12</f>
        <v>367.075932674255</v>
      </c>
      <c r="R28" s="61" t="n">
        <f aca="false">Assm!$E46*R$9/12*R$12</f>
        <v>376.33196919425</v>
      </c>
      <c r="S28" s="61" t="n">
        <f aca="false">Assm!$E46*S$9/12*S$12</f>
        <v>385.780111716194</v>
      </c>
      <c r="T28" s="61" t="n">
        <f aca="false">Assm!$E46*T$9/12*T$12</f>
        <v>395.529212480784</v>
      </c>
      <c r="U28" s="61" t="n">
        <f aca="false">Assm!$E46*U$9/12*U$12</f>
        <v>405.670806580599</v>
      </c>
      <c r="V28" s="61" t="n">
        <f aca="false">Assm!$E46*V$9/12*V$12</f>
        <v>416.249347440381</v>
      </c>
      <c r="W28" s="61" t="n">
        <f aca="false">Assm!$E46*W$9/12*W$12</f>
        <v>427.313019984622</v>
      </c>
      <c r="X28" s="61" t="n">
        <f aca="false">Assm!$E46*X$9/12*X$12</f>
        <v>438.86008871709</v>
      </c>
      <c r="Y28" s="61" t="n">
        <f aca="false">Assm!$E46*Y$9/12*Y$12</f>
        <v>150.301287083224</v>
      </c>
      <c r="Z28" s="309" t="n">
        <f aca="false">SUM(E28:Y28)</f>
        <v>6497.84900624061</v>
      </c>
      <c r="AB28" s="300" t="n">
        <f aca="false">AB27+1</f>
        <v>22</v>
      </c>
    </row>
    <row r="29" customFormat="false" ht="12.75" hidden="false" customHeight="false" outlineLevel="0" collapsed="false">
      <c r="A29" s="37"/>
      <c r="B29" s="39" t="str">
        <f aca="false">Assm!A47</f>
        <v>Capital Budget Expenses (See Trapped Cash Sheet)</v>
      </c>
      <c r="C29" s="39"/>
      <c r="D29" s="39"/>
      <c r="E29" s="61" t="n">
        <f aca="false">Trapped!F44*E$12</f>
        <v>0</v>
      </c>
      <c r="F29" s="61" t="n">
        <f aca="false">Trapped!G44*F$12</f>
        <v>13.2759999379246</v>
      </c>
      <c r="G29" s="61" t="n">
        <f aca="false">Trapped!H44*G$12</f>
        <v>19.2006608058885</v>
      </c>
      <c r="H29" s="318" t="n">
        <f aca="false">Trapped!I44*H$12</f>
        <v>108.690304016483</v>
      </c>
      <c r="I29" s="61" t="n">
        <f aca="false">Trapped!J44*I$12</f>
        <v>583.72666648683</v>
      </c>
      <c r="J29" s="61" t="n">
        <f aca="false">Trapped!K44*J$12</f>
        <v>21.0061133500864</v>
      </c>
      <c r="K29" s="61" t="n">
        <f aca="false">Trapped!L44*K$12</f>
        <v>21.6059015157941</v>
      </c>
      <c r="L29" s="61" t="n">
        <f aca="false">Trapped!M44*L$12</f>
        <v>163.725633361151</v>
      </c>
      <c r="M29" s="61" t="n">
        <f aca="false">Trapped!N44*M$12</f>
        <v>22.8181900818693</v>
      </c>
      <c r="N29" s="61" t="n">
        <f aca="false">Trapped!O44*N$12</f>
        <v>670.059280184858</v>
      </c>
      <c r="O29" s="61" t="n">
        <f aca="false">Trapped!P44*O$12</f>
        <v>24.0441427536392</v>
      </c>
      <c r="P29" s="61" t="n">
        <f aca="false">Trapped!Q44*P$12</f>
        <v>135.307650056849</v>
      </c>
      <c r="Q29" s="61" t="n">
        <f aca="false">Trapped!R44*Q$12</f>
        <v>25.2938512796866</v>
      </c>
      <c r="R29" s="61" t="n">
        <f aca="false">Trapped!S44*R$12</f>
        <v>25.931650683942</v>
      </c>
      <c r="S29" s="61" t="n">
        <f aca="false">Trapped!T44*S$12</f>
        <v>760.264859801058</v>
      </c>
      <c r="T29" s="61" t="n">
        <f aca="false">Trapped!U44*T$12</f>
        <v>200.904320268778</v>
      </c>
      <c r="U29" s="61" t="n">
        <f aca="false">Trapped!V44*U$12</f>
        <v>27.9532819692264</v>
      </c>
      <c r="V29" s="61" t="n">
        <f aca="false">Trapped!W44*V$12</f>
        <v>28.682210279274</v>
      </c>
      <c r="W29" s="61" t="n">
        <f aca="false">Trapped!X44*W$12</f>
        <v>29.4445672278826</v>
      </c>
      <c r="X29" s="61" t="n">
        <f aca="false">Trapped!Y44*X$12</f>
        <v>21.6001665917108</v>
      </c>
      <c r="Y29" s="61" t="n">
        <f aca="false">Trapped!Z44*Y$12</f>
        <v>0</v>
      </c>
      <c r="Z29" s="309" t="n">
        <f aca="false">SUM(E29:Y29)</f>
        <v>2903.53545065293</v>
      </c>
      <c r="AB29" s="300" t="n">
        <f aca="false">AB28+1</f>
        <v>23</v>
      </c>
    </row>
    <row r="30" customFormat="false" ht="12.75" hidden="false" customHeight="false" outlineLevel="0" collapsed="false">
      <c r="A30" s="37"/>
      <c r="B30" s="39" t="str">
        <f aca="false">Assm!A48</f>
        <v>Operating Insurance</v>
      </c>
      <c r="C30" s="321" t="n">
        <v>-1</v>
      </c>
      <c r="D30" s="39"/>
      <c r="E30" s="311" t="n">
        <f aca="false">Assm!$E48*E$9/12*E$12</f>
        <v>0</v>
      </c>
      <c r="F30" s="311" t="n">
        <f aca="false">Assm!$E48*F$9/12*F$12</f>
        <v>0</v>
      </c>
      <c r="G30" s="311" t="n">
        <f aca="false">Assm!$E48*G$9/12*G$12</f>
        <v>423.249309316012</v>
      </c>
      <c r="H30" s="312" t="n">
        <f aca="false">Assm!$E48*H$9/12*H$12</f>
        <v>524.105778158149</v>
      </c>
      <c r="I30" s="311" t="n">
        <f aca="false">Assm!$E48*I$9/12*I$12</f>
        <v>539.889435291545</v>
      </c>
      <c r="J30" s="311" t="n">
        <f aca="false">Assm!$E48*J$9/12*J$12</f>
        <v>555.657311384488</v>
      </c>
      <c r="K30" s="311" t="n">
        <f aca="false">Assm!$E48*K$9/12*K$12</f>
        <v>571.523010764617</v>
      </c>
      <c r="L30" s="311" t="n">
        <f aca="false">Assm!$E48*L$9/12*L$12</f>
        <v>587.524993148142</v>
      </c>
      <c r="M30" s="311" t="n">
        <f aca="false">Assm!$E48*M$9/12*M$12</f>
        <v>603.590675735335</v>
      </c>
      <c r="N30" s="311" t="n">
        <f aca="false">Assm!$E48*N$9/12*N$12</f>
        <v>619.738564571854</v>
      </c>
      <c r="O30" s="311" t="n">
        <f aca="false">Assm!$E48*O$9/12*O$12</f>
        <v>636.019785972307</v>
      </c>
      <c r="P30" s="311" t="n">
        <f aca="false">Assm!$E48*P$9/12*P$12</f>
        <v>652.454898028815</v>
      </c>
      <c r="Q30" s="311" t="n">
        <f aca="false">Assm!$E48*Q$9/12*Q$12</f>
        <v>669.077290139062</v>
      </c>
      <c r="R30" s="311" t="n">
        <f aca="false">Assm!$E48*R$9/12*R$12</f>
        <v>685.948469317465</v>
      </c>
      <c r="S30" s="311" t="n">
        <f aca="false">Assm!$E48*S$9/12*S$12</f>
        <v>703.169804285888</v>
      </c>
      <c r="T30" s="311" t="n">
        <f aca="false">Assm!$E48*T$9/12*T$12</f>
        <v>720.939702392101</v>
      </c>
      <c r="U30" s="311" t="n">
        <f aca="false">Assm!$E48*U$9/12*U$12</f>
        <v>739.425006641171</v>
      </c>
      <c r="V30" s="311" t="n">
        <f aca="false">Assm!$E48*V$9/12*V$12</f>
        <v>758.70674325769</v>
      </c>
      <c r="W30" s="311" t="n">
        <f aca="false">Assm!$E48*W$9/12*W$12</f>
        <v>778.872739952047</v>
      </c>
      <c r="X30" s="311" t="n">
        <f aca="false">Assm!$E48*X$9/12*X$12</f>
        <v>799.919833397491</v>
      </c>
      <c r="Y30" s="311" t="n">
        <f aca="false">Assm!$E48*Y$9/12*Y$12</f>
        <v>273.95742655593</v>
      </c>
      <c r="Z30" s="313" t="n">
        <f aca="false">SUM(E30:Y30)</f>
        <v>11843.7707783101</v>
      </c>
      <c r="AB30" s="300" t="n">
        <f aca="false">AB29+1</f>
        <v>24</v>
      </c>
    </row>
    <row r="31" customFormat="false" ht="12.75" hidden="false" customHeight="false" outlineLevel="0" collapsed="false">
      <c r="A31" s="37"/>
      <c r="B31" s="38" t="s">
        <v>328</v>
      </c>
      <c r="C31" s="54"/>
      <c r="D31" s="39"/>
      <c r="E31" s="314" t="n">
        <f aca="false">SUM(E22:E30)*[1]RAROC!D83</f>
        <v>0</v>
      </c>
      <c r="F31" s="314" t="n">
        <f aca="false">SUM(F22:F30)*[1]RAROC!E83</f>
        <v>13.2759999379246</v>
      </c>
      <c r="G31" s="314" t="n">
        <f aca="false">SUM(G22:G30)*[1]RAROC!F83</f>
        <v>2256.78532619017</v>
      </c>
      <c r="H31" s="322" t="n">
        <f aca="false">SUM(H22:H30)*[1]RAROC!G83</f>
        <v>2838.7122220065</v>
      </c>
      <c r="I31" s="314" t="n">
        <f aca="false">SUM(I22:I30)*[1]RAROC!H83</f>
        <v>4445.62263820414</v>
      </c>
      <c r="J31" s="314" t="n">
        <f aca="false">SUM(J22:J30)*[1]RAROC!I83</f>
        <v>3541.66528088539</v>
      </c>
      <c r="K31" s="314" t="n">
        <f aca="false">SUM(K22:K30)*[1]RAROC!J83</f>
        <v>2998.62010560693</v>
      </c>
      <c r="L31" s="314" t="n">
        <f aca="false">SUM(L22:L30)*[1]RAROC!K83</f>
        <v>3224.09278729351</v>
      </c>
      <c r="M31" s="314" t="n">
        <f aca="false">SUM(M22:M30)*[1]RAROC!L83</f>
        <v>3205.98700002046</v>
      </c>
      <c r="N31" s="314" t="n">
        <f aca="false">SUM(N22:N30)*[1]RAROC!M83</f>
        <v>3898.22415684512</v>
      </c>
      <c r="O31" s="314" t="n">
        <f aca="false">SUM(O22:O30)*[1]RAROC!N83</f>
        <v>3337.01650127584</v>
      </c>
      <c r="P31" s="314" t="n">
        <f aca="false">SUM(P22:P30)*[1]RAROC!O83</f>
        <v>3576.1727342744</v>
      </c>
      <c r="Q31" s="314" t="n">
        <f aca="false">SUM(Q22:Q30)*[1]RAROC!P83</f>
        <v>3510.45990559826</v>
      </c>
      <c r="R31" s="314" t="n">
        <f aca="false">SUM(R22:R30)*[1]RAROC!Q83</f>
        <v>3598.97822618517</v>
      </c>
      <c r="S31" s="314" t="n">
        <f aca="false">SUM(S22:S30)*[1]RAROC!R83</f>
        <v>5835.69584714755</v>
      </c>
      <c r="T31" s="314" t="n">
        <f aca="false">SUM(T22:T30)*[1]RAROC!S83</f>
        <v>3956.21721911977</v>
      </c>
      <c r="U31" s="314" t="n">
        <f aca="false">SUM(U22:U30)*[1]RAROC!T83</f>
        <v>3879.55454065862</v>
      </c>
      <c r="V31" s="314" t="n">
        <f aca="false">SUM(V22:V30)*[1]RAROC!U83</f>
        <v>4029.88987984067</v>
      </c>
      <c r="W31" s="314" t="n">
        <f aca="false">SUM(W22:W30)*[1]RAROC!V83</f>
        <v>4086.52567567619</v>
      </c>
      <c r="X31" s="314" t="n">
        <f aca="false">SUM(X22:X30)*[1]RAROC!W83</f>
        <v>4188.31377445259</v>
      </c>
      <c r="Y31" s="314" t="n">
        <f aca="false">SUM(Y22:Y30)*[1]RAROC!X83</f>
        <v>1427.02067075503</v>
      </c>
      <c r="Z31" s="316" t="n">
        <f aca="false">SUM(E31:Y31)</f>
        <v>67848.8304919743</v>
      </c>
      <c r="AB31" s="300" t="n">
        <f aca="false">AB30+1</f>
        <v>25</v>
      </c>
    </row>
    <row r="32" customFormat="false" ht="12.75" hidden="false" customHeight="false" outlineLevel="0" collapsed="false">
      <c r="A32" s="37"/>
      <c r="B32" s="39" t="s">
        <v>329</v>
      </c>
      <c r="C32" s="303" t="n">
        <f aca="false">Wh_Serv/(1-Wh_Serv)</f>
        <v>0.142857142857143</v>
      </c>
      <c r="D32" s="39"/>
      <c r="E32" s="61" t="n">
        <f aca="false">SUM(E28,E30)*$C32</f>
        <v>0</v>
      </c>
      <c r="F32" s="61" t="n">
        <f aca="false">SUM(F28,F30)*$C32</f>
        <v>0</v>
      </c>
      <c r="G32" s="61" t="n">
        <f aca="false">SUM(G28,G30)*$C32</f>
        <v>93.6366593141914</v>
      </c>
      <c r="H32" s="318" t="n">
        <f aca="false">SUM(H28,H30)*$C32</f>
        <v>115.949425347679</v>
      </c>
      <c r="I32" s="61" t="n">
        <f aca="false">SUM(I28,I30)*$C32</f>
        <v>119.441289110246</v>
      </c>
      <c r="J32" s="61" t="n">
        <f aca="false">SUM(J28,J30)*$C32</f>
        <v>122.929661587945</v>
      </c>
      <c r="K32" s="61" t="n">
        <f aca="false">SUM(K28,K30)*$C32</f>
        <v>126.439675792196</v>
      </c>
      <c r="L32" s="61" t="n">
        <f aca="false">SUM(L28,L30)*$C32</f>
        <v>129.979840276384</v>
      </c>
      <c r="M32" s="61" t="n">
        <f aca="false">SUM(M28,M30)*$C32</f>
        <v>133.534097339433</v>
      </c>
      <c r="N32" s="61" t="n">
        <f aca="false">SUM(N28,N30)*$C32</f>
        <v>137.10654112693</v>
      </c>
      <c r="O32" s="61" t="n">
        <f aca="false">SUM(O28,O30)*$C32</f>
        <v>140.708482460176</v>
      </c>
      <c r="P32" s="61" t="n">
        <f aca="false">SUM(P28,P30)*$C32</f>
        <v>144.344469464887</v>
      </c>
      <c r="Q32" s="61" t="n">
        <f aca="false">SUM(Q28,Q30)*$C32</f>
        <v>148.021888973331</v>
      </c>
      <c r="R32" s="61" t="n">
        <f aca="false">SUM(R28,R30)*$C32</f>
        <v>151.754348358817</v>
      </c>
      <c r="S32" s="61" t="n">
        <f aca="false">SUM(S28,S30)*$C32</f>
        <v>155.564273714583</v>
      </c>
      <c r="T32" s="61" t="n">
        <f aca="false">SUM(T28,T30)*$C32</f>
        <v>159.495559267555</v>
      </c>
      <c r="U32" s="61" t="n">
        <f aca="false">SUM(U28,U30)*$C32</f>
        <v>163.585116174539</v>
      </c>
      <c r="V32" s="61" t="n">
        <f aca="false">SUM(V28,V30)*$C32</f>
        <v>167.850870099724</v>
      </c>
      <c r="W32" s="61" t="n">
        <f aca="false">SUM(W28,W30)*$C32</f>
        <v>172.312251419524</v>
      </c>
      <c r="X32" s="61" t="n">
        <f aca="false">SUM(X28,X30)*$C32</f>
        <v>176.968560302083</v>
      </c>
      <c r="Y32" s="61" t="n">
        <f aca="false">SUM(Y28,Y30)*$C32</f>
        <v>60.6083876627363</v>
      </c>
      <c r="Z32" s="309" t="n">
        <f aca="false">SUM(E32:Y32)</f>
        <v>2620.23139779296</v>
      </c>
      <c r="AB32" s="300" t="n">
        <f aca="false">AB31+1</f>
        <v>26</v>
      </c>
    </row>
    <row r="33" customFormat="false" ht="12.75" hidden="false" customHeight="false" outlineLevel="0" collapsed="false">
      <c r="A33" s="37"/>
      <c r="B33" s="39" t="s">
        <v>330</v>
      </c>
      <c r="C33" s="323" t="s">
        <v>331</v>
      </c>
      <c r="D33" s="39"/>
      <c r="E33" s="61" t="n">
        <f aca="false">Taxes!D36</f>
        <v>0</v>
      </c>
      <c r="F33" s="61" t="n">
        <f aca="false">Taxes!E36</f>
        <v>0</v>
      </c>
      <c r="G33" s="61" t="n">
        <f aca="false">Taxes!F36</f>
        <v>142.82925136278</v>
      </c>
      <c r="H33" s="318" t="n">
        <f aca="false">Taxes!G36</f>
        <v>240.550510107009</v>
      </c>
      <c r="I33" s="61" t="n">
        <f aca="false">Taxes!H36</f>
        <v>247.933666132372</v>
      </c>
      <c r="J33" s="61" t="n">
        <f aca="false">Taxes!I36</f>
        <v>255.933296288714</v>
      </c>
      <c r="K33" s="61" t="n">
        <f aca="false">Taxes!J36</f>
        <v>262.589242454311</v>
      </c>
      <c r="L33" s="61" t="n">
        <f aca="false">Taxes!K36</f>
        <v>269.98838079134</v>
      </c>
      <c r="M33" s="61" t="n">
        <f aca="false">Taxes!L36</f>
        <v>277.428120987957</v>
      </c>
      <c r="N33" s="61" t="n">
        <f aca="false">Taxes!M36</f>
        <v>285.669945013695</v>
      </c>
      <c r="O33" s="61" t="n">
        <f aca="false">Taxes!N36</f>
        <v>292.432225680268</v>
      </c>
      <c r="P33" s="61" t="n">
        <f aca="false">Taxes!O36</f>
        <v>300.029516491615</v>
      </c>
      <c r="Q33" s="61" t="n">
        <f aca="false">Taxes!P36</f>
        <v>307.708556612069</v>
      </c>
      <c r="R33" s="61" t="n">
        <f aca="false">Taxes!Q36</f>
        <v>316.343559275759</v>
      </c>
      <c r="S33" s="61" t="n">
        <f aca="false">Taxes!R36</f>
        <v>323.425512297466</v>
      </c>
      <c r="T33" s="61" t="n">
        <f aca="false">Taxes!S36</f>
        <v>331.581560396562</v>
      </c>
      <c r="U33" s="61" t="n">
        <f aca="false">Taxes!T36</f>
        <v>340.043898750948</v>
      </c>
      <c r="V33" s="61" t="n">
        <f aca="false">Taxes!U36</f>
        <v>349.802528180879</v>
      </c>
      <c r="W33" s="61" t="n">
        <f aca="false">Taxes!V36</f>
        <v>358.079093461755</v>
      </c>
      <c r="X33" s="61" t="n">
        <f aca="false">Taxes!W36</f>
        <v>367.704041891557</v>
      </c>
      <c r="Y33" s="61" t="n">
        <f aca="false">Taxes!X36</f>
        <v>121.943858015608</v>
      </c>
      <c r="Z33" s="309" t="n">
        <f aca="false">SUM(E33:Y33)</f>
        <v>5392.01676419266</v>
      </c>
      <c r="AB33" s="300" t="n">
        <f aca="false">AB32+1</f>
        <v>27</v>
      </c>
    </row>
    <row r="34" customFormat="false" ht="12.75" hidden="false" customHeight="false" outlineLevel="0" collapsed="false">
      <c r="A34" s="37"/>
      <c r="B34" s="39" t="s">
        <v>332</v>
      </c>
      <c r="C34" s="323" t="s">
        <v>331</v>
      </c>
      <c r="D34" s="39"/>
      <c r="E34" s="311" t="n">
        <f aca="false">Taxes!D46</f>
        <v>0</v>
      </c>
      <c r="F34" s="311" t="n">
        <f aca="false">Taxes!E46</f>
        <v>0</v>
      </c>
      <c r="G34" s="311" t="n">
        <f aca="false">Taxes!F46</f>
        <v>428.487754088341</v>
      </c>
      <c r="H34" s="312" t="n">
        <f aca="false">Taxes!G46</f>
        <v>721.651530321026</v>
      </c>
      <c r="I34" s="311" t="n">
        <f aca="false">Taxes!H46</f>
        <v>743.800998397115</v>
      </c>
      <c r="J34" s="311" t="n">
        <f aca="false">Taxes!I46</f>
        <v>767.799888866141</v>
      </c>
      <c r="K34" s="311" t="n">
        <f aca="false">Taxes!J46</f>
        <v>787.767727362934</v>
      </c>
      <c r="L34" s="311" t="n">
        <f aca="false">Taxes!K46</f>
        <v>809.96514237402</v>
      </c>
      <c r="M34" s="311" t="n">
        <f aca="false">Taxes!L46</f>
        <v>832.284362963871</v>
      </c>
      <c r="N34" s="311" t="n">
        <f aca="false">Taxes!M46</f>
        <v>857.009835041086</v>
      </c>
      <c r="O34" s="311" t="n">
        <f aca="false">Taxes!N46</f>
        <v>877.296677040803</v>
      </c>
      <c r="P34" s="311" t="n">
        <f aca="false">Taxes!O46</f>
        <v>900.088549474844</v>
      </c>
      <c r="Q34" s="311" t="n">
        <f aca="false">Taxes!P46</f>
        <v>923.125669836207</v>
      </c>
      <c r="R34" s="311" t="n">
        <f aca="false">Taxes!Q46</f>
        <v>0</v>
      </c>
      <c r="S34" s="311" t="n">
        <f aca="false">Taxes!R46</f>
        <v>0</v>
      </c>
      <c r="T34" s="311" t="n">
        <f aca="false">Taxes!S46</f>
        <v>0</v>
      </c>
      <c r="U34" s="311" t="n">
        <f aca="false">Taxes!T46</f>
        <v>0</v>
      </c>
      <c r="V34" s="311" t="n">
        <f aca="false">Taxes!U46</f>
        <v>0</v>
      </c>
      <c r="W34" s="311" t="n">
        <f aca="false">Taxes!V46</f>
        <v>0</v>
      </c>
      <c r="X34" s="311" t="n">
        <f aca="false">Taxes!W46</f>
        <v>0</v>
      </c>
      <c r="Y34" s="311" t="n">
        <f aca="false">Taxes!X46</f>
        <v>0</v>
      </c>
      <c r="Z34" s="313" t="n">
        <f aca="false">SUM(E34:Y34)</f>
        <v>8649.27813576639</v>
      </c>
      <c r="AB34" s="300" t="n">
        <f aca="false">AB33+1</f>
        <v>28</v>
      </c>
    </row>
    <row r="35" customFormat="false" ht="12.75" hidden="false" customHeight="false" outlineLevel="0" collapsed="false">
      <c r="A35" s="37"/>
      <c r="B35" s="38" t="s">
        <v>333</v>
      </c>
      <c r="C35" s="38"/>
      <c r="D35" s="39"/>
      <c r="E35" s="314" t="n">
        <f aca="false">SUM(E31:E34)</f>
        <v>0</v>
      </c>
      <c r="F35" s="314" t="n">
        <f aca="false">SUM(F31:F34)</f>
        <v>13.2759999379246</v>
      </c>
      <c r="G35" s="314" t="n">
        <f aca="false">SUM(G31:G34)</f>
        <v>2921.73899095548</v>
      </c>
      <c r="H35" s="315" t="n">
        <f aca="false">SUM(H31:H34)</f>
        <v>3916.86368778221</v>
      </c>
      <c r="I35" s="314" t="n">
        <f aca="false">SUM(I31:I34)</f>
        <v>5556.79859184387</v>
      </c>
      <c r="J35" s="314" t="n">
        <f aca="false">SUM(J31:J34)</f>
        <v>4688.32812762819</v>
      </c>
      <c r="K35" s="314" t="n">
        <f aca="false">SUM(K31:K34)</f>
        <v>4175.41675121637</v>
      </c>
      <c r="L35" s="314" t="n">
        <f aca="false">SUM(L31:L34)</f>
        <v>4434.02615073526</v>
      </c>
      <c r="M35" s="314" t="n">
        <f aca="false">SUM(M31:M34)</f>
        <v>4449.23358131172</v>
      </c>
      <c r="N35" s="314" t="n">
        <f aca="false">SUM(N31:N34)</f>
        <v>5178.01047802683</v>
      </c>
      <c r="O35" s="314" t="n">
        <f aca="false">SUM(O31:O34)</f>
        <v>4647.45388645709</v>
      </c>
      <c r="P35" s="314" t="n">
        <f aca="false">SUM(P31:P34)</f>
        <v>4920.63526970574</v>
      </c>
      <c r="Q35" s="314" t="n">
        <f aca="false">SUM(Q31:Q34)</f>
        <v>4889.31602101987</v>
      </c>
      <c r="R35" s="314" t="n">
        <f aca="false">SUM(R31:R34)</f>
        <v>4067.07613381975</v>
      </c>
      <c r="S35" s="314" t="n">
        <f aca="false">SUM(S31:S34)</f>
        <v>6314.6856331596</v>
      </c>
      <c r="T35" s="314" t="n">
        <f aca="false">SUM(T31:T34)</f>
        <v>4447.29433878389</v>
      </c>
      <c r="U35" s="314" t="n">
        <f aca="false">SUM(U31:U34)</f>
        <v>4383.18355558411</v>
      </c>
      <c r="V35" s="314" t="n">
        <f aca="false">SUM(V31:V34)</f>
        <v>4547.54327812127</v>
      </c>
      <c r="W35" s="314" t="n">
        <f aca="false">SUM(W31:W34)</f>
        <v>4616.91702055747</v>
      </c>
      <c r="X35" s="314" t="n">
        <f aca="false">SUM(X31:X34)</f>
        <v>4732.98637664623</v>
      </c>
      <c r="Y35" s="314" t="n">
        <f aca="false">SUM(Y31:Y34)</f>
        <v>1609.57291643338</v>
      </c>
      <c r="Z35" s="316" t="n">
        <f aca="false">SUM(E35:Y35)</f>
        <v>84510.3567897263</v>
      </c>
      <c r="AB35" s="300" t="n">
        <f aca="false">AB34+1</f>
        <v>29</v>
      </c>
    </row>
    <row r="36" customFormat="false" ht="12.75" hidden="false" customHeight="false" outlineLevel="0" collapsed="false">
      <c r="A36" s="308"/>
      <c r="B36" s="38"/>
      <c r="C36" s="39"/>
      <c r="D36" s="39"/>
      <c r="E36" s="61"/>
      <c r="F36" s="61"/>
      <c r="G36" s="61"/>
      <c r="H36" s="317" t="n">
        <f aca="false">+H35/G35-1</f>
        <v>0.340593290470925</v>
      </c>
      <c r="I36" s="317" t="n">
        <f aca="false">+I35/H35-1</f>
        <v>0.418685722757489</v>
      </c>
      <c r="J36" s="317" t="n">
        <f aca="false">+J35/I35-1</f>
        <v>-0.156289714277282</v>
      </c>
      <c r="K36" s="317" t="n">
        <f aca="false">+K35/J35-1</f>
        <v>-0.109401765927868</v>
      </c>
      <c r="L36" s="317" t="n">
        <f aca="false">+L35/K35-1</f>
        <v>0.0619361886316017</v>
      </c>
      <c r="M36" s="317" t="n">
        <f aca="false">+M35/L35-1</f>
        <v>0.00342971152164751</v>
      </c>
      <c r="N36" s="317" t="n">
        <f aca="false">+N35/M35-1</f>
        <v>0.163798299953552</v>
      </c>
      <c r="O36" s="317" t="n">
        <f aca="false">+O35/N35-1</f>
        <v>-0.102463406325883</v>
      </c>
      <c r="P36" s="317" t="n">
        <f aca="false">+P35/O35-1</f>
        <v>0.0587808701114201</v>
      </c>
      <c r="Q36" s="317" t="n">
        <f aca="false">+Q35/P35-1</f>
        <v>-0.00636487912011885</v>
      </c>
      <c r="R36" s="317" t="n">
        <f aca="false">+R35/Q35-1</f>
        <v>-0.168170738742432</v>
      </c>
      <c r="S36" s="317" t="n">
        <f aca="false">+S35/R35-1</f>
        <v>0.552635216402729</v>
      </c>
      <c r="T36" s="317" t="n">
        <f aca="false">+T35/S35-1</f>
        <v>-0.295721973009977</v>
      </c>
      <c r="U36" s="317" t="n">
        <f aca="false">+U35/T35-1</f>
        <v>-0.0144156825062574</v>
      </c>
      <c r="V36" s="317" t="n">
        <f aca="false">+V35/U35-1</f>
        <v>0.0374977959405263</v>
      </c>
      <c r="W36" s="317" t="n">
        <f aca="false">+W35/V35-1</f>
        <v>0.0152552132422721</v>
      </c>
      <c r="X36" s="317" t="n">
        <f aca="false">+X35/W35-1</f>
        <v>0.0251400134704485</v>
      </c>
      <c r="Y36" s="317" t="n">
        <f aca="false">+Y35/X35-1</f>
        <v>-0.659924456073776</v>
      </c>
      <c r="Z36" s="309"/>
      <c r="AA36" s="324"/>
      <c r="AB36" s="300" t="n">
        <f aca="false">AB35+1</f>
        <v>30</v>
      </c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  <c r="AP36" s="324"/>
      <c r="AQ36" s="324"/>
      <c r="AR36" s="324"/>
      <c r="AS36" s="324"/>
      <c r="AT36" s="324"/>
      <c r="AU36" s="324"/>
      <c r="AV36" s="324"/>
      <c r="AW36" s="324"/>
      <c r="AX36" s="324"/>
      <c r="AY36" s="324"/>
      <c r="AZ36" s="324"/>
      <c r="BA36" s="324"/>
      <c r="BB36" s="324"/>
      <c r="BC36" s="324"/>
      <c r="BD36" s="324"/>
      <c r="BE36" s="324"/>
      <c r="BF36" s="324"/>
      <c r="BG36" s="324"/>
      <c r="BH36" s="324"/>
      <c r="BI36" s="324"/>
      <c r="BJ36" s="324"/>
      <c r="BK36" s="324"/>
      <c r="BL36" s="324"/>
      <c r="BM36" s="324"/>
      <c r="BN36" s="324"/>
      <c r="BO36" s="324"/>
      <c r="BP36" s="324"/>
      <c r="BQ36" s="324"/>
      <c r="BR36" s="324"/>
      <c r="BS36" s="324"/>
      <c r="BT36" s="324"/>
      <c r="BU36" s="324"/>
      <c r="BV36" s="324"/>
      <c r="BW36" s="324"/>
      <c r="BX36" s="324"/>
      <c r="BY36" s="324"/>
      <c r="BZ36" s="324"/>
      <c r="CA36" s="324"/>
      <c r="CB36" s="324"/>
      <c r="CC36" s="324"/>
      <c r="CD36" s="324"/>
      <c r="CE36" s="324"/>
      <c r="CF36" s="324"/>
      <c r="CG36" s="324"/>
      <c r="CH36" s="324"/>
      <c r="CI36" s="324"/>
      <c r="CJ36" s="324"/>
      <c r="CK36" s="324"/>
      <c r="CL36" s="324"/>
      <c r="CM36" s="324"/>
      <c r="CN36" s="324"/>
      <c r="CO36" s="324"/>
      <c r="CP36" s="324"/>
      <c r="CQ36" s="324"/>
      <c r="CR36" s="324"/>
      <c r="CS36" s="324"/>
      <c r="CT36" s="324"/>
      <c r="CU36" s="324"/>
      <c r="CV36" s="324"/>
      <c r="CW36" s="324"/>
      <c r="CX36" s="324"/>
      <c r="CY36" s="324"/>
      <c r="CZ36" s="324"/>
      <c r="DA36" s="324"/>
      <c r="DB36" s="324"/>
      <c r="DC36" s="324"/>
      <c r="DD36" s="324"/>
      <c r="DE36" s="324"/>
      <c r="DF36" s="324"/>
      <c r="DG36" s="324"/>
      <c r="DH36" s="324"/>
      <c r="DI36" s="324"/>
      <c r="DJ36" s="324"/>
      <c r="DK36" s="324"/>
      <c r="DL36" s="324"/>
      <c r="DM36" s="324"/>
      <c r="DN36" s="324"/>
      <c r="DO36" s="324"/>
      <c r="DP36" s="324"/>
      <c r="DQ36" s="324"/>
      <c r="DR36" s="324"/>
      <c r="DS36" s="324"/>
      <c r="DT36" s="324"/>
      <c r="DU36" s="324"/>
      <c r="DV36" s="324"/>
      <c r="DW36" s="324"/>
      <c r="DX36" s="324"/>
      <c r="DY36" s="324"/>
      <c r="DZ36" s="324"/>
      <c r="EA36" s="324"/>
      <c r="EB36" s="324"/>
      <c r="EC36" s="324"/>
      <c r="ED36" s="324"/>
      <c r="EE36" s="324"/>
      <c r="EF36" s="324"/>
      <c r="EG36" s="324"/>
      <c r="EH36" s="324"/>
      <c r="EI36" s="324"/>
      <c r="EJ36" s="324"/>
      <c r="EK36" s="324"/>
      <c r="EL36" s="324"/>
      <c r="EM36" s="324"/>
      <c r="EN36" s="324"/>
      <c r="EO36" s="324"/>
      <c r="EP36" s="324"/>
      <c r="EQ36" s="324"/>
      <c r="ER36" s="324"/>
      <c r="ES36" s="324"/>
      <c r="ET36" s="324"/>
      <c r="EU36" s="324"/>
      <c r="EV36" s="324"/>
      <c r="EW36" s="324"/>
      <c r="EX36" s="324"/>
      <c r="EY36" s="324"/>
      <c r="EZ36" s="324"/>
      <c r="FA36" s="324"/>
      <c r="FB36" s="324"/>
      <c r="FC36" s="324"/>
      <c r="FD36" s="324"/>
      <c r="FE36" s="324"/>
      <c r="FF36" s="324"/>
      <c r="FG36" s="324"/>
      <c r="FH36" s="324"/>
      <c r="FI36" s="324"/>
      <c r="FJ36" s="324"/>
      <c r="FK36" s="324"/>
      <c r="FL36" s="324"/>
      <c r="FM36" s="324"/>
      <c r="FN36" s="324"/>
      <c r="FO36" s="324"/>
      <c r="FP36" s="324"/>
      <c r="FQ36" s="324"/>
      <c r="FR36" s="324"/>
      <c r="FS36" s="324"/>
      <c r="FT36" s="324"/>
      <c r="FU36" s="324"/>
      <c r="FV36" s="324"/>
      <c r="FW36" s="324"/>
      <c r="FX36" s="324"/>
      <c r="FY36" s="324"/>
      <c r="FZ36" s="324"/>
      <c r="GA36" s="324"/>
      <c r="GB36" s="324"/>
      <c r="GC36" s="324"/>
      <c r="GD36" s="324"/>
      <c r="GE36" s="324"/>
      <c r="GF36" s="324"/>
      <c r="GG36" s="324"/>
      <c r="GH36" s="324"/>
      <c r="GI36" s="324"/>
      <c r="GJ36" s="324"/>
      <c r="GK36" s="324"/>
      <c r="GL36" s="324"/>
      <c r="GM36" s="324"/>
      <c r="GN36" s="324"/>
      <c r="GO36" s="324"/>
      <c r="GP36" s="324"/>
      <c r="GQ36" s="324"/>
      <c r="GR36" s="324"/>
      <c r="GS36" s="324"/>
      <c r="GT36" s="324"/>
      <c r="GU36" s="324"/>
      <c r="GV36" s="324"/>
      <c r="GW36" s="324"/>
      <c r="GX36" s="324"/>
      <c r="GY36" s="324"/>
      <c r="GZ36" s="324"/>
      <c r="HA36" s="324"/>
      <c r="HB36" s="324"/>
      <c r="HC36" s="324"/>
      <c r="HD36" s="324"/>
      <c r="HE36" s="324"/>
      <c r="HF36" s="324"/>
      <c r="HG36" s="324"/>
      <c r="HH36" s="324"/>
      <c r="HI36" s="324"/>
      <c r="HJ36" s="324"/>
      <c r="HK36" s="324"/>
      <c r="HL36" s="324"/>
      <c r="HM36" s="324"/>
      <c r="HN36" s="324"/>
      <c r="HO36" s="324"/>
      <c r="HP36" s="324"/>
      <c r="HQ36" s="324"/>
      <c r="HR36" s="324"/>
      <c r="HS36" s="324"/>
      <c r="HT36" s="324"/>
      <c r="HU36" s="324"/>
      <c r="HV36" s="324"/>
      <c r="HW36" s="324"/>
      <c r="HX36" s="324"/>
      <c r="HY36" s="324"/>
      <c r="HZ36" s="324"/>
      <c r="IA36" s="324"/>
      <c r="IB36" s="324"/>
      <c r="IC36" s="324"/>
      <c r="ID36" s="324"/>
      <c r="IE36" s="324"/>
      <c r="IF36" s="324"/>
      <c r="IG36" s="324"/>
      <c r="IH36" s="324"/>
      <c r="II36" s="324"/>
      <c r="IJ36" s="324"/>
      <c r="IK36" s="324"/>
      <c r="IL36" s="324"/>
      <c r="IM36" s="324"/>
      <c r="IN36" s="324"/>
      <c r="IO36" s="324"/>
      <c r="IP36" s="324"/>
      <c r="IQ36" s="324"/>
      <c r="IR36" s="324"/>
      <c r="IS36" s="324"/>
      <c r="IT36" s="324"/>
      <c r="IU36" s="324"/>
      <c r="IV36" s="324"/>
      <c r="IW36" s="324"/>
    </row>
    <row r="37" customFormat="false" ht="12.75" hidden="false" customHeight="false" outlineLevel="0" collapsed="false">
      <c r="A37" s="308" t="s">
        <v>334</v>
      </c>
      <c r="B37" s="38"/>
      <c r="C37" s="38"/>
      <c r="D37" s="39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309"/>
      <c r="AA37" s="324"/>
      <c r="AB37" s="300" t="n">
        <f aca="false">AB36+1</f>
        <v>31</v>
      </c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  <c r="AP37" s="324"/>
      <c r="AQ37" s="324"/>
      <c r="AR37" s="324"/>
      <c r="AS37" s="324"/>
      <c r="AT37" s="324"/>
      <c r="AU37" s="324"/>
      <c r="AV37" s="324"/>
      <c r="AW37" s="324"/>
      <c r="AX37" s="324"/>
      <c r="AY37" s="324"/>
      <c r="AZ37" s="324"/>
      <c r="BA37" s="324"/>
      <c r="BB37" s="324"/>
      <c r="BC37" s="324"/>
      <c r="BD37" s="324"/>
      <c r="BE37" s="324"/>
      <c r="BF37" s="324"/>
      <c r="BG37" s="324"/>
      <c r="BH37" s="324"/>
      <c r="BI37" s="324"/>
      <c r="BJ37" s="324"/>
      <c r="BK37" s="324"/>
      <c r="BL37" s="324"/>
      <c r="BM37" s="324"/>
      <c r="BN37" s="324"/>
      <c r="BO37" s="324"/>
      <c r="BP37" s="324"/>
      <c r="BQ37" s="324"/>
      <c r="BR37" s="324"/>
      <c r="BS37" s="324"/>
      <c r="BT37" s="324"/>
      <c r="BU37" s="324"/>
      <c r="BV37" s="324"/>
      <c r="BW37" s="324"/>
      <c r="BX37" s="324"/>
      <c r="BY37" s="324"/>
      <c r="BZ37" s="324"/>
      <c r="CA37" s="324"/>
      <c r="CB37" s="324"/>
      <c r="CC37" s="324"/>
      <c r="CD37" s="324"/>
      <c r="CE37" s="324"/>
      <c r="CF37" s="324"/>
      <c r="CG37" s="324"/>
      <c r="CH37" s="324"/>
      <c r="CI37" s="324"/>
      <c r="CJ37" s="324"/>
      <c r="CK37" s="324"/>
      <c r="CL37" s="324"/>
      <c r="CM37" s="324"/>
      <c r="CN37" s="324"/>
      <c r="CO37" s="324"/>
      <c r="CP37" s="324"/>
      <c r="CQ37" s="324"/>
      <c r="CR37" s="324"/>
      <c r="CS37" s="324"/>
      <c r="CT37" s="324"/>
      <c r="CU37" s="324"/>
      <c r="CV37" s="324"/>
      <c r="CW37" s="324"/>
      <c r="CX37" s="324"/>
      <c r="CY37" s="324"/>
      <c r="CZ37" s="324"/>
      <c r="DA37" s="324"/>
      <c r="DB37" s="324"/>
      <c r="DC37" s="324"/>
      <c r="DD37" s="324"/>
      <c r="DE37" s="324"/>
      <c r="DF37" s="324"/>
      <c r="DG37" s="324"/>
      <c r="DH37" s="324"/>
      <c r="DI37" s="324"/>
      <c r="DJ37" s="324"/>
      <c r="DK37" s="324"/>
      <c r="DL37" s="324"/>
      <c r="DM37" s="324"/>
      <c r="DN37" s="324"/>
      <c r="DO37" s="324"/>
      <c r="DP37" s="324"/>
      <c r="DQ37" s="324"/>
      <c r="DR37" s="324"/>
      <c r="DS37" s="324"/>
      <c r="DT37" s="324"/>
      <c r="DU37" s="324"/>
      <c r="DV37" s="324"/>
      <c r="DW37" s="324"/>
      <c r="DX37" s="324"/>
      <c r="DY37" s="324"/>
      <c r="DZ37" s="324"/>
      <c r="EA37" s="324"/>
      <c r="EB37" s="324"/>
      <c r="EC37" s="324"/>
      <c r="ED37" s="324"/>
      <c r="EE37" s="324"/>
      <c r="EF37" s="324"/>
      <c r="EG37" s="324"/>
      <c r="EH37" s="324"/>
      <c r="EI37" s="324"/>
      <c r="EJ37" s="324"/>
      <c r="EK37" s="324"/>
      <c r="EL37" s="324"/>
      <c r="EM37" s="324"/>
      <c r="EN37" s="324"/>
      <c r="EO37" s="324"/>
      <c r="EP37" s="324"/>
      <c r="EQ37" s="324"/>
      <c r="ER37" s="324"/>
      <c r="ES37" s="324"/>
      <c r="ET37" s="324"/>
      <c r="EU37" s="324"/>
      <c r="EV37" s="324"/>
      <c r="EW37" s="324"/>
      <c r="EX37" s="324"/>
      <c r="EY37" s="324"/>
      <c r="EZ37" s="324"/>
      <c r="FA37" s="324"/>
      <c r="FB37" s="324"/>
      <c r="FC37" s="324"/>
      <c r="FD37" s="324"/>
      <c r="FE37" s="324"/>
      <c r="FF37" s="324"/>
      <c r="FG37" s="324"/>
      <c r="FH37" s="324"/>
      <c r="FI37" s="324"/>
      <c r="FJ37" s="324"/>
      <c r="FK37" s="324"/>
      <c r="FL37" s="324"/>
      <c r="FM37" s="324"/>
      <c r="FN37" s="324"/>
      <c r="FO37" s="324"/>
      <c r="FP37" s="324"/>
      <c r="FQ37" s="324"/>
      <c r="FR37" s="324"/>
      <c r="FS37" s="324"/>
      <c r="FT37" s="324"/>
      <c r="FU37" s="324"/>
      <c r="FV37" s="324"/>
      <c r="FW37" s="324"/>
      <c r="FX37" s="324"/>
      <c r="FY37" s="324"/>
      <c r="FZ37" s="324"/>
      <c r="GA37" s="324"/>
      <c r="GB37" s="324"/>
      <c r="GC37" s="324"/>
      <c r="GD37" s="324"/>
      <c r="GE37" s="324"/>
      <c r="GF37" s="324"/>
      <c r="GG37" s="324"/>
      <c r="GH37" s="324"/>
      <c r="GI37" s="324"/>
      <c r="GJ37" s="324"/>
      <c r="GK37" s="324"/>
      <c r="GL37" s="324"/>
      <c r="GM37" s="324"/>
      <c r="GN37" s="324"/>
      <c r="GO37" s="324"/>
      <c r="GP37" s="324"/>
      <c r="GQ37" s="324"/>
      <c r="GR37" s="324"/>
      <c r="GS37" s="324"/>
      <c r="GT37" s="324"/>
      <c r="GU37" s="324"/>
      <c r="GV37" s="324"/>
      <c r="GW37" s="324"/>
      <c r="GX37" s="324"/>
      <c r="GY37" s="324"/>
      <c r="GZ37" s="324"/>
      <c r="HA37" s="324"/>
      <c r="HB37" s="324"/>
      <c r="HC37" s="324"/>
      <c r="HD37" s="324"/>
      <c r="HE37" s="324"/>
      <c r="HF37" s="324"/>
      <c r="HG37" s="324"/>
      <c r="HH37" s="324"/>
      <c r="HI37" s="324"/>
      <c r="HJ37" s="324"/>
      <c r="HK37" s="324"/>
      <c r="HL37" s="324"/>
      <c r="HM37" s="324"/>
      <c r="HN37" s="324"/>
      <c r="HO37" s="324"/>
      <c r="HP37" s="324"/>
      <c r="HQ37" s="324"/>
      <c r="HR37" s="324"/>
      <c r="HS37" s="324"/>
      <c r="HT37" s="324"/>
      <c r="HU37" s="324"/>
      <c r="HV37" s="324"/>
      <c r="HW37" s="324"/>
      <c r="HX37" s="324"/>
      <c r="HY37" s="324"/>
      <c r="HZ37" s="324"/>
      <c r="IA37" s="324"/>
      <c r="IB37" s="324"/>
      <c r="IC37" s="324"/>
      <c r="ID37" s="324"/>
      <c r="IE37" s="324"/>
      <c r="IF37" s="324"/>
      <c r="IG37" s="324"/>
      <c r="IH37" s="324"/>
      <c r="II37" s="324"/>
      <c r="IJ37" s="324"/>
      <c r="IK37" s="324"/>
      <c r="IL37" s="324"/>
      <c r="IM37" s="324"/>
      <c r="IN37" s="324"/>
      <c r="IO37" s="324"/>
      <c r="IP37" s="324"/>
      <c r="IQ37" s="324"/>
      <c r="IR37" s="324"/>
      <c r="IS37" s="324"/>
      <c r="IT37" s="324"/>
      <c r="IU37" s="324"/>
      <c r="IV37" s="324"/>
      <c r="IW37" s="324"/>
    </row>
    <row r="38" customFormat="false" ht="12.75" hidden="false" customHeight="false" outlineLevel="0" collapsed="false">
      <c r="A38" s="37"/>
      <c r="B38" s="39" t="s">
        <v>335</v>
      </c>
      <c r="C38" s="38"/>
      <c r="D38" s="325"/>
      <c r="E38" s="326" t="n">
        <f aca="false">Trapped!F86</f>
        <v>-0</v>
      </c>
      <c r="F38" s="326" t="n">
        <f aca="false">Trapped!G86</f>
        <v>-0</v>
      </c>
      <c r="G38" s="326" t="n">
        <f aca="false">Trapped!H86</f>
        <v>-37.1356053543229</v>
      </c>
      <c r="H38" s="326" t="n">
        <f aca="false">Trapped!I86</f>
        <v>-62.5431326278223</v>
      </c>
      <c r="I38" s="326" t="n">
        <f aca="false">Trapped!J86</f>
        <v>-64.4627531944167</v>
      </c>
      <c r="J38" s="326" t="n">
        <f aca="false">Trapped!K86</f>
        <v>-66.5426570350656</v>
      </c>
      <c r="K38" s="326" t="n">
        <f aca="false">Trapped!L86</f>
        <v>-4.3979601654761</v>
      </c>
      <c r="L38" s="326" t="n">
        <f aca="false">Trapped!M86</f>
        <v>-0</v>
      </c>
      <c r="M38" s="326" t="n">
        <f aca="false">Trapped!N86</f>
        <v>-0</v>
      </c>
      <c r="N38" s="326" t="n">
        <f aca="false">Trapped!O86</f>
        <v>-0</v>
      </c>
      <c r="O38" s="326" t="n">
        <f aca="false">Trapped!P86</f>
        <v>-0</v>
      </c>
      <c r="P38" s="326" t="n">
        <f aca="false">Trapped!Q86</f>
        <v>-0</v>
      </c>
      <c r="Q38" s="326" t="n">
        <f aca="false">Trapped!R86</f>
        <v>-0</v>
      </c>
      <c r="R38" s="326" t="n">
        <f aca="false">Trapped!S86</f>
        <v>-0</v>
      </c>
      <c r="S38" s="326" t="n">
        <f aca="false">Trapped!T86</f>
        <v>-0</v>
      </c>
      <c r="T38" s="326" t="n">
        <f aca="false">Trapped!U86</f>
        <v>-0</v>
      </c>
      <c r="U38" s="326" t="n">
        <f aca="false">Trapped!V86</f>
        <v>-0</v>
      </c>
      <c r="V38" s="326" t="n">
        <f aca="false">Trapped!W86</f>
        <v>-0</v>
      </c>
      <c r="W38" s="326" t="n">
        <f aca="false">Trapped!X86</f>
        <v>-0</v>
      </c>
      <c r="X38" s="326" t="n">
        <f aca="false">Trapped!Y86</f>
        <v>-0</v>
      </c>
      <c r="Y38" s="326" t="n">
        <f aca="false">Trapped!Z86</f>
        <v>-0</v>
      </c>
      <c r="Z38" s="309" t="n">
        <f aca="false">SUM(E38:Y38)</f>
        <v>-235.082108377103</v>
      </c>
      <c r="AA38" s="324"/>
      <c r="AB38" s="300" t="n">
        <f aca="false">AB37+1</f>
        <v>32</v>
      </c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  <c r="AP38" s="324"/>
      <c r="AQ38" s="324"/>
      <c r="AR38" s="324"/>
      <c r="AS38" s="324"/>
      <c r="AT38" s="324"/>
      <c r="AU38" s="324"/>
      <c r="AV38" s="324"/>
      <c r="AW38" s="324"/>
      <c r="AX38" s="324"/>
      <c r="AY38" s="324"/>
      <c r="AZ38" s="324"/>
      <c r="BA38" s="324"/>
      <c r="BB38" s="324"/>
      <c r="BC38" s="324"/>
      <c r="BD38" s="324"/>
      <c r="BE38" s="324"/>
      <c r="BF38" s="324"/>
      <c r="BG38" s="324"/>
      <c r="BH38" s="324"/>
      <c r="BI38" s="324"/>
      <c r="BJ38" s="324"/>
      <c r="BK38" s="324"/>
      <c r="BL38" s="324"/>
      <c r="BM38" s="324"/>
      <c r="BN38" s="324"/>
      <c r="BO38" s="324"/>
      <c r="BP38" s="324"/>
      <c r="BQ38" s="324"/>
      <c r="BR38" s="324"/>
      <c r="BS38" s="324"/>
      <c r="BT38" s="324"/>
      <c r="BU38" s="324"/>
      <c r="BV38" s="324"/>
      <c r="BW38" s="324"/>
      <c r="BX38" s="324"/>
      <c r="BY38" s="324"/>
      <c r="BZ38" s="324"/>
      <c r="CA38" s="324"/>
      <c r="CB38" s="324"/>
      <c r="CC38" s="324"/>
      <c r="CD38" s="324"/>
      <c r="CE38" s="324"/>
      <c r="CF38" s="324"/>
      <c r="CG38" s="324"/>
      <c r="CH38" s="324"/>
      <c r="CI38" s="324"/>
      <c r="CJ38" s="324"/>
      <c r="CK38" s="324"/>
      <c r="CL38" s="324"/>
      <c r="CM38" s="324"/>
      <c r="CN38" s="324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4"/>
      <c r="DA38" s="324"/>
      <c r="DB38" s="324"/>
      <c r="DC38" s="324"/>
      <c r="DD38" s="324"/>
      <c r="DE38" s="324"/>
      <c r="DF38" s="324"/>
      <c r="DG38" s="324"/>
      <c r="DH38" s="324"/>
      <c r="DI38" s="324"/>
      <c r="DJ38" s="324"/>
      <c r="DK38" s="324"/>
      <c r="DL38" s="324"/>
      <c r="DM38" s="324"/>
      <c r="DN38" s="324"/>
      <c r="DO38" s="324"/>
      <c r="DP38" s="324"/>
      <c r="DQ38" s="324"/>
      <c r="DR38" s="324"/>
      <c r="DS38" s="324"/>
      <c r="DT38" s="324"/>
      <c r="DU38" s="324"/>
      <c r="DV38" s="324"/>
      <c r="DW38" s="324"/>
      <c r="DX38" s="324"/>
      <c r="DY38" s="324"/>
      <c r="DZ38" s="324"/>
      <c r="EA38" s="324"/>
      <c r="EB38" s="324"/>
      <c r="EC38" s="324"/>
      <c r="ED38" s="324"/>
      <c r="EE38" s="324"/>
      <c r="EF38" s="324"/>
      <c r="EG38" s="324"/>
      <c r="EH38" s="324"/>
      <c r="EI38" s="324"/>
      <c r="EJ38" s="324"/>
      <c r="EK38" s="324"/>
      <c r="EL38" s="324"/>
      <c r="EM38" s="324"/>
      <c r="EN38" s="324"/>
      <c r="EO38" s="324"/>
      <c r="EP38" s="324"/>
      <c r="EQ38" s="324"/>
      <c r="ER38" s="324"/>
      <c r="ES38" s="324"/>
      <c r="ET38" s="324"/>
      <c r="EU38" s="324"/>
      <c r="EV38" s="324"/>
      <c r="EW38" s="324"/>
      <c r="EX38" s="324"/>
      <c r="EY38" s="324"/>
      <c r="EZ38" s="324"/>
      <c r="FA38" s="324"/>
      <c r="FB38" s="324"/>
      <c r="FC38" s="324"/>
      <c r="FD38" s="324"/>
      <c r="FE38" s="324"/>
      <c r="FF38" s="324"/>
      <c r="FG38" s="324"/>
      <c r="FH38" s="324"/>
      <c r="FI38" s="324"/>
      <c r="FJ38" s="324"/>
      <c r="FK38" s="324"/>
      <c r="FL38" s="324"/>
      <c r="FM38" s="324"/>
      <c r="FN38" s="324"/>
      <c r="FO38" s="324"/>
      <c r="FP38" s="324"/>
      <c r="FQ38" s="324"/>
      <c r="FR38" s="324"/>
      <c r="FS38" s="324"/>
      <c r="FT38" s="324"/>
      <c r="FU38" s="324"/>
      <c r="FV38" s="324"/>
      <c r="FW38" s="324"/>
      <c r="FX38" s="324"/>
      <c r="FY38" s="324"/>
      <c r="FZ38" s="324"/>
      <c r="GA38" s="324"/>
      <c r="GB38" s="324"/>
      <c r="GC38" s="324"/>
      <c r="GD38" s="324"/>
      <c r="GE38" s="324"/>
      <c r="GF38" s="324"/>
      <c r="GG38" s="324"/>
      <c r="GH38" s="324"/>
      <c r="GI38" s="324"/>
      <c r="GJ38" s="324"/>
      <c r="GK38" s="324"/>
      <c r="GL38" s="324"/>
      <c r="GM38" s="324"/>
      <c r="GN38" s="324"/>
      <c r="GO38" s="324"/>
      <c r="GP38" s="324"/>
      <c r="GQ38" s="324"/>
      <c r="GR38" s="324"/>
      <c r="GS38" s="324"/>
      <c r="GT38" s="324"/>
      <c r="GU38" s="324"/>
      <c r="GV38" s="324"/>
      <c r="GW38" s="324"/>
      <c r="GX38" s="324"/>
      <c r="GY38" s="324"/>
      <c r="GZ38" s="324"/>
      <c r="HA38" s="324"/>
      <c r="HB38" s="324"/>
      <c r="HC38" s="324"/>
      <c r="HD38" s="324"/>
      <c r="HE38" s="324"/>
      <c r="HF38" s="324"/>
      <c r="HG38" s="324"/>
      <c r="HH38" s="324"/>
      <c r="HI38" s="324"/>
      <c r="HJ38" s="324"/>
      <c r="HK38" s="324"/>
      <c r="HL38" s="324"/>
      <c r="HM38" s="324"/>
      <c r="HN38" s="324"/>
      <c r="HO38" s="324"/>
      <c r="HP38" s="324"/>
      <c r="HQ38" s="324"/>
      <c r="HR38" s="324"/>
      <c r="HS38" s="324"/>
      <c r="HT38" s="324"/>
      <c r="HU38" s="324"/>
      <c r="HV38" s="324"/>
      <c r="HW38" s="324"/>
      <c r="HX38" s="324"/>
      <c r="HY38" s="324"/>
      <c r="HZ38" s="324"/>
      <c r="IA38" s="324"/>
      <c r="IB38" s="324"/>
      <c r="IC38" s="324"/>
      <c r="ID38" s="324"/>
      <c r="IE38" s="324"/>
      <c r="IF38" s="324"/>
      <c r="IG38" s="324"/>
      <c r="IH38" s="324"/>
      <c r="II38" s="324"/>
      <c r="IJ38" s="324"/>
      <c r="IK38" s="324"/>
      <c r="IL38" s="324"/>
      <c r="IM38" s="324"/>
      <c r="IN38" s="324"/>
      <c r="IO38" s="324"/>
      <c r="IP38" s="324"/>
      <c r="IQ38" s="324"/>
      <c r="IR38" s="324"/>
      <c r="IS38" s="324"/>
      <c r="IT38" s="324"/>
      <c r="IU38" s="324"/>
      <c r="IV38" s="324"/>
      <c r="IW38" s="324"/>
    </row>
    <row r="39" customFormat="false" ht="12.75" hidden="false" customHeight="false" outlineLevel="0" collapsed="false">
      <c r="A39" s="327"/>
      <c r="B39" s="328" t="s">
        <v>336</v>
      </c>
      <c r="C39" s="329"/>
      <c r="D39" s="328"/>
      <c r="E39" s="326" t="n">
        <f aca="false">Trapped!F40</f>
        <v>0</v>
      </c>
      <c r="F39" s="326" t="n">
        <f aca="false">Trapped!G40</f>
        <v>0</v>
      </c>
      <c r="G39" s="326" t="n">
        <f aca="false">Trapped!H40</f>
        <v>0</v>
      </c>
      <c r="H39" s="326" t="n">
        <f aca="false">Trapped!I40</f>
        <v>300.737237435989</v>
      </c>
      <c r="I39" s="326" t="n">
        <f aca="false">Trapped!J40</f>
        <v>562.47985960662</v>
      </c>
      <c r="J39" s="326" t="n">
        <f aca="false">Trapped!K40</f>
        <v>756.469229087702</v>
      </c>
      <c r="K39" s="326" t="n">
        <f aca="false">Trapped!L40</f>
        <v>1035.86438900873</v>
      </c>
      <c r="L39" s="326" t="n">
        <f aca="false">Trapped!M40</f>
        <v>1122.45046783755</v>
      </c>
      <c r="M39" s="326" t="n">
        <f aca="false">Trapped!N40</f>
        <v>1296.29515636305</v>
      </c>
      <c r="N39" s="326" t="n">
        <f aca="false">Trapped!O40</f>
        <v>1296.29515636305</v>
      </c>
      <c r="O39" s="326" t="n">
        <f aca="false">Trapped!P40</f>
        <v>1393.94676488306</v>
      </c>
      <c r="P39" s="326" t="n">
        <f aca="false">Trapped!Q40</f>
        <v>1667.0462321191</v>
      </c>
      <c r="Q39" s="326" t="n">
        <f aca="false">Trapped!R40</f>
        <v>1958.35020623441</v>
      </c>
      <c r="R39" s="326" t="n">
        <f aca="false">Trapped!S40</f>
        <v>2137.66239651422</v>
      </c>
      <c r="S39" s="326" t="n">
        <f aca="false">Trapped!T40</f>
        <v>2137.66239651422</v>
      </c>
      <c r="T39" s="326" t="n">
        <f aca="false">Trapped!U40</f>
        <v>2032.2817256824</v>
      </c>
      <c r="U39" s="326" t="n">
        <f aca="false">Trapped!V40</f>
        <v>1945.72664843316</v>
      </c>
      <c r="V39" s="326" t="n">
        <f aca="false">Trapped!W40</f>
        <v>1873.37333976771</v>
      </c>
      <c r="W39" s="326" t="n">
        <f aca="false">Trapped!X40</f>
        <v>2190.82128468304</v>
      </c>
      <c r="X39" s="326" t="n">
        <f aca="false">Trapped!Y40</f>
        <v>2510.28622471819</v>
      </c>
      <c r="Y39" s="326" t="n">
        <f aca="false">Trapped!Z40</f>
        <v>943.979069767943</v>
      </c>
      <c r="Z39" s="330" t="n">
        <f aca="false">SUM(E39:Y39)</f>
        <v>27161.7277850201</v>
      </c>
      <c r="AB39" s="300" t="n">
        <f aca="false">AB38+1</f>
        <v>33</v>
      </c>
    </row>
    <row r="40" customFormat="false" ht="12.75" hidden="false" customHeight="false" outlineLevel="0" collapsed="false">
      <c r="A40" s="327"/>
      <c r="B40" s="328" t="s">
        <v>337</v>
      </c>
      <c r="C40" s="329"/>
      <c r="D40" s="328"/>
      <c r="E40" s="326" t="n">
        <f aca="false">IF(E$7=Assm!$F$54,Assm!$F$55*Assm!$B$54,0)</f>
        <v>0</v>
      </c>
      <c r="F40" s="326" t="n">
        <f aca="false">IF(F$7=Assm!$F$54,Assm!$F$55*Assm!$B$54,0)</f>
        <v>0</v>
      </c>
      <c r="G40" s="326" t="n">
        <f aca="false">IF(G$7=Assm!$F$54,Assm!$F$55*Assm!$B$54,0)</f>
        <v>0</v>
      </c>
      <c r="H40" s="326" t="n">
        <f aca="false">IF(H$7=Assm!$F$54,Assm!$F$55*Assm!$B$54,0)</f>
        <v>0</v>
      </c>
      <c r="I40" s="326" t="n">
        <f aca="false">IF(I$7=Assm!$F$54,Assm!$F$55*Assm!$B$54,0)</f>
        <v>0</v>
      </c>
      <c r="J40" s="326" t="n">
        <f aca="false">IF(J$7=Assm!$F$54,Assm!$F$55*Assm!$B$54,0)</f>
        <v>0</v>
      </c>
      <c r="K40" s="326" t="n">
        <f aca="false">IF(K$7=Assm!$F$54,Assm!$F$55*Assm!$B$54,0)</f>
        <v>0</v>
      </c>
      <c r="L40" s="326" t="n">
        <f aca="false">IF(L$7=Assm!$F$54,Assm!$F$55*Assm!$B$54,0)</f>
        <v>0</v>
      </c>
      <c r="M40" s="326" t="n">
        <f aca="false">IF(M$7=Assm!$F$54,Assm!$F$55*Assm!$B$54,0)</f>
        <v>0</v>
      </c>
      <c r="N40" s="326" t="n">
        <f aca="false">IF(N$7=Assm!$F$54,Assm!$F$55*Assm!$B$54,0)</f>
        <v>0</v>
      </c>
      <c r="O40" s="326" t="n">
        <f aca="false">IF(O$7=Assm!$F$54,Assm!$F$55*Assm!$B$54,0)</f>
        <v>0</v>
      </c>
      <c r="P40" s="326" t="n">
        <f aca="false">IF(P$7=Assm!$F$54,Assm!$F$55*Assm!$B$54,0)</f>
        <v>0</v>
      </c>
      <c r="Q40" s="326" t="n">
        <f aca="false">IF(Q$7=Assm!$F$54,Assm!$F$55*Assm!$B$54,0)</f>
        <v>0</v>
      </c>
      <c r="R40" s="326" t="n">
        <f aca="false">IF(R$7=Assm!$F$54,Assm!$F$55*Assm!$B$54,0)</f>
        <v>0</v>
      </c>
      <c r="S40" s="326" t="n">
        <f aca="false">IF(S$7=Assm!$F$54,Assm!$F$55*Assm!$B$54,0)</f>
        <v>0</v>
      </c>
      <c r="T40" s="326" t="n">
        <f aca="false">IF(T$7=Assm!$F$54,Assm!$F$55*Assm!$B$54,0)</f>
        <v>0</v>
      </c>
      <c r="U40" s="326" t="n">
        <f aca="false">IF(U$7=Assm!$F$54,Assm!$F$55*Assm!$B$54,0)</f>
        <v>0</v>
      </c>
      <c r="V40" s="326" t="n">
        <f aca="false">IF(V$7=Assm!$F$54,Assm!$F$55*Assm!$B$54,0)</f>
        <v>0</v>
      </c>
      <c r="W40" s="326" t="n">
        <f aca="false">IF(W$7=Assm!$F$54,Assm!$F$55*Assm!$B$54,0)</f>
        <v>0</v>
      </c>
      <c r="X40" s="326" t="n">
        <f aca="false">IF(X$7=Assm!$F$54,Assm!$F$55*Assm!$B$54,0)</f>
        <v>0</v>
      </c>
      <c r="Y40" s="326" t="n">
        <f aca="false">IF(Y$7=Assm!$F$54,Assm!$F$55*Assm!$B$54,0)</f>
        <v>0</v>
      </c>
      <c r="Z40" s="330" t="n">
        <f aca="false">SUM(E40:Y40)</f>
        <v>0</v>
      </c>
      <c r="AB40" s="300" t="n">
        <f aca="false">AB39+1</f>
        <v>34</v>
      </c>
    </row>
    <row r="41" customFormat="false" ht="12.75" hidden="false" customHeight="false" outlineLevel="0" collapsed="false">
      <c r="A41" s="331"/>
      <c r="B41" s="332" t="s">
        <v>338</v>
      </c>
      <c r="C41" s="333"/>
      <c r="D41" s="333"/>
      <c r="E41" s="334" t="n">
        <f aca="false">(IF(AND(E$7&gt;YEAR(Fin_Close),E$7&lt;=Assm!$W$65),-Assm!$X$64,0))+(-'Debt Amort'!E25)</f>
        <v>0</v>
      </c>
      <c r="F41" s="334" t="n">
        <f aca="false">(IF(AND(F$7&gt;YEAR(Fin_Close),F$7&lt;=Assm!$W$65),-Assm!$X$64,0))+(-'Debt Amort'!F25)</f>
        <v>0</v>
      </c>
      <c r="G41" s="334" t="n">
        <f aca="false">(IF(AND(G$7&gt;YEAR(Fin_Close),G$7&lt;=Assm!$W$65),-Assm!$X$64,0))+(-'Debt Amort'!G25)</f>
        <v>-1633.0682084244</v>
      </c>
      <c r="H41" s="334" t="n">
        <f aca="false">(IF(AND(H$7&gt;YEAR(Fin_Close),H$7&lt;=Assm!$W$65),-Assm!$X$64,0))+(-'Debt Amort'!H25)</f>
        <v>-3877.36370021857</v>
      </c>
      <c r="I41" s="334" t="n">
        <f aca="false">(IF(AND(I$7&gt;YEAR(Fin_Close),I$7&lt;=Assm!$W$65),-Assm!$X$64,0))+(-'Debt Amort'!I25)</f>
        <v>-3816.71078252611</v>
      </c>
      <c r="J41" s="334" t="n">
        <f aca="false">(IF(AND(J$7&gt;YEAR(Fin_Close),J$7&lt;=Assm!$W$65),-Assm!$X$64,0))+(-'Debt Amort'!J25)</f>
        <v>-30</v>
      </c>
      <c r="K41" s="334" t="n">
        <f aca="false">(IF(AND(K$7&gt;YEAR(Fin_Close),K$7&lt;=Assm!$W$65),-Assm!$X$64,0))+(-'Debt Amort'!K25)</f>
        <v>-30</v>
      </c>
      <c r="L41" s="334" t="n">
        <f aca="false">(IF(AND(L$7&gt;YEAR(Fin_Close),L$7&lt;=Assm!$W$65),-Assm!$X$64,0))+(-'Debt Amort'!L25)</f>
        <v>-30</v>
      </c>
      <c r="M41" s="334" t="n">
        <f aca="false">(IF(AND(M$7&gt;YEAR(Fin_Close),M$7&lt;=Assm!$W$65),-Assm!$X$64,0))+(-'Debt Amort'!M25)</f>
        <v>-30</v>
      </c>
      <c r="N41" s="334" t="n">
        <f aca="false">(IF(AND(N$7&gt;YEAR(Fin_Close),N$7&lt;=Assm!$W$65),-Assm!$X$64,0))+(-'Debt Amort'!N25)</f>
        <v>-30</v>
      </c>
      <c r="O41" s="334" t="n">
        <f aca="false">(IF(AND(O$7&gt;YEAR(Fin_Close),O$7&lt;=Assm!$W$65),-Assm!$X$64,0))+(-'Debt Amort'!O25)</f>
        <v>-30</v>
      </c>
      <c r="P41" s="334" t="n">
        <f aca="false">(IF(AND(P$7&gt;YEAR(Fin_Close),P$7&lt;=Assm!$W$65),-Assm!$X$64,0))+(-'Debt Amort'!P25)</f>
        <v>-30</v>
      </c>
      <c r="Q41" s="334" t="n">
        <f aca="false">(IF(AND(Q$7&gt;YEAR(Fin_Close),Q$7&lt;=Assm!$W$65),-Assm!$X$64,0))+(-'Debt Amort'!Q25)</f>
        <v>-30</v>
      </c>
      <c r="R41" s="334" t="n">
        <f aca="false">(IF(AND(R$7&gt;YEAR(Fin_Close),R$7&lt;=Assm!$W$65),-Assm!$X$64,0))+(-'Debt Amort'!R25)</f>
        <v>-30</v>
      </c>
      <c r="S41" s="334" t="n">
        <f aca="false">(IF(AND(S$7&gt;YEAR(Fin_Close),S$7&lt;=Assm!$W$65),-Assm!$X$64,0))+(-'Debt Amort'!S25)</f>
        <v>-30</v>
      </c>
      <c r="T41" s="334" t="n">
        <f aca="false">(IF(AND(T$7&gt;YEAR(Fin_Close),T$7&lt;=Assm!$W$65),-Assm!$X$64,0))+(-'Debt Amort'!T25)</f>
        <v>-30</v>
      </c>
      <c r="U41" s="334" t="n">
        <f aca="false">(IF(AND(U$7&gt;YEAR(Fin_Close),U$7&lt;=Assm!$W$65),-Assm!$X$64,0))+(-'Debt Amort'!U25)</f>
        <v>-30</v>
      </c>
      <c r="V41" s="334" t="n">
        <f aca="false">(IF(AND(V$7&gt;YEAR(Fin_Close),V$7&lt;=Assm!$W$65),-Assm!$X$64,0))+(-'Debt Amort'!V25)</f>
        <v>0</v>
      </c>
      <c r="W41" s="334" t="n">
        <f aca="false">(IF(AND(W$7&gt;YEAR(Fin_Close),W$7&lt;=Assm!$W$65),-Assm!$X$64,0))+(-'Debt Amort'!W25)</f>
        <v>0</v>
      </c>
      <c r="X41" s="334" t="n">
        <f aca="false">(IF(AND(X$7&gt;YEAR(Fin_Close),X$7&lt;=Assm!$W$65),-Assm!$X$64,0))+(-'Debt Amort'!X25)</f>
        <v>0</v>
      </c>
      <c r="Y41" s="334" t="n">
        <f aca="false">(IF(AND(Y$7&gt;YEAR(Fin_Close),Y$7&lt;=Assm!$W$65),-Assm!$X$64,0))+(-'Debt Amort'!Y25)</f>
        <v>0</v>
      </c>
      <c r="Z41" s="335" t="n">
        <f aca="false">SUM(E41:Y41)</f>
        <v>-9687.14269116908</v>
      </c>
      <c r="AA41" s="336"/>
      <c r="AB41" s="337" t="n">
        <f aca="false">AB40+1</f>
        <v>35</v>
      </c>
      <c r="AC41" s="336"/>
      <c r="AD41" s="336"/>
      <c r="AE41" s="336"/>
      <c r="AF41" s="336"/>
      <c r="AG41" s="336"/>
      <c r="AH41" s="336"/>
      <c r="AI41" s="336"/>
      <c r="AJ41" s="336"/>
      <c r="AK41" s="336"/>
      <c r="AL41" s="336"/>
      <c r="AM41" s="336"/>
      <c r="AN41" s="336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6"/>
      <c r="BB41" s="336"/>
      <c r="BC41" s="336"/>
      <c r="BD41" s="336"/>
      <c r="BE41" s="336"/>
      <c r="BF41" s="336"/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6"/>
      <c r="BV41" s="336"/>
      <c r="BW41" s="336"/>
      <c r="BX41" s="336"/>
      <c r="BY41" s="336"/>
      <c r="BZ41" s="336"/>
      <c r="CA41" s="336"/>
      <c r="CB41" s="336"/>
      <c r="CC41" s="336"/>
      <c r="CD41" s="336"/>
      <c r="CE41" s="336"/>
      <c r="CF41" s="336"/>
      <c r="CG41" s="336"/>
      <c r="CH41" s="336"/>
      <c r="CI41" s="336"/>
      <c r="CJ41" s="336"/>
      <c r="CK41" s="336"/>
      <c r="CL41" s="336"/>
      <c r="CM41" s="336"/>
      <c r="CN41" s="336"/>
      <c r="CO41" s="336"/>
      <c r="CP41" s="336"/>
      <c r="CQ41" s="336"/>
      <c r="CR41" s="336"/>
      <c r="CS41" s="336"/>
      <c r="CT41" s="336"/>
      <c r="CU41" s="336"/>
      <c r="CV41" s="336"/>
      <c r="CW41" s="336"/>
      <c r="CX41" s="336"/>
      <c r="CY41" s="336"/>
      <c r="CZ41" s="336"/>
      <c r="DA41" s="336"/>
      <c r="DB41" s="336"/>
      <c r="DC41" s="336"/>
      <c r="DD41" s="336"/>
      <c r="DE41" s="336"/>
      <c r="DF41" s="336"/>
      <c r="DG41" s="336"/>
      <c r="DH41" s="336"/>
      <c r="DI41" s="336"/>
      <c r="DJ41" s="336"/>
      <c r="DK41" s="336"/>
      <c r="DL41" s="336"/>
      <c r="DM41" s="336"/>
      <c r="DN41" s="336"/>
      <c r="DO41" s="336"/>
      <c r="DP41" s="336"/>
      <c r="DQ41" s="336"/>
      <c r="DR41" s="336"/>
      <c r="DS41" s="336"/>
      <c r="DT41" s="336"/>
      <c r="DU41" s="336"/>
      <c r="DV41" s="336"/>
      <c r="DW41" s="336"/>
      <c r="DX41" s="336"/>
      <c r="DY41" s="336"/>
      <c r="DZ41" s="336"/>
      <c r="EA41" s="336"/>
      <c r="EB41" s="336"/>
      <c r="EC41" s="336"/>
      <c r="ED41" s="336"/>
      <c r="EE41" s="336"/>
      <c r="EF41" s="336"/>
      <c r="EG41" s="336"/>
      <c r="EH41" s="336"/>
      <c r="EI41" s="336"/>
      <c r="EJ41" s="336"/>
      <c r="EK41" s="336"/>
      <c r="EL41" s="336"/>
      <c r="EM41" s="336"/>
      <c r="EN41" s="336"/>
      <c r="EO41" s="336"/>
      <c r="EP41" s="336"/>
      <c r="EQ41" s="336"/>
      <c r="ER41" s="336"/>
      <c r="ES41" s="336"/>
      <c r="ET41" s="336"/>
      <c r="EU41" s="336"/>
      <c r="EV41" s="336"/>
      <c r="EW41" s="336"/>
      <c r="EX41" s="336"/>
      <c r="EY41" s="336"/>
      <c r="EZ41" s="336"/>
      <c r="FA41" s="336"/>
      <c r="FB41" s="336"/>
      <c r="FC41" s="336"/>
      <c r="FD41" s="336"/>
      <c r="FE41" s="336"/>
      <c r="FF41" s="336"/>
      <c r="FG41" s="336"/>
      <c r="FH41" s="336"/>
      <c r="FI41" s="336"/>
      <c r="FJ41" s="336"/>
      <c r="FK41" s="336"/>
      <c r="FL41" s="336"/>
      <c r="FM41" s="336"/>
      <c r="FN41" s="336"/>
      <c r="FO41" s="336"/>
      <c r="FP41" s="336"/>
      <c r="FQ41" s="336"/>
      <c r="FR41" s="336"/>
      <c r="FS41" s="336"/>
      <c r="FT41" s="336"/>
      <c r="FU41" s="336"/>
      <c r="FV41" s="336"/>
      <c r="FW41" s="336"/>
      <c r="FX41" s="336"/>
      <c r="FY41" s="336"/>
      <c r="FZ41" s="336"/>
      <c r="GA41" s="336"/>
      <c r="GB41" s="336"/>
      <c r="GC41" s="336"/>
      <c r="GD41" s="336"/>
      <c r="GE41" s="336"/>
      <c r="GF41" s="336"/>
      <c r="GG41" s="336"/>
      <c r="GH41" s="336"/>
      <c r="GI41" s="336"/>
      <c r="GJ41" s="336"/>
      <c r="GK41" s="336"/>
      <c r="GL41" s="336"/>
      <c r="GM41" s="336"/>
      <c r="GN41" s="336"/>
      <c r="GO41" s="336"/>
      <c r="GP41" s="336"/>
      <c r="GQ41" s="336"/>
      <c r="GR41" s="336"/>
      <c r="GS41" s="336"/>
      <c r="GT41" s="336"/>
      <c r="GU41" s="336"/>
      <c r="GV41" s="336"/>
      <c r="GW41" s="336"/>
      <c r="GX41" s="336"/>
      <c r="GY41" s="336"/>
      <c r="GZ41" s="336"/>
      <c r="HA41" s="336"/>
      <c r="HB41" s="336"/>
      <c r="HC41" s="336"/>
      <c r="HD41" s="336"/>
      <c r="HE41" s="336"/>
      <c r="HF41" s="336"/>
      <c r="HG41" s="336"/>
      <c r="HH41" s="336"/>
      <c r="HI41" s="336"/>
      <c r="HJ41" s="336"/>
      <c r="HK41" s="336"/>
      <c r="HL41" s="336"/>
      <c r="HM41" s="336"/>
      <c r="HN41" s="336"/>
      <c r="HO41" s="336"/>
      <c r="HP41" s="336"/>
      <c r="HQ41" s="336"/>
      <c r="HR41" s="336"/>
      <c r="HS41" s="336"/>
      <c r="HT41" s="336"/>
      <c r="HU41" s="336"/>
      <c r="HV41" s="336"/>
      <c r="HW41" s="336"/>
      <c r="HX41" s="336"/>
      <c r="HY41" s="336"/>
      <c r="HZ41" s="336"/>
      <c r="IA41" s="336"/>
      <c r="IB41" s="336"/>
      <c r="IC41" s="336"/>
      <c r="ID41" s="336"/>
      <c r="IE41" s="336"/>
      <c r="IF41" s="336"/>
      <c r="IG41" s="336"/>
      <c r="IH41" s="336"/>
      <c r="II41" s="336"/>
      <c r="IJ41" s="336"/>
      <c r="IK41" s="336"/>
      <c r="IL41" s="336"/>
      <c r="IM41" s="336"/>
      <c r="IN41" s="336"/>
      <c r="IO41" s="336"/>
      <c r="IP41" s="336"/>
      <c r="IQ41" s="336"/>
      <c r="IR41" s="336"/>
      <c r="IS41" s="336"/>
      <c r="IT41" s="336"/>
      <c r="IU41" s="336"/>
      <c r="IV41" s="336"/>
      <c r="IW41" s="336"/>
    </row>
    <row r="42" customFormat="false" ht="12.75" hidden="false" customHeight="false" outlineLevel="0" collapsed="false">
      <c r="A42" s="327"/>
      <c r="B42" s="328" t="s">
        <v>339</v>
      </c>
      <c r="C42" s="328"/>
      <c r="D42" s="328"/>
      <c r="E42" s="326" t="n">
        <f aca="false">IF(E$6&gt;Assm!$X$72+1,0,-'Debt Amort'!E17*Assm!$U$83)</f>
        <v>-0</v>
      </c>
      <c r="F42" s="326" t="n">
        <f aca="false">IF(F$6&gt;Assm!$X$72+1,0,-'Debt Amort'!F17*Assm!$U$83)</f>
        <v>-0</v>
      </c>
      <c r="G42" s="326" t="n">
        <f aca="false">IF(G$6&gt;Assm!$X$72+1,0,-'Debt Amort'!G17*Assm!$U$83)</f>
        <v>-53.7370893311019</v>
      </c>
      <c r="H42" s="326" t="n">
        <f aca="false">IF(H$6&gt;Assm!$X$72+1,0,-'Debt Amort'!H17*Assm!$U$83)</f>
        <v>-146.054463658025</v>
      </c>
      <c r="I42" s="326" t="n">
        <f aca="false">IF(I$6&gt;Assm!$X$72+1,0,-'Debt Amort'!I17*Assm!$U$83)</f>
        <v>-156.001326615543</v>
      </c>
      <c r="J42" s="326" t="n">
        <f aca="false">IF(J$6&gt;Assm!$X$72+1,0,-'Debt Amort'!J17*Assm!$U$83)</f>
        <v>-205.122197073233</v>
      </c>
      <c r="K42" s="326" t="n">
        <f aca="false">IF(K$6&gt;Assm!$X$72+1,0,-'Debt Amort'!K17*Assm!$U$83)</f>
        <v>-217.986326739245</v>
      </c>
      <c r="L42" s="326" t="n">
        <f aca="false">IF(L$6&gt;Assm!$X$72+1,0,-'Debt Amort'!L17*Assm!$U$83)</f>
        <v>-220.113210781092</v>
      </c>
      <c r="M42" s="326" t="n">
        <f aca="false">IF(M$6&gt;Assm!$X$72+1,0,-'Debt Amort'!M17*Assm!$U$83)</f>
        <v>-215.166006746162</v>
      </c>
      <c r="N42" s="326" t="n">
        <f aca="false">IF(N$6&gt;Assm!$X$72+1,0,-'Debt Amort'!N17*Assm!$U$83)</f>
        <v>-169.791087246422</v>
      </c>
      <c r="O42" s="326" t="n">
        <f aca="false">IF(O$6&gt;Assm!$X$72+1,0,-'Debt Amort'!O17*Assm!$U$83)</f>
        <v>-129.562031421027</v>
      </c>
      <c r="P42" s="326" t="n">
        <f aca="false">IF(P$6&gt;Assm!$X$72+1,0,-'Debt Amort'!P17*Assm!$U$83)</f>
        <v>-122.206989943917</v>
      </c>
      <c r="Q42" s="326" t="n">
        <f aca="false">IF(Q$6&gt;Assm!$X$72+1,0,-'Debt Amort'!Q17*Assm!$U$83)</f>
        <v>-130.431311695225</v>
      </c>
      <c r="R42" s="326" t="n">
        <f aca="false">IF(R$6&gt;Assm!$X$72+1,0,-'Debt Amort'!R17*Assm!$U$83)</f>
        <v>-136.082701609359</v>
      </c>
      <c r="S42" s="326" t="n">
        <f aca="false">IF(S$6&gt;Assm!$X$72+1,0,-'Debt Amort'!S17*Assm!$U$83)</f>
        <v>-125.297084349351</v>
      </c>
      <c r="T42" s="326" t="n">
        <f aca="false">IF(T$6&gt;Assm!$X$72+1,0,-'Debt Amort'!T17*Assm!$U$83)</f>
        <v>-118.025609170941</v>
      </c>
      <c r="U42" s="326" t="n">
        <f aca="false">IF(U$6&gt;Assm!$X$72+1,0,-'Debt Amort'!U17*Assm!$U$83)</f>
        <v>-78.3657053310342</v>
      </c>
      <c r="V42" s="326" t="n">
        <f aca="false">IF(V$6&gt;Assm!$X$72+1,0,-'Debt Amort'!V17*Assm!$U$83)</f>
        <v>-0</v>
      </c>
      <c r="W42" s="326" t="n">
        <f aca="false">IF(W$6&gt;Assm!$X$72+1,0,-'Debt Amort'!W17*Assm!$U$83)</f>
        <v>-0</v>
      </c>
      <c r="X42" s="326" t="n">
        <f aca="false">IF(X$6&gt;Assm!$X$72+1,0,-'Debt Amort'!X17*Assm!$U$83)</f>
        <v>-0</v>
      </c>
      <c r="Y42" s="326" t="n">
        <f aca="false">IF(Y$6&gt;Assm!$X$72+1,0,-'Debt Amort'!Y17*Assm!$U$83)</f>
        <v>-0</v>
      </c>
      <c r="Z42" s="330" t="n">
        <f aca="false">SUM(E42:Y42)</f>
        <v>-2223.94314171168</v>
      </c>
      <c r="AA42" s="338"/>
      <c r="AB42" s="300" t="n">
        <f aca="false">AB41+1</f>
        <v>36</v>
      </c>
      <c r="AC42" s="338"/>
      <c r="AD42" s="338"/>
      <c r="AE42" s="338"/>
      <c r="AF42" s="338"/>
      <c r="AG42" s="338"/>
      <c r="AH42" s="338"/>
      <c r="AI42" s="338"/>
      <c r="AJ42" s="338"/>
      <c r="AK42" s="338"/>
      <c r="AL42" s="338"/>
      <c r="AM42" s="338"/>
      <c r="AN42" s="338"/>
      <c r="AO42" s="338"/>
      <c r="AP42" s="338"/>
      <c r="AQ42" s="338"/>
      <c r="AR42" s="338"/>
      <c r="AS42" s="338"/>
      <c r="AT42" s="338"/>
      <c r="AU42" s="338"/>
      <c r="AV42" s="338"/>
      <c r="AW42" s="338"/>
      <c r="AX42" s="338"/>
      <c r="AY42" s="338"/>
      <c r="AZ42" s="338"/>
      <c r="BA42" s="338"/>
      <c r="BB42" s="338"/>
      <c r="BC42" s="338"/>
      <c r="BD42" s="338"/>
      <c r="BE42" s="338"/>
      <c r="BF42" s="338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8"/>
      <c r="DD42" s="338"/>
      <c r="DE42" s="338"/>
      <c r="DF42" s="338"/>
      <c r="DG42" s="338"/>
      <c r="DH42" s="338"/>
      <c r="DI42" s="338"/>
      <c r="DJ42" s="338"/>
      <c r="DK42" s="338"/>
      <c r="DL42" s="338"/>
      <c r="DM42" s="338"/>
      <c r="DN42" s="338"/>
      <c r="DO42" s="338"/>
      <c r="DP42" s="338"/>
      <c r="DQ42" s="338"/>
      <c r="DR42" s="338"/>
      <c r="DS42" s="338"/>
      <c r="DT42" s="338"/>
      <c r="DU42" s="338"/>
      <c r="DV42" s="338"/>
      <c r="DW42" s="338"/>
      <c r="DX42" s="338"/>
      <c r="DY42" s="338"/>
      <c r="DZ42" s="338"/>
      <c r="EA42" s="338"/>
      <c r="EB42" s="338"/>
      <c r="EC42" s="338"/>
      <c r="ED42" s="338"/>
      <c r="EE42" s="338"/>
      <c r="EF42" s="338"/>
      <c r="EG42" s="338"/>
      <c r="EH42" s="338"/>
      <c r="EI42" s="338"/>
      <c r="EJ42" s="338"/>
      <c r="EK42" s="338"/>
      <c r="EL42" s="338"/>
      <c r="EM42" s="338"/>
      <c r="EN42" s="338"/>
      <c r="EO42" s="338"/>
      <c r="EP42" s="338"/>
      <c r="EQ42" s="338"/>
      <c r="ER42" s="338"/>
      <c r="ES42" s="338"/>
      <c r="ET42" s="338"/>
      <c r="EU42" s="338"/>
      <c r="EV42" s="338"/>
      <c r="EW42" s="338"/>
      <c r="EX42" s="338"/>
      <c r="EY42" s="338"/>
      <c r="EZ42" s="338"/>
      <c r="FA42" s="338"/>
      <c r="FB42" s="338"/>
      <c r="FC42" s="338"/>
      <c r="FD42" s="338"/>
      <c r="FE42" s="338"/>
      <c r="FF42" s="338"/>
      <c r="FG42" s="338"/>
      <c r="FH42" s="338"/>
      <c r="FI42" s="338"/>
      <c r="FJ42" s="338"/>
      <c r="FK42" s="338"/>
      <c r="FL42" s="338"/>
      <c r="FM42" s="338"/>
      <c r="FN42" s="338"/>
      <c r="FO42" s="338"/>
      <c r="FP42" s="338"/>
      <c r="FQ42" s="338"/>
      <c r="FR42" s="338"/>
      <c r="FS42" s="338"/>
      <c r="FT42" s="338"/>
      <c r="FU42" s="338"/>
      <c r="FV42" s="338"/>
      <c r="FW42" s="338"/>
      <c r="FX42" s="338"/>
      <c r="FY42" s="338"/>
      <c r="FZ42" s="338"/>
      <c r="GA42" s="338"/>
      <c r="GB42" s="338"/>
      <c r="GC42" s="338"/>
      <c r="GD42" s="338"/>
      <c r="GE42" s="338"/>
      <c r="GF42" s="338"/>
      <c r="GG42" s="338"/>
      <c r="GH42" s="338"/>
      <c r="GI42" s="338"/>
      <c r="GJ42" s="338"/>
      <c r="GK42" s="338"/>
      <c r="GL42" s="338"/>
      <c r="GM42" s="338"/>
      <c r="GN42" s="338"/>
      <c r="GO42" s="338"/>
      <c r="GP42" s="338"/>
      <c r="GQ42" s="338"/>
      <c r="GR42" s="338"/>
      <c r="GS42" s="338"/>
      <c r="GT42" s="338"/>
      <c r="GU42" s="338"/>
      <c r="GV42" s="338"/>
      <c r="GW42" s="338"/>
      <c r="GX42" s="338"/>
      <c r="GY42" s="338"/>
      <c r="GZ42" s="338"/>
      <c r="HA42" s="338"/>
      <c r="HB42" s="338"/>
      <c r="HC42" s="338"/>
      <c r="HD42" s="338"/>
      <c r="HE42" s="338"/>
      <c r="HF42" s="338"/>
      <c r="HG42" s="338"/>
      <c r="HH42" s="338"/>
      <c r="HI42" s="338"/>
      <c r="HJ42" s="338"/>
      <c r="HK42" s="338"/>
      <c r="HL42" s="338"/>
      <c r="HM42" s="338"/>
      <c r="HN42" s="338"/>
      <c r="HO42" s="338"/>
      <c r="HP42" s="338"/>
      <c r="HQ42" s="338"/>
      <c r="HR42" s="338"/>
      <c r="HS42" s="338"/>
      <c r="HT42" s="338"/>
      <c r="HU42" s="338"/>
      <c r="HV42" s="338"/>
      <c r="HW42" s="338"/>
      <c r="HX42" s="338"/>
      <c r="HY42" s="338"/>
      <c r="HZ42" s="338"/>
      <c r="IA42" s="338"/>
      <c r="IB42" s="338"/>
      <c r="IC42" s="338"/>
      <c r="ID42" s="338"/>
      <c r="IE42" s="338"/>
      <c r="IF42" s="338"/>
      <c r="IG42" s="338"/>
      <c r="IH42" s="338"/>
      <c r="II42" s="338"/>
      <c r="IJ42" s="338"/>
      <c r="IK42" s="338"/>
      <c r="IL42" s="338"/>
      <c r="IM42" s="338"/>
      <c r="IN42" s="338"/>
      <c r="IO42" s="338"/>
      <c r="IP42" s="338"/>
      <c r="IQ42" s="338"/>
      <c r="IR42" s="338"/>
      <c r="IS42" s="338"/>
      <c r="IT42" s="338"/>
      <c r="IU42" s="338"/>
      <c r="IV42" s="338"/>
      <c r="IW42" s="338"/>
    </row>
    <row r="43" customFormat="false" ht="12.75" hidden="false" customHeight="false" outlineLevel="0" collapsed="false">
      <c r="A43" s="327"/>
      <c r="B43" s="328" t="s">
        <v>340</v>
      </c>
      <c r="C43" s="328"/>
      <c r="D43" s="328"/>
      <c r="E43" s="339" t="n">
        <f aca="false">IF(E$9=0,0,-HLOOKUP(E$7,NGO_Table,Assm!$G$65)*E$13*Assm!$F$63)</f>
        <v>0</v>
      </c>
      <c r="F43" s="339" t="n">
        <f aca="false">IF(F$9=0,0,-HLOOKUP(F$7,NGO_Table,Assm!$G$65)*F$13*Assm!$F$63)</f>
        <v>0</v>
      </c>
      <c r="G43" s="339" t="n">
        <f aca="false">IF(G$9=0,0,-HLOOKUP(G$7,NGO_Table,Assm!$G$65)*G$13*Assm!$F$63)</f>
        <v>-1033.04894415627</v>
      </c>
      <c r="H43" s="339" t="n">
        <f aca="false">IF(H$9=0,0,-HLOOKUP(H$7,NGO_Table,Assm!$G$65)*H$13*Assm!$F$63)</f>
        <v>-2132.02521868827</v>
      </c>
      <c r="I43" s="339" t="n">
        <f aca="false">IF(I$9=0,0,-HLOOKUP(I$7,NGO_Table,Assm!$G$65)*I$13*Assm!$F$63)</f>
        <v>-2196.23201902119</v>
      </c>
      <c r="J43" s="339" t="n">
        <f aca="false">IF(J$9=0,0,-HLOOKUP(J$7,NGO_Table,Assm!$G$65)*J$13*Assm!$F$63)</f>
        <v>-2260.37462319825</v>
      </c>
      <c r="K43" s="339" t="n">
        <f aca="false">IF(K$9=0,0,-HLOOKUP(K$7,NGO_Table,Assm!$G$65)*K$13*Assm!$F$63)</f>
        <v>-3487.37274837808</v>
      </c>
      <c r="L43" s="339" t="n">
        <f aca="false">IF(L$9=0,0,-HLOOKUP(L$7,NGO_Table,Assm!$G$65)*L$13*Assm!$F$63)</f>
        <v>-0</v>
      </c>
      <c r="M43" s="339" t="n">
        <f aca="false">IF(M$9=0,0,-HLOOKUP(M$7,NGO_Table,Assm!$G$65)*M$13*Assm!$F$63)</f>
        <v>-0</v>
      </c>
      <c r="N43" s="339" t="n">
        <f aca="false">IF(N$9=0,0,-HLOOKUP(N$7,NGO_Table,Assm!$G$65)*N$13*Assm!$F$63)</f>
        <v>-0</v>
      </c>
      <c r="O43" s="339" t="n">
        <f aca="false">IF(O$9=0,0,-HLOOKUP(O$7,NGO_Table,Assm!$G$65)*O$13*Assm!$F$63)</f>
        <v>-0</v>
      </c>
      <c r="P43" s="339" t="n">
        <f aca="false">IF(P$9=0,0,-HLOOKUP(P$7,NGO_Table,Assm!$G$65)*P$13*Assm!$F$63)</f>
        <v>-0</v>
      </c>
      <c r="Q43" s="339" t="n">
        <f aca="false">IF(Q$9=0,0,-HLOOKUP(Q$7,NGO_Table,Assm!$G$65)*Q$13*Assm!$F$63)</f>
        <v>-0</v>
      </c>
      <c r="R43" s="339" t="n">
        <f aca="false">IF(R$9=0,0,-HLOOKUP(R$7,NGO_Table,Assm!$G$65)*R$13*Assm!$F$63)</f>
        <v>-0</v>
      </c>
      <c r="S43" s="339" t="n">
        <f aca="false">IF(S$9=0,0,-HLOOKUP(S$7,NGO_Table,Assm!$G$65)*S$13*Assm!$F$63)</f>
        <v>-0</v>
      </c>
      <c r="T43" s="339" t="n">
        <f aca="false">IF(T$9=0,0,-HLOOKUP(T$7,NGO_Table,Assm!$G$65)*T$13*Assm!$F$63)</f>
        <v>-0</v>
      </c>
      <c r="U43" s="339" t="n">
        <f aca="false">IF(U$9=0,0,-HLOOKUP(U$7,NGO_Table,Assm!$G$65)*U$13*Assm!$F$63)</f>
        <v>-0</v>
      </c>
      <c r="V43" s="339" t="n">
        <f aca="false">IF(V$9=0,0,-HLOOKUP(V$7,NGO_Table,Assm!$G$65)*V$13*Assm!$F$63)</f>
        <v>-0</v>
      </c>
      <c r="W43" s="339" t="n">
        <f aca="false">IF(W$9=0,0,-HLOOKUP(W$7,NGO_Table,Assm!$G$65)*W$13*Assm!$F$63)</f>
        <v>-0</v>
      </c>
      <c r="X43" s="339" t="n">
        <f aca="false">IF(X$9=0,0,-HLOOKUP(X$7,NGO_Table,Assm!$G$65)*X$13*Assm!$F$63)</f>
        <v>-0</v>
      </c>
      <c r="Y43" s="339" t="n">
        <f aca="false">IF(Y$9=0,0,-HLOOKUP(Y$7,NGO_Table,Assm!$G$65)*Y$13*Assm!$F$63)</f>
        <v>-0</v>
      </c>
      <c r="Z43" s="340" t="n">
        <f aca="false">SUM(E43:Y43)</f>
        <v>-11109.0535534421</v>
      </c>
      <c r="AA43" s="338"/>
      <c r="AB43" s="300" t="n">
        <f aca="false">AB42+1</f>
        <v>37</v>
      </c>
      <c r="AC43" s="338"/>
      <c r="AD43" s="338"/>
      <c r="AE43" s="338"/>
      <c r="AF43" s="338"/>
      <c r="AG43" s="338"/>
      <c r="AH43" s="338"/>
      <c r="AI43" s="338"/>
      <c r="AJ43" s="338"/>
      <c r="AK43" s="338"/>
      <c r="AL43" s="338"/>
      <c r="AM43" s="338"/>
      <c r="AN43" s="338"/>
      <c r="AO43" s="338"/>
      <c r="AP43" s="338"/>
      <c r="AQ43" s="338"/>
      <c r="AR43" s="338"/>
      <c r="AS43" s="338"/>
      <c r="AT43" s="338"/>
      <c r="AU43" s="338"/>
      <c r="AV43" s="338"/>
      <c r="AW43" s="338"/>
      <c r="AX43" s="338"/>
      <c r="AY43" s="338"/>
      <c r="AZ43" s="338"/>
      <c r="BA43" s="338"/>
      <c r="BB43" s="338"/>
      <c r="BC43" s="338"/>
      <c r="BD43" s="338"/>
      <c r="BE43" s="338"/>
      <c r="BF43" s="338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8"/>
      <c r="DD43" s="338"/>
      <c r="DE43" s="338"/>
      <c r="DF43" s="338"/>
      <c r="DG43" s="338"/>
      <c r="DH43" s="338"/>
      <c r="DI43" s="338"/>
      <c r="DJ43" s="338"/>
      <c r="DK43" s="338"/>
      <c r="DL43" s="338"/>
      <c r="DM43" s="338"/>
      <c r="DN43" s="338"/>
      <c r="DO43" s="338"/>
      <c r="DP43" s="338"/>
      <c r="DQ43" s="338"/>
      <c r="DR43" s="338"/>
      <c r="DS43" s="338"/>
      <c r="DT43" s="338"/>
      <c r="DU43" s="338"/>
      <c r="DV43" s="338"/>
      <c r="DW43" s="338"/>
      <c r="DX43" s="338"/>
      <c r="DY43" s="338"/>
      <c r="DZ43" s="338"/>
      <c r="EA43" s="338"/>
      <c r="EB43" s="338"/>
      <c r="EC43" s="338"/>
      <c r="ED43" s="338"/>
      <c r="EE43" s="338"/>
      <c r="EF43" s="338"/>
      <c r="EG43" s="338"/>
      <c r="EH43" s="338"/>
      <c r="EI43" s="338"/>
      <c r="EJ43" s="338"/>
      <c r="EK43" s="338"/>
      <c r="EL43" s="338"/>
      <c r="EM43" s="338"/>
      <c r="EN43" s="338"/>
      <c r="EO43" s="338"/>
      <c r="EP43" s="338"/>
      <c r="EQ43" s="338"/>
      <c r="ER43" s="338"/>
      <c r="ES43" s="338"/>
      <c r="ET43" s="338"/>
      <c r="EU43" s="338"/>
      <c r="EV43" s="338"/>
      <c r="EW43" s="338"/>
      <c r="EX43" s="338"/>
      <c r="EY43" s="338"/>
      <c r="EZ43" s="338"/>
      <c r="FA43" s="338"/>
      <c r="FB43" s="338"/>
      <c r="FC43" s="338"/>
      <c r="FD43" s="338"/>
      <c r="FE43" s="338"/>
      <c r="FF43" s="338"/>
      <c r="FG43" s="338"/>
      <c r="FH43" s="338"/>
      <c r="FI43" s="338"/>
      <c r="FJ43" s="338"/>
      <c r="FK43" s="338"/>
      <c r="FL43" s="338"/>
      <c r="FM43" s="338"/>
      <c r="FN43" s="338"/>
      <c r="FO43" s="338"/>
      <c r="FP43" s="338"/>
      <c r="FQ43" s="338"/>
      <c r="FR43" s="338"/>
      <c r="FS43" s="338"/>
      <c r="FT43" s="338"/>
      <c r="FU43" s="338"/>
      <c r="FV43" s="338"/>
      <c r="FW43" s="338"/>
      <c r="FX43" s="338"/>
      <c r="FY43" s="338"/>
      <c r="FZ43" s="338"/>
      <c r="GA43" s="338"/>
      <c r="GB43" s="338"/>
      <c r="GC43" s="338"/>
      <c r="GD43" s="338"/>
      <c r="GE43" s="338"/>
      <c r="GF43" s="338"/>
      <c r="GG43" s="338"/>
      <c r="GH43" s="338"/>
      <c r="GI43" s="338"/>
      <c r="GJ43" s="338"/>
      <c r="GK43" s="338"/>
      <c r="GL43" s="338"/>
      <c r="GM43" s="338"/>
      <c r="GN43" s="338"/>
      <c r="GO43" s="338"/>
      <c r="GP43" s="338"/>
      <c r="GQ43" s="338"/>
      <c r="GR43" s="338"/>
      <c r="GS43" s="338"/>
      <c r="GT43" s="338"/>
      <c r="GU43" s="338"/>
      <c r="GV43" s="338"/>
      <c r="GW43" s="338"/>
      <c r="GX43" s="338"/>
      <c r="GY43" s="338"/>
      <c r="GZ43" s="338"/>
      <c r="HA43" s="338"/>
      <c r="HB43" s="338"/>
      <c r="HC43" s="338"/>
      <c r="HD43" s="338"/>
      <c r="HE43" s="338"/>
      <c r="HF43" s="338"/>
      <c r="HG43" s="338"/>
      <c r="HH43" s="338"/>
      <c r="HI43" s="338"/>
      <c r="HJ43" s="338"/>
      <c r="HK43" s="338"/>
      <c r="HL43" s="338"/>
      <c r="HM43" s="338"/>
      <c r="HN43" s="338"/>
      <c r="HO43" s="338"/>
      <c r="HP43" s="338"/>
      <c r="HQ43" s="338"/>
      <c r="HR43" s="338"/>
      <c r="HS43" s="338"/>
      <c r="HT43" s="338"/>
      <c r="HU43" s="338"/>
      <c r="HV43" s="338"/>
      <c r="HW43" s="338"/>
      <c r="HX43" s="338"/>
      <c r="HY43" s="338"/>
      <c r="HZ43" s="338"/>
      <c r="IA43" s="338"/>
      <c r="IB43" s="338"/>
      <c r="IC43" s="338"/>
      <c r="ID43" s="338"/>
      <c r="IE43" s="338"/>
      <c r="IF43" s="338"/>
      <c r="IG43" s="338"/>
      <c r="IH43" s="338"/>
      <c r="II43" s="338"/>
      <c r="IJ43" s="338"/>
      <c r="IK43" s="338"/>
      <c r="IL43" s="338"/>
      <c r="IM43" s="338"/>
      <c r="IN43" s="338"/>
      <c r="IO43" s="338"/>
      <c r="IP43" s="338"/>
      <c r="IQ43" s="338"/>
      <c r="IR43" s="338"/>
      <c r="IS43" s="338"/>
      <c r="IT43" s="338"/>
      <c r="IU43" s="338"/>
      <c r="IV43" s="338"/>
      <c r="IW43" s="338"/>
    </row>
    <row r="44" customFormat="false" ht="12.75" hidden="false" customHeight="false" outlineLevel="0" collapsed="false">
      <c r="A44" s="327"/>
      <c r="B44" s="341" t="s">
        <v>341</v>
      </c>
      <c r="C44" s="328"/>
      <c r="D44" s="328"/>
      <c r="E44" s="342" t="n">
        <f aca="false">SUM(E38:E43)</f>
        <v>0</v>
      </c>
      <c r="F44" s="342" t="n">
        <f aca="false">SUM(F38:F43)</f>
        <v>0</v>
      </c>
      <c r="G44" s="342" t="n">
        <f aca="false">SUM(G38:G43)</f>
        <v>-2756.9898472661</v>
      </c>
      <c r="H44" s="343" t="n">
        <f aca="false">SUM(H38:H43)</f>
        <v>-5917.2492777567</v>
      </c>
      <c r="I44" s="342" t="n">
        <f aca="false">SUM(I38:I43)</f>
        <v>-5670.92702175064</v>
      </c>
      <c r="J44" s="342" t="n">
        <f aca="false">SUM(J38:J43)</f>
        <v>-1805.57024821884</v>
      </c>
      <c r="K44" s="342" t="n">
        <f aca="false">SUM(K38:K43)</f>
        <v>-2703.89264627407</v>
      </c>
      <c r="L44" s="342" t="n">
        <f aca="false">SUM(L38:L43)</f>
        <v>872.337257056458</v>
      </c>
      <c r="M44" s="342" t="n">
        <f aca="false">SUM(M38:M43)</f>
        <v>1051.12914961689</v>
      </c>
      <c r="N44" s="342" t="n">
        <f aca="false">SUM(N38:N43)</f>
        <v>1096.50406911663</v>
      </c>
      <c r="O44" s="342" t="n">
        <f aca="false">SUM(O38:O43)</f>
        <v>1234.38473346203</v>
      </c>
      <c r="P44" s="342" t="n">
        <f aca="false">SUM(P38:P43)</f>
        <v>1514.83924217518</v>
      </c>
      <c r="Q44" s="342" t="n">
        <f aca="false">SUM(Q38:Q43)</f>
        <v>1797.91889453918</v>
      </c>
      <c r="R44" s="342" t="n">
        <f aca="false">SUM(R38:R43)</f>
        <v>1971.57969490486</v>
      </c>
      <c r="S44" s="342" t="n">
        <f aca="false">SUM(S38:S43)</f>
        <v>1982.36531216487</v>
      </c>
      <c r="T44" s="342" t="n">
        <f aca="false">SUM(T38:T43)</f>
        <v>1884.25611651145</v>
      </c>
      <c r="U44" s="342" t="n">
        <f aca="false">SUM(U38:U43)</f>
        <v>1837.36094310213</v>
      </c>
      <c r="V44" s="342" t="n">
        <f aca="false">SUM(V38:V43)</f>
        <v>1873.37333976771</v>
      </c>
      <c r="W44" s="342" t="n">
        <f aca="false">SUM(W38:W43)</f>
        <v>2190.82128468304</v>
      </c>
      <c r="X44" s="342" t="n">
        <f aca="false">SUM(X38:X43)</f>
        <v>2510.28622471819</v>
      </c>
      <c r="Y44" s="342" t="n">
        <f aca="false">SUM(Y38:Y43)</f>
        <v>943.979069767943</v>
      </c>
      <c r="Z44" s="344" t="n">
        <f aca="false">SUM(E44:Y44)</f>
        <v>3906.50629032022</v>
      </c>
      <c r="AA44" s="338"/>
      <c r="AB44" s="300" t="n">
        <f aca="false">AB43+1</f>
        <v>38</v>
      </c>
      <c r="AC44" s="338"/>
      <c r="AD44" s="338"/>
      <c r="AE44" s="338"/>
      <c r="AF44" s="338"/>
      <c r="AG44" s="338"/>
      <c r="AH44" s="338"/>
      <c r="AI44" s="338"/>
      <c r="AJ44" s="338"/>
      <c r="AK44" s="338"/>
      <c r="AL44" s="338"/>
      <c r="AM44" s="338"/>
      <c r="AN44" s="338"/>
      <c r="AO44" s="338"/>
      <c r="AP44" s="338"/>
      <c r="AQ44" s="338"/>
      <c r="AR44" s="338"/>
      <c r="AS44" s="338"/>
      <c r="AT44" s="338"/>
      <c r="AU44" s="338"/>
      <c r="AV44" s="338"/>
      <c r="AW44" s="338"/>
      <c r="AX44" s="338"/>
      <c r="AY44" s="338"/>
      <c r="AZ44" s="338"/>
      <c r="BA44" s="338"/>
      <c r="BB44" s="338"/>
      <c r="BC44" s="338"/>
      <c r="BD44" s="338"/>
      <c r="BE44" s="338"/>
      <c r="BF44" s="338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8"/>
      <c r="DD44" s="338"/>
      <c r="DE44" s="338"/>
      <c r="DF44" s="338"/>
      <c r="DG44" s="338"/>
      <c r="DH44" s="338"/>
      <c r="DI44" s="338"/>
      <c r="DJ44" s="338"/>
      <c r="DK44" s="338"/>
      <c r="DL44" s="338"/>
      <c r="DM44" s="338"/>
      <c r="DN44" s="338"/>
      <c r="DO44" s="338"/>
      <c r="DP44" s="338"/>
      <c r="DQ44" s="338"/>
      <c r="DR44" s="338"/>
      <c r="DS44" s="338"/>
      <c r="DT44" s="338"/>
      <c r="DU44" s="338"/>
      <c r="DV44" s="338"/>
      <c r="DW44" s="338"/>
      <c r="DX44" s="338"/>
      <c r="DY44" s="338"/>
      <c r="DZ44" s="338"/>
      <c r="EA44" s="338"/>
      <c r="EB44" s="338"/>
      <c r="EC44" s="338"/>
      <c r="ED44" s="338"/>
      <c r="EE44" s="338"/>
      <c r="EF44" s="338"/>
      <c r="EG44" s="338"/>
      <c r="EH44" s="338"/>
      <c r="EI44" s="338"/>
      <c r="EJ44" s="338"/>
      <c r="EK44" s="338"/>
      <c r="EL44" s="338"/>
      <c r="EM44" s="338"/>
      <c r="EN44" s="338"/>
      <c r="EO44" s="338"/>
      <c r="EP44" s="338"/>
      <c r="EQ44" s="338"/>
      <c r="ER44" s="338"/>
      <c r="ES44" s="338"/>
      <c r="ET44" s="338"/>
      <c r="EU44" s="338"/>
      <c r="EV44" s="338"/>
      <c r="EW44" s="338"/>
      <c r="EX44" s="338"/>
      <c r="EY44" s="338"/>
      <c r="EZ44" s="338"/>
      <c r="FA44" s="338"/>
      <c r="FB44" s="338"/>
      <c r="FC44" s="338"/>
      <c r="FD44" s="338"/>
      <c r="FE44" s="338"/>
      <c r="FF44" s="338"/>
      <c r="FG44" s="338"/>
      <c r="FH44" s="338"/>
      <c r="FI44" s="338"/>
      <c r="FJ44" s="338"/>
      <c r="FK44" s="338"/>
      <c r="FL44" s="338"/>
      <c r="FM44" s="338"/>
      <c r="FN44" s="338"/>
      <c r="FO44" s="338"/>
      <c r="FP44" s="338"/>
      <c r="FQ44" s="338"/>
      <c r="FR44" s="338"/>
      <c r="FS44" s="338"/>
      <c r="FT44" s="338"/>
      <c r="FU44" s="338"/>
      <c r="FV44" s="338"/>
      <c r="FW44" s="338"/>
      <c r="FX44" s="338"/>
      <c r="FY44" s="338"/>
      <c r="FZ44" s="338"/>
      <c r="GA44" s="338"/>
      <c r="GB44" s="338"/>
      <c r="GC44" s="338"/>
      <c r="GD44" s="338"/>
      <c r="GE44" s="338"/>
      <c r="GF44" s="338"/>
      <c r="GG44" s="338"/>
      <c r="GH44" s="338"/>
      <c r="GI44" s="338"/>
      <c r="GJ44" s="338"/>
      <c r="GK44" s="338"/>
      <c r="GL44" s="338"/>
      <c r="GM44" s="338"/>
      <c r="GN44" s="338"/>
      <c r="GO44" s="338"/>
      <c r="GP44" s="338"/>
      <c r="GQ44" s="338"/>
      <c r="GR44" s="338"/>
      <c r="GS44" s="338"/>
      <c r="GT44" s="338"/>
      <c r="GU44" s="338"/>
      <c r="GV44" s="338"/>
      <c r="GW44" s="338"/>
      <c r="GX44" s="338"/>
      <c r="GY44" s="338"/>
      <c r="GZ44" s="338"/>
      <c r="HA44" s="338"/>
      <c r="HB44" s="338"/>
      <c r="HC44" s="338"/>
      <c r="HD44" s="338"/>
      <c r="HE44" s="338"/>
      <c r="HF44" s="338"/>
      <c r="HG44" s="338"/>
      <c r="HH44" s="338"/>
      <c r="HI44" s="338"/>
      <c r="HJ44" s="338"/>
      <c r="HK44" s="338"/>
      <c r="HL44" s="338"/>
      <c r="HM44" s="338"/>
      <c r="HN44" s="338"/>
      <c r="HO44" s="338"/>
      <c r="HP44" s="338"/>
      <c r="HQ44" s="338"/>
      <c r="HR44" s="338"/>
      <c r="HS44" s="338"/>
      <c r="HT44" s="338"/>
      <c r="HU44" s="338"/>
      <c r="HV44" s="338"/>
      <c r="HW44" s="338"/>
      <c r="HX44" s="338"/>
      <c r="HY44" s="338"/>
      <c r="HZ44" s="338"/>
      <c r="IA44" s="338"/>
      <c r="IB44" s="338"/>
      <c r="IC44" s="338"/>
      <c r="ID44" s="338"/>
      <c r="IE44" s="338"/>
      <c r="IF44" s="338"/>
      <c r="IG44" s="338"/>
      <c r="IH44" s="338"/>
      <c r="II44" s="338"/>
      <c r="IJ44" s="338"/>
      <c r="IK44" s="338"/>
      <c r="IL44" s="338"/>
      <c r="IM44" s="338"/>
      <c r="IN44" s="338"/>
      <c r="IO44" s="338"/>
      <c r="IP44" s="338"/>
      <c r="IQ44" s="338"/>
      <c r="IR44" s="338"/>
      <c r="IS44" s="338"/>
      <c r="IT44" s="338"/>
      <c r="IU44" s="338"/>
      <c r="IV44" s="338"/>
      <c r="IW44" s="338"/>
    </row>
    <row r="45" customFormat="false" ht="12.75" hidden="false" customHeight="false" outlineLevel="0" collapsed="false">
      <c r="A45" s="327"/>
      <c r="B45" s="328"/>
      <c r="C45" s="328"/>
      <c r="D45" s="328"/>
      <c r="E45" s="326"/>
      <c r="F45" s="326"/>
      <c r="G45" s="326"/>
      <c r="H45" s="326"/>
      <c r="I45" s="326"/>
      <c r="J45" s="326"/>
      <c r="K45" s="326"/>
      <c r="L45" s="326"/>
      <c r="M45" s="326"/>
      <c r="N45" s="326"/>
      <c r="O45" s="326"/>
      <c r="P45" s="326"/>
      <c r="Q45" s="326"/>
      <c r="R45" s="326"/>
      <c r="S45" s="326"/>
      <c r="T45" s="326"/>
      <c r="U45" s="326"/>
      <c r="V45" s="326"/>
      <c r="W45" s="326"/>
      <c r="X45" s="326"/>
      <c r="Y45" s="326"/>
      <c r="Z45" s="330"/>
      <c r="AA45" s="338"/>
      <c r="AB45" s="300" t="n">
        <f aca="false">AB44+1</f>
        <v>39</v>
      </c>
      <c r="AC45" s="338"/>
      <c r="AD45" s="338"/>
      <c r="AE45" s="338"/>
      <c r="AF45" s="338"/>
      <c r="AG45" s="338"/>
      <c r="AH45" s="338"/>
      <c r="AI45" s="338"/>
      <c r="AJ45" s="338"/>
      <c r="AK45" s="338"/>
      <c r="AL45" s="338"/>
      <c r="AM45" s="338"/>
      <c r="AN45" s="338"/>
      <c r="AO45" s="338"/>
      <c r="AP45" s="338"/>
      <c r="AQ45" s="338"/>
      <c r="AR45" s="338"/>
      <c r="AS45" s="338"/>
      <c r="AT45" s="338"/>
      <c r="AU45" s="338"/>
      <c r="AV45" s="338"/>
      <c r="AW45" s="338"/>
      <c r="AX45" s="338"/>
      <c r="AY45" s="338"/>
      <c r="AZ45" s="338"/>
      <c r="BA45" s="338"/>
      <c r="BB45" s="338"/>
      <c r="BC45" s="338"/>
      <c r="BD45" s="338"/>
      <c r="BE45" s="338"/>
      <c r="BF45" s="338"/>
      <c r="BG45" s="338"/>
      <c r="BH45" s="338"/>
      <c r="BI45" s="338"/>
      <c r="BJ45" s="338"/>
      <c r="BK45" s="338"/>
      <c r="BL45" s="338"/>
      <c r="BM45" s="338"/>
      <c r="BN45" s="338"/>
      <c r="BO45" s="338"/>
      <c r="BP45" s="338"/>
      <c r="BQ45" s="338"/>
      <c r="BR45" s="338"/>
      <c r="BS45" s="338"/>
      <c r="BT45" s="338"/>
      <c r="BU45" s="338"/>
      <c r="BV45" s="338"/>
      <c r="BW45" s="338"/>
      <c r="BX45" s="338"/>
      <c r="BY45" s="338"/>
      <c r="BZ45" s="338"/>
      <c r="CA45" s="338"/>
      <c r="CB45" s="338"/>
      <c r="CC45" s="338"/>
      <c r="CD45" s="338"/>
      <c r="CE45" s="338"/>
      <c r="CF45" s="338"/>
      <c r="CG45" s="338"/>
      <c r="CH45" s="338"/>
      <c r="CI45" s="338"/>
      <c r="CJ45" s="338"/>
      <c r="CK45" s="338"/>
      <c r="CL45" s="338"/>
      <c r="CM45" s="338"/>
      <c r="CN45" s="338"/>
      <c r="CO45" s="338"/>
      <c r="CP45" s="338"/>
      <c r="CQ45" s="338"/>
      <c r="CR45" s="338"/>
      <c r="CS45" s="338"/>
      <c r="CT45" s="338"/>
      <c r="CU45" s="338"/>
      <c r="CV45" s="338"/>
      <c r="CW45" s="338"/>
      <c r="CX45" s="338"/>
      <c r="CY45" s="338"/>
      <c r="CZ45" s="338"/>
      <c r="DA45" s="338"/>
      <c r="DB45" s="338"/>
      <c r="DC45" s="338"/>
      <c r="DD45" s="338"/>
      <c r="DE45" s="338"/>
      <c r="DF45" s="338"/>
      <c r="DG45" s="338"/>
      <c r="DH45" s="338"/>
      <c r="DI45" s="338"/>
      <c r="DJ45" s="338"/>
      <c r="DK45" s="338"/>
      <c r="DL45" s="338"/>
      <c r="DM45" s="338"/>
      <c r="DN45" s="338"/>
      <c r="DO45" s="338"/>
      <c r="DP45" s="338"/>
      <c r="DQ45" s="338"/>
      <c r="DR45" s="338"/>
      <c r="DS45" s="338"/>
      <c r="DT45" s="338"/>
      <c r="DU45" s="338"/>
      <c r="DV45" s="338"/>
      <c r="DW45" s="338"/>
      <c r="DX45" s="338"/>
      <c r="DY45" s="338"/>
      <c r="DZ45" s="338"/>
      <c r="EA45" s="338"/>
      <c r="EB45" s="338"/>
      <c r="EC45" s="338"/>
      <c r="ED45" s="338"/>
      <c r="EE45" s="338"/>
      <c r="EF45" s="338"/>
      <c r="EG45" s="338"/>
      <c r="EH45" s="338"/>
      <c r="EI45" s="338"/>
      <c r="EJ45" s="338"/>
      <c r="EK45" s="338"/>
      <c r="EL45" s="338"/>
      <c r="EM45" s="338"/>
      <c r="EN45" s="338"/>
      <c r="EO45" s="338"/>
      <c r="EP45" s="338"/>
      <c r="EQ45" s="338"/>
      <c r="ER45" s="338"/>
      <c r="ES45" s="338"/>
      <c r="ET45" s="338"/>
      <c r="EU45" s="338"/>
      <c r="EV45" s="338"/>
      <c r="EW45" s="338"/>
      <c r="EX45" s="338"/>
      <c r="EY45" s="338"/>
      <c r="EZ45" s="338"/>
      <c r="FA45" s="338"/>
      <c r="FB45" s="338"/>
      <c r="FC45" s="338"/>
      <c r="FD45" s="338"/>
      <c r="FE45" s="338"/>
      <c r="FF45" s="338"/>
      <c r="FG45" s="338"/>
      <c r="FH45" s="338"/>
      <c r="FI45" s="338"/>
      <c r="FJ45" s="338"/>
      <c r="FK45" s="338"/>
      <c r="FL45" s="338"/>
      <c r="FM45" s="338"/>
      <c r="FN45" s="338"/>
      <c r="FO45" s="338"/>
      <c r="FP45" s="338"/>
      <c r="FQ45" s="338"/>
      <c r="FR45" s="338"/>
      <c r="FS45" s="338"/>
      <c r="FT45" s="338"/>
      <c r="FU45" s="338"/>
      <c r="FV45" s="338"/>
      <c r="FW45" s="338"/>
      <c r="FX45" s="338"/>
      <c r="FY45" s="338"/>
      <c r="FZ45" s="338"/>
      <c r="GA45" s="338"/>
      <c r="GB45" s="338"/>
      <c r="GC45" s="338"/>
      <c r="GD45" s="338"/>
      <c r="GE45" s="338"/>
      <c r="GF45" s="338"/>
      <c r="GG45" s="338"/>
      <c r="GH45" s="338"/>
      <c r="GI45" s="338"/>
      <c r="GJ45" s="338"/>
      <c r="GK45" s="338"/>
      <c r="GL45" s="338"/>
      <c r="GM45" s="338"/>
      <c r="GN45" s="338"/>
      <c r="GO45" s="338"/>
      <c r="GP45" s="338"/>
      <c r="GQ45" s="338"/>
      <c r="GR45" s="338"/>
      <c r="GS45" s="338"/>
      <c r="GT45" s="338"/>
      <c r="GU45" s="338"/>
      <c r="GV45" s="338"/>
      <c r="GW45" s="338"/>
      <c r="GX45" s="338"/>
      <c r="GY45" s="338"/>
      <c r="GZ45" s="338"/>
      <c r="HA45" s="338"/>
      <c r="HB45" s="338"/>
      <c r="HC45" s="338"/>
      <c r="HD45" s="338"/>
      <c r="HE45" s="338"/>
      <c r="HF45" s="338"/>
      <c r="HG45" s="338"/>
      <c r="HH45" s="338"/>
      <c r="HI45" s="338"/>
      <c r="HJ45" s="338"/>
      <c r="HK45" s="338"/>
      <c r="HL45" s="338"/>
      <c r="HM45" s="338"/>
      <c r="HN45" s="338"/>
      <c r="HO45" s="338"/>
      <c r="HP45" s="338"/>
      <c r="HQ45" s="338"/>
      <c r="HR45" s="338"/>
      <c r="HS45" s="338"/>
      <c r="HT45" s="338"/>
      <c r="HU45" s="338"/>
      <c r="HV45" s="338"/>
      <c r="HW45" s="338"/>
      <c r="HX45" s="338"/>
      <c r="HY45" s="338"/>
      <c r="HZ45" s="338"/>
      <c r="IA45" s="338"/>
      <c r="IB45" s="338"/>
      <c r="IC45" s="338"/>
      <c r="ID45" s="338"/>
      <c r="IE45" s="338"/>
      <c r="IF45" s="338"/>
      <c r="IG45" s="338"/>
      <c r="IH45" s="338"/>
      <c r="II45" s="338"/>
      <c r="IJ45" s="338"/>
      <c r="IK45" s="338"/>
      <c r="IL45" s="338"/>
      <c r="IM45" s="338"/>
      <c r="IN45" s="338"/>
      <c r="IO45" s="338"/>
      <c r="IP45" s="338"/>
      <c r="IQ45" s="338"/>
      <c r="IR45" s="338"/>
      <c r="IS45" s="338"/>
      <c r="IT45" s="338"/>
      <c r="IU45" s="338"/>
      <c r="IV45" s="338"/>
      <c r="IW45" s="338"/>
    </row>
    <row r="46" customFormat="false" ht="12.75" hidden="false" customHeight="false" outlineLevel="0" collapsed="false">
      <c r="A46" s="345" t="s">
        <v>342</v>
      </c>
      <c r="B46" s="341"/>
      <c r="C46" s="328"/>
      <c r="D46" s="341"/>
      <c r="E46" s="342" t="n">
        <f aca="false">SUM(E18,-E35,E44)</f>
        <v>0</v>
      </c>
      <c r="F46" s="342" t="n">
        <f aca="false">SUM(F18,-F35,F44)</f>
        <v>-13.2759999379246</v>
      </c>
      <c r="G46" s="342" t="n">
        <f aca="false">SUM(G18,-G35,G44)</f>
        <v>8604.19629805644</v>
      </c>
      <c r="H46" s="342" t="n">
        <f aca="false">SUM(H18,-H35,H44)</f>
        <v>14220.938045162</v>
      </c>
      <c r="I46" s="342" t="n">
        <f aca="false">SUM(I18,-I35,I44)</f>
        <v>13565.6409996427</v>
      </c>
      <c r="J46" s="342" t="n">
        <f aca="false">SUM(J18,-J35,J44)</f>
        <v>19099.4312530243</v>
      </c>
      <c r="K46" s="342" t="n">
        <f aca="false">SUM(K18,-K35,K44)</f>
        <v>19379.6148479407</v>
      </c>
      <c r="L46" s="342" t="n">
        <f aca="false">SUM(L18,-L35,L44)</f>
        <v>23437.1491854552</v>
      </c>
      <c r="M46" s="342" t="n">
        <f aca="false">SUM(M18,-M35,M44)</f>
        <v>24344.7076671009</v>
      </c>
      <c r="N46" s="342" t="n">
        <f aca="false">SUM(N18,-N35,N44)</f>
        <v>24485.4880924593</v>
      </c>
      <c r="O46" s="342" t="n">
        <f aca="false">SUM(O18,-O35,O44)</f>
        <v>25830.1534150317</v>
      </c>
      <c r="P46" s="342" t="n">
        <f aca="false">SUM(P18,-P35,P44)</f>
        <v>26597.1556216309</v>
      </c>
      <c r="Q46" s="342" t="n">
        <f aca="false">SUM(Q18,-Q35,Q44)</f>
        <v>27679.4585347262</v>
      </c>
      <c r="R46" s="342" t="n">
        <f aca="false">SUM(R18,-R35,R44)</f>
        <v>29538.859488661</v>
      </c>
      <c r="S46" s="342" t="n">
        <f aca="false">SUM(S18,-S35,S44)</f>
        <v>28010.2309087519</v>
      </c>
      <c r="T46" s="342" t="n">
        <f aca="false">SUM(T18,-T35,T44)</f>
        <v>30595.1178173838</v>
      </c>
      <c r="U46" s="342" t="n">
        <f aca="false">SUM(U18,-U35,U44)</f>
        <v>31458.5672626128</v>
      </c>
      <c r="V46" s="342" t="n">
        <f aca="false">SUM(V18,-V35,V44)</f>
        <v>32306.0828797343</v>
      </c>
      <c r="W46" s="342" t="n">
        <f aca="false">SUM(W18,-W35,W44)</f>
        <v>33381.8136103011</v>
      </c>
      <c r="X46" s="342" t="n">
        <f aca="false">SUM(X18,-X35,X44)</f>
        <v>34547.7040372276</v>
      </c>
      <c r="Y46" s="342" t="n">
        <f aca="false">SUM(Y18,-Y35,Y44)</f>
        <v>11528.7919548953</v>
      </c>
      <c r="Z46" s="344" t="n">
        <f aca="false">SUM(E46:Y46)</f>
        <v>458597.82591986</v>
      </c>
      <c r="AA46" s="338"/>
      <c r="AB46" s="300" t="n">
        <f aca="false">AB45+1</f>
        <v>40</v>
      </c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338"/>
      <c r="BD46" s="338"/>
      <c r="BE46" s="338"/>
      <c r="BF46" s="338"/>
      <c r="BG46" s="338"/>
      <c r="BH46" s="338"/>
      <c r="BI46" s="338"/>
      <c r="BJ46" s="338"/>
      <c r="BK46" s="338"/>
      <c r="BL46" s="338"/>
      <c r="BM46" s="338"/>
      <c r="BN46" s="338"/>
      <c r="BO46" s="338"/>
      <c r="BP46" s="338"/>
      <c r="BQ46" s="338"/>
      <c r="BR46" s="338"/>
      <c r="BS46" s="338"/>
      <c r="BT46" s="338"/>
      <c r="BU46" s="338"/>
      <c r="BV46" s="338"/>
      <c r="BW46" s="338"/>
      <c r="BX46" s="338"/>
      <c r="BY46" s="338"/>
      <c r="BZ46" s="338"/>
      <c r="CA46" s="338"/>
      <c r="CB46" s="338"/>
      <c r="CC46" s="338"/>
      <c r="CD46" s="338"/>
      <c r="CE46" s="338"/>
      <c r="CF46" s="338"/>
      <c r="CG46" s="338"/>
      <c r="CH46" s="338"/>
      <c r="CI46" s="338"/>
      <c r="CJ46" s="338"/>
      <c r="CK46" s="338"/>
      <c r="CL46" s="338"/>
      <c r="CM46" s="338"/>
      <c r="CN46" s="338"/>
      <c r="CO46" s="338"/>
      <c r="CP46" s="338"/>
      <c r="CQ46" s="338"/>
      <c r="CR46" s="338"/>
      <c r="CS46" s="338"/>
      <c r="CT46" s="338"/>
      <c r="CU46" s="338"/>
      <c r="CV46" s="338"/>
      <c r="CW46" s="338"/>
      <c r="CX46" s="338"/>
      <c r="CY46" s="338"/>
      <c r="CZ46" s="338"/>
      <c r="DA46" s="338"/>
      <c r="DB46" s="338"/>
      <c r="DC46" s="338"/>
      <c r="DD46" s="338"/>
      <c r="DE46" s="338"/>
      <c r="DF46" s="338"/>
      <c r="DG46" s="338"/>
      <c r="DH46" s="338"/>
      <c r="DI46" s="338"/>
      <c r="DJ46" s="338"/>
      <c r="DK46" s="338"/>
      <c r="DL46" s="338"/>
      <c r="DM46" s="338"/>
      <c r="DN46" s="338"/>
      <c r="DO46" s="338"/>
      <c r="DP46" s="338"/>
      <c r="DQ46" s="338"/>
      <c r="DR46" s="338"/>
      <c r="DS46" s="338"/>
      <c r="DT46" s="338"/>
      <c r="DU46" s="338"/>
      <c r="DV46" s="338"/>
      <c r="DW46" s="338"/>
      <c r="DX46" s="338"/>
      <c r="DY46" s="338"/>
      <c r="DZ46" s="338"/>
      <c r="EA46" s="338"/>
      <c r="EB46" s="338"/>
      <c r="EC46" s="338"/>
      <c r="ED46" s="338"/>
      <c r="EE46" s="338"/>
      <c r="EF46" s="338"/>
      <c r="EG46" s="338"/>
      <c r="EH46" s="338"/>
      <c r="EI46" s="338"/>
      <c r="EJ46" s="338"/>
      <c r="EK46" s="338"/>
      <c r="EL46" s="338"/>
      <c r="EM46" s="338"/>
      <c r="EN46" s="338"/>
      <c r="EO46" s="338"/>
      <c r="EP46" s="338"/>
      <c r="EQ46" s="338"/>
      <c r="ER46" s="338"/>
      <c r="ES46" s="338"/>
      <c r="ET46" s="338"/>
      <c r="EU46" s="338"/>
      <c r="EV46" s="338"/>
      <c r="EW46" s="338"/>
      <c r="EX46" s="338"/>
      <c r="EY46" s="338"/>
      <c r="EZ46" s="338"/>
      <c r="FA46" s="338"/>
      <c r="FB46" s="338"/>
      <c r="FC46" s="338"/>
      <c r="FD46" s="338"/>
      <c r="FE46" s="338"/>
      <c r="FF46" s="338"/>
      <c r="FG46" s="338"/>
      <c r="FH46" s="338"/>
      <c r="FI46" s="338"/>
      <c r="FJ46" s="338"/>
      <c r="FK46" s="338"/>
      <c r="FL46" s="338"/>
      <c r="FM46" s="338"/>
      <c r="FN46" s="338"/>
      <c r="FO46" s="338"/>
      <c r="FP46" s="338"/>
      <c r="FQ46" s="338"/>
      <c r="FR46" s="338"/>
      <c r="FS46" s="338"/>
      <c r="FT46" s="338"/>
      <c r="FU46" s="338"/>
      <c r="FV46" s="338"/>
      <c r="FW46" s="338"/>
      <c r="FX46" s="338"/>
      <c r="FY46" s="338"/>
      <c r="FZ46" s="338"/>
      <c r="GA46" s="338"/>
      <c r="GB46" s="338"/>
      <c r="GC46" s="338"/>
      <c r="GD46" s="338"/>
      <c r="GE46" s="338"/>
      <c r="GF46" s="338"/>
      <c r="GG46" s="338"/>
      <c r="GH46" s="338"/>
      <c r="GI46" s="338"/>
      <c r="GJ46" s="338"/>
      <c r="GK46" s="338"/>
      <c r="GL46" s="338"/>
      <c r="GM46" s="338"/>
      <c r="GN46" s="338"/>
      <c r="GO46" s="338"/>
      <c r="GP46" s="338"/>
      <c r="GQ46" s="338"/>
      <c r="GR46" s="338"/>
      <c r="GS46" s="338"/>
      <c r="GT46" s="338"/>
      <c r="GU46" s="338"/>
      <c r="GV46" s="338"/>
      <c r="GW46" s="338"/>
      <c r="GX46" s="338"/>
      <c r="GY46" s="338"/>
      <c r="GZ46" s="338"/>
      <c r="HA46" s="338"/>
      <c r="HB46" s="338"/>
      <c r="HC46" s="338"/>
      <c r="HD46" s="338"/>
      <c r="HE46" s="338"/>
      <c r="HF46" s="338"/>
      <c r="HG46" s="338"/>
      <c r="HH46" s="338"/>
      <c r="HI46" s="338"/>
      <c r="HJ46" s="338"/>
      <c r="HK46" s="338"/>
      <c r="HL46" s="338"/>
      <c r="HM46" s="338"/>
      <c r="HN46" s="338"/>
      <c r="HO46" s="338"/>
      <c r="HP46" s="338"/>
      <c r="HQ46" s="338"/>
      <c r="HR46" s="338"/>
      <c r="HS46" s="338"/>
      <c r="HT46" s="338"/>
      <c r="HU46" s="338"/>
      <c r="HV46" s="338"/>
      <c r="HW46" s="338"/>
      <c r="HX46" s="338"/>
      <c r="HY46" s="338"/>
      <c r="HZ46" s="338"/>
      <c r="IA46" s="338"/>
      <c r="IB46" s="338"/>
      <c r="IC46" s="338"/>
      <c r="ID46" s="338"/>
      <c r="IE46" s="338"/>
      <c r="IF46" s="338"/>
      <c r="IG46" s="338"/>
      <c r="IH46" s="338"/>
      <c r="II46" s="338"/>
      <c r="IJ46" s="338"/>
      <c r="IK46" s="338"/>
      <c r="IL46" s="338"/>
      <c r="IM46" s="338"/>
      <c r="IN46" s="338"/>
      <c r="IO46" s="338"/>
      <c r="IP46" s="338"/>
      <c r="IQ46" s="338"/>
      <c r="IR46" s="338"/>
      <c r="IS46" s="338"/>
      <c r="IT46" s="338"/>
      <c r="IU46" s="338"/>
      <c r="IV46" s="338"/>
      <c r="IW46" s="338"/>
    </row>
    <row r="47" customFormat="false" ht="12.75" hidden="false" customHeight="false" outlineLevel="0" collapsed="false">
      <c r="A47" s="327"/>
      <c r="B47" s="328" t="s">
        <v>343</v>
      </c>
      <c r="C47" s="341"/>
      <c r="D47" s="328"/>
      <c r="E47" s="339" t="n">
        <f aca="false">-Depr!H34</f>
        <v>-0</v>
      </c>
      <c r="F47" s="339" t="n">
        <f aca="false">-Depr!I34</f>
        <v>-0</v>
      </c>
      <c r="G47" s="339" t="n">
        <f aca="false">-Depr!J34</f>
        <v>-6008.74946235871</v>
      </c>
      <c r="H47" s="339" t="n">
        <f aca="false">-Depr!K34</f>
        <v>-7210.49935483045</v>
      </c>
      <c r="I47" s="339" t="n">
        <f aca="false">-Depr!L34</f>
        <v>-7210.49935483045</v>
      </c>
      <c r="J47" s="339" t="n">
        <f aca="false">-Depr!M34</f>
        <v>-7210.49935483045</v>
      </c>
      <c r="K47" s="339" t="n">
        <f aca="false">-Depr!N34</f>
        <v>-7210.49935483045</v>
      </c>
      <c r="L47" s="339" t="n">
        <f aca="false">-Depr!O34</f>
        <v>-7210.49935483045</v>
      </c>
      <c r="M47" s="339" t="n">
        <f aca="false">-Depr!P34</f>
        <v>-7210.49935483045</v>
      </c>
      <c r="N47" s="339" t="n">
        <f aca="false">-Depr!Q34</f>
        <v>-7210.49935483045</v>
      </c>
      <c r="O47" s="339" t="n">
        <f aca="false">-Depr!R34</f>
        <v>-7210.49935483045</v>
      </c>
      <c r="P47" s="339" t="n">
        <f aca="false">-Depr!S34</f>
        <v>-7210.49935483045</v>
      </c>
      <c r="Q47" s="339" t="n">
        <f aca="false">-Depr!T34</f>
        <v>-7210.49935483045</v>
      </c>
      <c r="R47" s="339" t="n">
        <f aca="false">-Depr!U34</f>
        <v>-7210.49935483045</v>
      </c>
      <c r="S47" s="339" t="n">
        <f aca="false">-Depr!V34</f>
        <v>-7210.49935483045</v>
      </c>
      <c r="T47" s="339" t="n">
        <f aca="false">-Depr!W34</f>
        <v>-7210.49935483045</v>
      </c>
      <c r="U47" s="339" t="n">
        <f aca="false">-Depr!X34</f>
        <v>-7210.49935483045</v>
      </c>
      <c r="V47" s="339" t="n">
        <f aca="false">-Depr!Y34</f>
        <v>-7210.49935483045</v>
      </c>
      <c r="W47" s="339" t="n">
        <f aca="false">-Depr!Z34</f>
        <v>-7210.49935483045</v>
      </c>
      <c r="X47" s="339" t="n">
        <f aca="false">-Depr!AA34</f>
        <v>-7210.49935483045</v>
      </c>
      <c r="Y47" s="339" t="n">
        <f aca="false">-Depr!AB34</f>
        <v>-2403.49978494348</v>
      </c>
      <c r="Z47" s="340" t="n">
        <f aca="false">SUM(E47:Y47)</f>
        <v>-130990.73827942</v>
      </c>
      <c r="AA47" s="346"/>
      <c r="AB47" s="300" t="n">
        <f aca="false">AB46+1</f>
        <v>41</v>
      </c>
      <c r="AC47" s="346"/>
      <c r="AD47" s="346"/>
      <c r="AE47" s="346"/>
      <c r="AF47" s="346"/>
      <c r="AG47" s="346"/>
      <c r="AH47" s="346"/>
      <c r="AI47" s="346"/>
      <c r="AJ47" s="346"/>
      <c r="AK47" s="346"/>
      <c r="AL47" s="346"/>
      <c r="AM47" s="346"/>
      <c r="AN47" s="346"/>
      <c r="AO47" s="346"/>
      <c r="AP47" s="346"/>
      <c r="AQ47" s="346"/>
      <c r="AR47" s="346"/>
      <c r="AS47" s="346"/>
      <c r="AT47" s="346"/>
      <c r="AU47" s="346"/>
      <c r="AV47" s="346"/>
      <c r="AW47" s="346"/>
      <c r="AX47" s="346"/>
      <c r="AY47" s="346"/>
      <c r="AZ47" s="346"/>
      <c r="BA47" s="346"/>
      <c r="BB47" s="346"/>
      <c r="BC47" s="346"/>
      <c r="BD47" s="346"/>
      <c r="BE47" s="346"/>
      <c r="BF47" s="346"/>
      <c r="BG47" s="346"/>
      <c r="BH47" s="346"/>
      <c r="BI47" s="346"/>
      <c r="BJ47" s="346"/>
      <c r="BK47" s="346"/>
      <c r="BL47" s="346"/>
      <c r="BM47" s="346"/>
      <c r="BN47" s="346"/>
      <c r="BO47" s="346"/>
      <c r="BP47" s="346"/>
      <c r="BQ47" s="346"/>
      <c r="BR47" s="346"/>
      <c r="BS47" s="346"/>
      <c r="BT47" s="346"/>
      <c r="BU47" s="346"/>
      <c r="BV47" s="346"/>
      <c r="BW47" s="346"/>
      <c r="BX47" s="346"/>
      <c r="BY47" s="346"/>
      <c r="BZ47" s="346"/>
      <c r="CA47" s="346"/>
      <c r="CB47" s="346"/>
      <c r="CC47" s="346"/>
      <c r="CD47" s="346"/>
      <c r="CE47" s="346"/>
      <c r="CF47" s="346"/>
      <c r="CG47" s="346"/>
      <c r="CH47" s="346"/>
      <c r="CI47" s="346"/>
      <c r="CJ47" s="346"/>
      <c r="CK47" s="346"/>
      <c r="CL47" s="346"/>
      <c r="CM47" s="346"/>
      <c r="CN47" s="346"/>
      <c r="CO47" s="346"/>
      <c r="CP47" s="346"/>
      <c r="CQ47" s="346"/>
      <c r="CR47" s="346"/>
      <c r="CS47" s="346"/>
      <c r="CT47" s="346"/>
      <c r="CU47" s="346"/>
      <c r="CV47" s="346"/>
      <c r="CW47" s="346"/>
      <c r="CX47" s="346"/>
      <c r="CY47" s="346"/>
      <c r="CZ47" s="346"/>
      <c r="DA47" s="346"/>
      <c r="DB47" s="346"/>
      <c r="DC47" s="346"/>
      <c r="DD47" s="346"/>
      <c r="DE47" s="346"/>
      <c r="DF47" s="346"/>
      <c r="DG47" s="346"/>
      <c r="DH47" s="346"/>
      <c r="DI47" s="346"/>
      <c r="DJ47" s="346"/>
      <c r="DK47" s="346"/>
      <c r="DL47" s="346"/>
      <c r="DM47" s="346"/>
      <c r="DN47" s="346"/>
      <c r="DO47" s="346"/>
      <c r="DP47" s="346"/>
      <c r="DQ47" s="346"/>
      <c r="DR47" s="346"/>
      <c r="DS47" s="346"/>
      <c r="DT47" s="346"/>
      <c r="DU47" s="346"/>
      <c r="DV47" s="346"/>
      <c r="DW47" s="346"/>
      <c r="DX47" s="346"/>
      <c r="DY47" s="346"/>
      <c r="DZ47" s="346"/>
      <c r="EA47" s="346"/>
      <c r="EB47" s="346"/>
      <c r="EC47" s="346"/>
      <c r="ED47" s="346"/>
      <c r="EE47" s="346"/>
      <c r="EF47" s="346"/>
      <c r="EG47" s="346"/>
      <c r="EH47" s="346"/>
      <c r="EI47" s="346"/>
      <c r="EJ47" s="346"/>
      <c r="EK47" s="346"/>
      <c r="EL47" s="346"/>
      <c r="EM47" s="346"/>
      <c r="EN47" s="346"/>
      <c r="EO47" s="346"/>
      <c r="EP47" s="346"/>
      <c r="EQ47" s="346"/>
      <c r="ER47" s="346"/>
      <c r="ES47" s="346"/>
      <c r="ET47" s="346"/>
      <c r="EU47" s="346"/>
      <c r="EV47" s="346"/>
      <c r="EW47" s="346"/>
      <c r="EX47" s="346"/>
      <c r="EY47" s="346"/>
      <c r="EZ47" s="346"/>
      <c r="FA47" s="346"/>
      <c r="FB47" s="346"/>
      <c r="FC47" s="346"/>
      <c r="FD47" s="346"/>
      <c r="FE47" s="346"/>
      <c r="FF47" s="346"/>
      <c r="FG47" s="346"/>
      <c r="FH47" s="346"/>
      <c r="FI47" s="346"/>
      <c r="FJ47" s="346"/>
      <c r="FK47" s="346"/>
      <c r="FL47" s="346"/>
      <c r="FM47" s="346"/>
      <c r="FN47" s="346"/>
      <c r="FO47" s="346"/>
      <c r="FP47" s="346"/>
      <c r="FQ47" s="346"/>
      <c r="FR47" s="346"/>
      <c r="FS47" s="346"/>
      <c r="FT47" s="346"/>
      <c r="FU47" s="346"/>
      <c r="FV47" s="346"/>
      <c r="FW47" s="346"/>
      <c r="FX47" s="346"/>
      <c r="FY47" s="346"/>
      <c r="FZ47" s="346"/>
      <c r="GA47" s="346"/>
      <c r="GB47" s="346"/>
      <c r="GC47" s="346"/>
      <c r="GD47" s="346"/>
      <c r="GE47" s="346"/>
      <c r="GF47" s="346"/>
      <c r="GG47" s="346"/>
      <c r="GH47" s="346"/>
      <c r="GI47" s="346"/>
      <c r="GJ47" s="346"/>
      <c r="GK47" s="346"/>
      <c r="GL47" s="346"/>
      <c r="GM47" s="346"/>
      <c r="GN47" s="346"/>
      <c r="GO47" s="346"/>
      <c r="GP47" s="346"/>
      <c r="GQ47" s="346"/>
      <c r="GR47" s="346"/>
      <c r="GS47" s="346"/>
      <c r="GT47" s="346"/>
      <c r="GU47" s="346"/>
      <c r="GV47" s="346"/>
      <c r="GW47" s="346"/>
      <c r="GX47" s="346"/>
      <c r="GY47" s="346"/>
      <c r="GZ47" s="346"/>
      <c r="HA47" s="346"/>
      <c r="HB47" s="346"/>
      <c r="HC47" s="346"/>
      <c r="HD47" s="346"/>
      <c r="HE47" s="346"/>
      <c r="HF47" s="346"/>
      <c r="HG47" s="346"/>
      <c r="HH47" s="346"/>
      <c r="HI47" s="346"/>
      <c r="HJ47" s="346"/>
      <c r="HK47" s="346"/>
      <c r="HL47" s="346"/>
      <c r="HM47" s="346"/>
      <c r="HN47" s="346"/>
      <c r="HO47" s="346"/>
      <c r="HP47" s="346"/>
      <c r="HQ47" s="346"/>
      <c r="HR47" s="346"/>
      <c r="HS47" s="346"/>
      <c r="HT47" s="346"/>
      <c r="HU47" s="346"/>
      <c r="HV47" s="346"/>
      <c r="HW47" s="346"/>
      <c r="HX47" s="346"/>
      <c r="HY47" s="346"/>
      <c r="HZ47" s="346"/>
      <c r="IA47" s="346"/>
      <c r="IB47" s="346"/>
      <c r="IC47" s="346"/>
      <c r="ID47" s="346"/>
      <c r="IE47" s="346"/>
      <c r="IF47" s="346"/>
      <c r="IG47" s="346"/>
      <c r="IH47" s="346"/>
      <c r="II47" s="346"/>
      <c r="IJ47" s="346"/>
      <c r="IK47" s="346"/>
      <c r="IL47" s="346"/>
      <c r="IM47" s="346"/>
      <c r="IN47" s="346"/>
      <c r="IO47" s="346"/>
      <c r="IP47" s="346"/>
      <c r="IQ47" s="346"/>
      <c r="IR47" s="346"/>
      <c r="IS47" s="346"/>
      <c r="IT47" s="346"/>
      <c r="IU47" s="346"/>
      <c r="IV47" s="346"/>
      <c r="IW47" s="346"/>
    </row>
    <row r="48" customFormat="false" ht="12.75" hidden="false" customHeight="false" outlineLevel="0" collapsed="false">
      <c r="A48" s="327"/>
      <c r="B48" s="328"/>
      <c r="C48" s="341"/>
      <c r="D48" s="328"/>
      <c r="E48" s="339"/>
      <c r="F48" s="339"/>
      <c r="G48" s="339"/>
      <c r="H48" s="339"/>
      <c r="I48" s="339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340"/>
      <c r="AA48" s="346"/>
      <c r="AB48" s="300" t="n">
        <f aca="false">AB47+1</f>
        <v>42</v>
      </c>
      <c r="AC48" s="346"/>
      <c r="AD48" s="346"/>
      <c r="AE48" s="346"/>
      <c r="AF48" s="346"/>
      <c r="AG48" s="346"/>
      <c r="AH48" s="346"/>
      <c r="AI48" s="346"/>
      <c r="AJ48" s="346"/>
      <c r="AK48" s="346"/>
      <c r="AL48" s="346"/>
      <c r="AM48" s="346"/>
      <c r="AN48" s="346"/>
      <c r="AO48" s="346"/>
      <c r="AP48" s="346"/>
      <c r="AQ48" s="346"/>
      <c r="AR48" s="346"/>
      <c r="AS48" s="346"/>
      <c r="AT48" s="346"/>
      <c r="AU48" s="346"/>
      <c r="AV48" s="346"/>
      <c r="AW48" s="346"/>
      <c r="AX48" s="346"/>
      <c r="AY48" s="346"/>
      <c r="AZ48" s="346"/>
      <c r="BA48" s="346"/>
      <c r="BB48" s="346"/>
      <c r="BC48" s="346"/>
      <c r="BD48" s="346"/>
      <c r="BE48" s="346"/>
      <c r="BF48" s="346"/>
      <c r="BG48" s="346"/>
      <c r="BH48" s="346"/>
      <c r="BI48" s="346"/>
      <c r="BJ48" s="346"/>
      <c r="BK48" s="346"/>
      <c r="BL48" s="346"/>
      <c r="BM48" s="346"/>
      <c r="BN48" s="346"/>
      <c r="BO48" s="346"/>
      <c r="BP48" s="346"/>
      <c r="BQ48" s="346"/>
      <c r="BR48" s="346"/>
      <c r="BS48" s="346"/>
      <c r="BT48" s="346"/>
      <c r="BU48" s="346"/>
      <c r="BV48" s="346"/>
      <c r="BW48" s="346"/>
      <c r="BX48" s="346"/>
      <c r="BY48" s="346"/>
      <c r="BZ48" s="346"/>
      <c r="CA48" s="346"/>
      <c r="CB48" s="346"/>
      <c r="CC48" s="346"/>
      <c r="CD48" s="346"/>
      <c r="CE48" s="346"/>
      <c r="CF48" s="346"/>
      <c r="CG48" s="346"/>
      <c r="CH48" s="346"/>
      <c r="CI48" s="346"/>
      <c r="CJ48" s="346"/>
      <c r="CK48" s="346"/>
      <c r="CL48" s="346"/>
      <c r="CM48" s="346"/>
      <c r="CN48" s="346"/>
      <c r="CO48" s="346"/>
      <c r="CP48" s="346"/>
      <c r="CQ48" s="346"/>
      <c r="CR48" s="346"/>
      <c r="CS48" s="346"/>
      <c r="CT48" s="346"/>
      <c r="CU48" s="346"/>
      <c r="CV48" s="346"/>
      <c r="CW48" s="346"/>
      <c r="CX48" s="346"/>
      <c r="CY48" s="346"/>
      <c r="CZ48" s="346"/>
      <c r="DA48" s="346"/>
      <c r="DB48" s="346"/>
      <c r="DC48" s="346"/>
      <c r="DD48" s="346"/>
      <c r="DE48" s="346"/>
      <c r="DF48" s="346"/>
      <c r="DG48" s="346"/>
      <c r="DH48" s="346"/>
      <c r="DI48" s="346"/>
      <c r="DJ48" s="346"/>
      <c r="DK48" s="346"/>
      <c r="DL48" s="346"/>
      <c r="DM48" s="346"/>
      <c r="DN48" s="346"/>
      <c r="DO48" s="346"/>
      <c r="DP48" s="346"/>
      <c r="DQ48" s="346"/>
      <c r="DR48" s="346"/>
      <c r="DS48" s="346"/>
      <c r="DT48" s="346"/>
      <c r="DU48" s="346"/>
      <c r="DV48" s="346"/>
      <c r="DW48" s="346"/>
      <c r="DX48" s="346"/>
      <c r="DY48" s="346"/>
      <c r="DZ48" s="346"/>
      <c r="EA48" s="346"/>
      <c r="EB48" s="346"/>
      <c r="EC48" s="346"/>
      <c r="ED48" s="346"/>
      <c r="EE48" s="346"/>
      <c r="EF48" s="346"/>
      <c r="EG48" s="346"/>
      <c r="EH48" s="346"/>
      <c r="EI48" s="346"/>
      <c r="EJ48" s="346"/>
      <c r="EK48" s="346"/>
      <c r="EL48" s="346"/>
      <c r="EM48" s="346"/>
      <c r="EN48" s="346"/>
      <c r="EO48" s="346"/>
      <c r="EP48" s="346"/>
      <c r="EQ48" s="346"/>
      <c r="ER48" s="346"/>
      <c r="ES48" s="346"/>
      <c r="ET48" s="346"/>
      <c r="EU48" s="346"/>
      <c r="EV48" s="346"/>
      <c r="EW48" s="346"/>
      <c r="EX48" s="346"/>
      <c r="EY48" s="346"/>
      <c r="EZ48" s="346"/>
      <c r="FA48" s="346"/>
      <c r="FB48" s="346"/>
      <c r="FC48" s="346"/>
      <c r="FD48" s="346"/>
      <c r="FE48" s="346"/>
      <c r="FF48" s="346"/>
      <c r="FG48" s="346"/>
      <c r="FH48" s="346"/>
      <c r="FI48" s="346"/>
      <c r="FJ48" s="346"/>
      <c r="FK48" s="346"/>
      <c r="FL48" s="346"/>
      <c r="FM48" s="346"/>
      <c r="FN48" s="346"/>
      <c r="FO48" s="346"/>
      <c r="FP48" s="346"/>
      <c r="FQ48" s="346"/>
      <c r="FR48" s="346"/>
      <c r="FS48" s="346"/>
      <c r="FT48" s="346"/>
      <c r="FU48" s="346"/>
      <c r="FV48" s="346"/>
      <c r="FW48" s="346"/>
      <c r="FX48" s="346"/>
      <c r="FY48" s="346"/>
      <c r="FZ48" s="346"/>
      <c r="GA48" s="346"/>
      <c r="GB48" s="346"/>
      <c r="GC48" s="346"/>
      <c r="GD48" s="346"/>
      <c r="GE48" s="346"/>
      <c r="GF48" s="346"/>
      <c r="GG48" s="346"/>
      <c r="GH48" s="346"/>
      <c r="GI48" s="346"/>
      <c r="GJ48" s="346"/>
      <c r="GK48" s="346"/>
      <c r="GL48" s="346"/>
      <c r="GM48" s="346"/>
      <c r="GN48" s="346"/>
      <c r="GO48" s="346"/>
      <c r="GP48" s="346"/>
      <c r="GQ48" s="346"/>
      <c r="GR48" s="346"/>
      <c r="GS48" s="346"/>
      <c r="GT48" s="346"/>
      <c r="GU48" s="346"/>
      <c r="GV48" s="346"/>
      <c r="GW48" s="346"/>
      <c r="GX48" s="346"/>
      <c r="GY48" s="346"/>
      <c r="GZ48" s="346"/>
      <c r="HA48" s="346"/>
      <c r="HB48" s="346"/>
      <c r="HC48" s="346"/>
      <c r="HD48" s="346"/>
      <c r="HE48" s="346"/>
      <c r="HF48" s="346"/>
      <c r="HG48" s="346"/>
      <c r="HH48" s="346"/>
      <c r="HI48" s="346"/>
      <c r="HJ48" s="346"/>
      <c r="HK48" s="346"/>
      <c r="HL48" s="346"/>
      <c r="HM48" s="346"/>
      <c r="HN48" s="346"/>
      <c r="HO48" s="346"/>
      <c r="HP48" s="346"/>
      <c r="HQ48" s="346"/>
      <c r="HR48" s="346"/>
      <c r="HS48" s="346"/>
      <c r="HT48" s="346"/>
      <c r="HU48" s="346"/>
      <c r="HV48" s="346"/>
      <c r="HW48" s="346"/>
      <c r="HX48" s="346"/>
      <c r="HY48" s="346"/>
      <c r="HZ48" s="346"/>
      <c r="IA48" s="346"/>
      <c r="IB48" s="346"/>
      <c r="IC48" s="346"/>
      <c r="ID48" s="346"/>
      <c r="IE48" s="346"/>
      <c r="IF48" s="346"/>
      <c r="IG48" s="346"/>
      <c r="IH48" s="346"/>
      <c r="II48" s="346"/>
      <c r="IJ48" s="346"/>
      <c r="IK48" s="346"/>
      <c r="IL48" s="346"/>
      <c r="IM48" s="346"/>
      <c r="IN48" s="346"/>
      <c r="IO48" s="346"/>
      <c r="IP48" s="346"/>
      <c r="IQ48" s="346"/>
      <c r="IR48" s="346"/>
      <c r="IS48" s="346"/>
      <c r="IT48" s="346"/>
      <c r="IU48" s="346"/>
      <c r="IV48" s="346"/>
      <c r="IW48" s="346"/>
    </row>
    <row r="49" customFormat="false" ht="12.75" hidden="false" customHeight="false" outlineLevel="0" collapsed="false">
      <c r="A49" s="345" t="s">
        <v>344</v>
      </c>
      <c r="B49" s="341"/>
      <c r="C49" s="328"/>
      <c r="D49" s="341"/>
      <c r="E49" s="342" t="n">
        <f aca="false">SUM(E46:E47)</f>
        <v>0</v>
      </c>
      <c r="F49" s="342" t="n">
        <f aca="false">SUM(F46:F47)</f>
        <v>-13.2759999379246</v>
      </c>
      <c r="G49" s="342" t="n">
        <f aca="false">SUM(G46:G47)</f>
        <v>2595.44683569774</v>
      </c>
      <c r="H49" s="342" t="n">
        <f aca="false">SUM(H46:H47)</f>
        <v>7010.43869033151</v>
      </c>
      <c r="I49" s="342" t="n">
        <f aca="false">SUM(I46:I47)</f>
        <v>6355.14164481222</v>
      </c>
      <c r="J49" s="342" t="n">
        <f aca="false">SUM(J46:J47)</f>
        <v>11888.9318981939</v>
      </c>
      <c r="K49" s="342" t="n">
        <f aca="false">SUM(K46:K47)</f>
        <v>12169.1154931102</v>
      </c>
      <c r="L49" s="342" t="n">
        <f aca="false">SUM(L46:L47)</f>
        <v>16226.6498306247</v>
      </c>
      <c r="M49" s="342" t="n">
        <f aca="false">SUM(M46:M47)</f>
        <v>17134.2083122704</v>
      </c>
      <c r="N49" s="342" t="n">
        <f aca="false">SUM(N46:N47)</f>
        <v>17274.9887376289</v>
      </c>
      <c r="O49" s="342" t="n">
        <f aca="false">SUM(O46:O47)</f>
        <v>18619.6540602012</v>
      </c>
      <c r="P49" s="342" t="n">
        <f aca="false">SUM(P46:P47)</f>
        <v>19386.6562668004</v>
      </c>
      <c r="Q49" s="342" t="n">
        <f aca="false">SUM(Q46:Q47)</f>
        <v>20468.9591798957</v>
      </c>
      <c r="R49" s="342" t="n">
        <f aca="false">SUM(R46:R47)</f>
        <v>22328.3601338306</v>
      </c>
      <c r="S49" s="342" t="n">
        <f aca="false">SUM(S46:S47)</f>
        <v>20799.7315539214</v>
      </c>
      <c r="T49" s="342" t="n">
        <f aca="false">SUM(T46:T47)</f>
        <v>23384.6184625533</v>
      </c>
      <c r="U49" s="342" t="n">
        <f aca="false">SUM(U46:U47)</f>
        <v>24248.0679077824</v>
      </c>
      <c r="V49" s="342" t="n">
        <f aca="false">SUM(V46:V47)</f>
        <v>25095.5835249039</v>
      </c>
      <c r="W49" s="342" t="n">
        <f aca="false">SUM(W46:W47)</f>
        <v>26171.3142554706</v>
      </c>
      <c r="X49" s="342" t="n">
        <f aca="false">SUM(X46:X47)</f>
        <v>27337.2046823972</v>
      </c>
      <c r="Y49" s="342" t="n">
        <f aca="false">SUM(Y46:Y47)</f>
        <v>9125.29216995186</v>
      </c>
      <c r="Z49" s="344" t="n">
        <f aca="false">SUM(E49:Y49)</f>
        <v>327607.08764044</v>
      </c>
      <c r="AA49" s="338"/>
      <c r="AB49" s="300" t="n">
        <f aca="false">AB48+1</f>
        <v>43</v>
      </c>
      <c r="AC49" s="338"/>
      <c r="AD49" s="338"/>
      <c r="AE49" s="338"/>
      <c r="AF49" s="338"/>
      <c r="AG49" s="338"/>
      <c r="AH49" s="338"/>
      <c r="AI49" s="338"/>
      <c r="AJ49" s="338"/>
      <c r="AK49" s="338"/>
      <c r="AL49" s="338"/>
      <c r="AM49" s="338"/>
      <c r="AN49" s="338"/>
      <c r="AO49" s="338"/>
      <c r="AP49" s="338"/>
      <c r="AQ49" s="338"/>
      <c r="AR49" s="338"/>
      <c r="AS49" s="338"/>
      <c r="AT49" s="338"/>
      <c r="AU49" s="338"/>
      <c r="AV49" s="338"/>
      <c r="AW49" s="338"/>
      <c r="AX49" s="338"/>
      <c r="AY49" s="338"/>
      <c r="AZ49" s="338"/>
      <c r="BA49" s="338"/>
      <c r="BB49" s="338"/>
      <c r="BC49" s="338"/>
      <c r="BD49" s="338"/>
      <c r="BE49" s="338"/>
      <c r="BF49" s="338"/>
      <c r="BG49" s="338"/>
      <c r="BH49" s="338"/>
      <c r="BI49" s="338"/>
      <c r="BJ49" s="338"/>
      <c r="BK49" s="338"/>
      <c r="BL49" s="338"/>
      <c r="BM49" s="338"/>
      <c r="BN49" s="338"/>
      <c r="BO49" s="338"/>
      <c r="BP49" s="338"/>
      <c r="BQ49" s="338"/>
      <c r="BR49" s="338"/>
      <c r="BS49" s="338"/>
      <c r="BT49" s="338"/>
      <c r="BU49" s="338"/>
      <c r="BV49" s="338"/>
      <c r="BW49" s="338"/>
      <c r="BX49" s="338"/>
      <c r="BY49" s="338"/>
      <c r="BZ49" s="338"/>
      <c r="CA49" s="338"/>
      <c r="CB49" s="338"/>
      <c r="CC49" s="338"/>
      <c r="CD49" s="338"/>
      <c r="CE49" s="338"/>
      <c r="CF49" s="338"/>
      <c r="CG49" s="338"/>
      <c r="CH49" s="338"/>
      <c r="CI49" s="338"/>
      <c r="CJ49" s="338"/>
      <c r="CK49" s="338"/>
      <c r="CL49" s="338"/>
      <c r="CM49" s="338"/>
      <c r="CN49" s="338"/>
      <c r="CO49" s="338"/>
      <c r="CP49" s="338"/>
      <c r="CQ49" s="338"/>
      <c r="CR49" s="338"/>
      <c r="CS49" s="338"/>
      <c r="CT49" s="338"/>
      <c r="CU49" s="338"/>
      <c r="CV49" s="338"/>
      <c r="CW49" s="338"/>
      <c r="CX49" s="338"/>
      <c r="CY49" s="338"/>
      <c r="CZ49" s="338"/>
      <c r="DA49" s="338"/>
      <c r="DB49" s="338"/>
      <c r="DC49" s="338"/>
      <c r="DD49" s="338"/>
      <c r="DE49" s="338"/>
      <c r="DF49" s="338"/>
      <c r="DG49" s="338"/>
      <c r="DH49" s="338"/>
      <c r="DI49" s="338"/>
      <c r="DJ49" s="338"/>
      <c r="DK49" s="338"/>
      <c r="DL49" s="338"/>
      <c r="DM49" s="338"/>
      <c r="DN49" s="338"/>
      <c r="DO49" s="338"/>
      <c r="DP49" s="338"/>
      <c r="DQ49" s="338"/>
      <c r="DR49" s="338"/>
      <c r="DS49" s="338"/>
      <c r="DT49" s="338"/>
      <c r="DU49" s="338"/>
      <c r="DV49" s="338"/>
      <c r="DW49" s="338"/>
      <c r="DX49" s="338"/>
      <c r="DY49" s="338"/>
      <c r="DZ49" s="338"/>
      <c r="EA49" s="338"/>
      <c r="EB49" s="338"/>
      <c r="EC49" s="338"/>
      <c r="ED49" s="338"/>
      <c r="EE49" s="338"/>
      <c r="EF49" s="338"/>
      <c r="EG49" s="338"/>
      <c r="EH49" s="338"/>
      <c r="EI49" s="338"/>
      <c r="EJ49" s="338"/>
      <c r="EK49" s="338"/>
      <c r="EL49" s="338"/>
      <c r="EM49" s="338"/>
      <c r="EN49" s="338"/>
      <c r="EO49" s="338"/>
      <c r="EP49" s="338"/>
      <c r="EQ49" s="338"/>
      <c r="ER49" s="338"/>
      <c r="ES49" s="338"/>
      <c r="ET49" s="338"/>
      <c r="EU49" s="338"/>
      <c r="EV49" s="338"/>
      <c r="EW49" s="338"/>
      <c r="EX49" s="338"/>
      <c r="EY49" s="338"/>
      <c r="EZ49" s="338"/>
      <c r="FA49" s="338"/>
      <c r="FB49" s="338"/>
      <c r="FC49" s="338"/>
      <c r="FD49" s="338"/>
      <c r="FE49" s="338"/>
      <c r="FF49" s="338"/>
      <c r="FG49" s="338"/>
      <c r="FH49" s="338"/>
      <c r="FI49" s="338"/>
      <c r="FJ49" s="338"/>
      <c r="FK49" s="338"/>
      <c r="FL49" s="338"/>
      <c r="FM49" s="338"/>
      <c r="FN49" s="338"/>
      <c r="FO49" s="338"/>
      <c r="FP49" s="338"/>
      <c r="FQ49" s="338"/>
      <c r="FR49" s="338"/>
      <c r="FS49" s="338"/>
      <c r="FT49" s="338"/>
      <c r="FU49" s="338"/>
      <c r="FV49" s="338"/>
      <c r="FW49" s="338"/>
      <c r="FX49" s="338"/>
      <c r="FY49" s="338"/>
      <c r="FZ49" s="338"/>
      <c r="GA49" s="338"/>
      <c r="GB49" s="338"/>
      <c r="GC49" s="338"/>
      <c r="GD49" s="338"/>
      <c r="GE49" s="338"/>
      <c r="GF49" s="338"/>
      <c r="GG49" s="338"/>
      <c r="GH49" s="338"/>
      <c r="GI49" s="338"/>
      <c r="GJ49" s="338"/>
      <c r="GK49" s="338"/>
      <c r="GL49" s="338"/>
      <c r="GM49" s="338"/>
      <c r="GN49" s="338"/>
      <c r="GO49" s="338"/>
      <c r="GP49" s="338"/>
      <c r="GQ49" s="338"/>
      <c r="GR49" s="338"/>
      <c r="GS49" s="338"/>
      <c r="GT49" s="338"/>
      <c r="GU49" s="338"/>
      <c r="GV49" s="338"/>
      <c r="GW49" s="338"/>
      <c r="GX49" s="338"/>
      <c r="GY49" s="338"/>
      <c r="GZ49" s="338"/>
      <c r="HA49" s="338"/>
      <c r="HB49" s="338"/>
      <c r="HC49" s="338"/>
      <c r="HD49" s="338"/>
      <c r="HE49" s="338"/>
      <c r="HF49" s="338"/>
      <c r="HG49" s="338"/>
      <c r="HH49" s="338"/>
      <c r="HI49" s="338"/>
      <c r="HJ49" s="338"/>
      <c r="HK49" s="338"/>
      <c r="HL49" s="338"/>
      <c r="HM49" s="338"/>
      <c r="HN49" s="338"/>
      <c r="HO49" s="338"/>
      <c r="HP49" s="338"/>
      <c r="HQ49" s="338"/>
      <c r="HR49" s="338"/>
      <c r="HS49" s="338"/>
      <c r="HT49" s="338"/>
      <c r="HU49" s="338"/>
      <c r="HV49" s="338"/>
      <c r="HW49" s="338"/>
      <c r="HX49" s="338"/>
      <c r="HY49" s="338"/>
      <c r="HZ49" s="338"/>
      <c r="IA49" s="338"/>
      <c r="IB49" s="338"/>
      <c r="IC49" s="338"/>
      <c r="ID49" s="338"/>
      <c r="IE49" s="338"/>
      <c r="IF49" s="338"/>
      <c r="IG49" s="338"/>
      <c r="IH49" s="338"/>
      <c r="II49" s="338"/>
      <c r="IJ49" s="338"/>
      <c r="IK49" s="338"/>
      <c r="IL49" s="338"/>
      <c r="IM49" s="338"/>
      <c r="IN49" s="338"/>
      <c r="IO49" s="338"/>
      <c r="IP49" s="338"/>
      <c r="IQ49" s="338"/>
      <c r="IR49" s="338"/>
      <c r="IS49" s="338"/>
      <c r="IT49" s="338"/>
      <c r="IU49" s="338"/>
      <c r="IV49" s="338"/>
      <c r="IW49" s="338"/>
    </row>
    <row r="50" customFormat="false" ht="12.75" hidden="false" customHeight="false" outlineLevel="0" collapsed="false">
      <c r="A50" s="327"/>
      <c r="B50" s="328" t="s">
        <v>345</v>
      </c>
      <c r="C50" s="341"/>
      <c r="D50" s="328"/>
      <c r="E50" s="326" t="n">
        <f aca="false">-'Debt Amort'!E12</f>
        <v>-0</v>
      </c>
      <c r="F50" s="326" t="n">
        <f aca="false">-'Debt Amort'!F12</f>
        <v>-0</v>
      </c>
      <c r="G50" s="326" t="n">
        <f aca="false">-'Debt Amort'!G12</f>
        <v>-4298.96714648815</v>
      </c>
      <c r="H50" s="326" t="n">
        <f aca="false">-'Debt Amort'!H12</f>
        <v>-10278.8341320822</v>
      </c>
      <c r="I50" s="326" t="n">
        <f aca="false">-'Debt Amort'!I12</f>
        <v>-10097.1831177218</v>
      </c>
      <c r="J50" s="326" t="n">
        <f aca="false">-'Debt Amort'!J12</f>
        <v>-9716.17180091018</v>
      </c>
      <c r="K50" s="326" t="n">
        <f aca="false">-'Debt Amort'!K12</f>
        <v>-8941.28665758468</v>
      </c>
      <c r="L50" s="326" t="n">
        <f aca="false">-'Debt Amort'!L12</f>
        <v>-7982.22639204565</v>
      </c>
      <c r="M50" s="326" t="n">
        <f aca="false">-'Debt Amort'!M12</f>
        <v>-6883.62165293162</v>
      </c>
      <c r="N50" s="326" t="n">
        <f aca="false">-'Debt Amort'!N12</f>
        <v>-5746.3262094992</v>
      </c>
      <c r="O50" s="326" t="n">
        <f aca="false">-'Debt Amort'!O12</f>
        <v>-5020.69986001448</v>
      </c>
      <c r="P50" s="326" t="n">
        <f aca="false">-'Debt Amort'!P12</f>
        <v>-4432.29654184567</v>
      </c>
      <c r="Q50" s="326" t="n">
        <f aca="false">-'Debt Amort'!Q12</f>
        <v>-3843.89322367685</v>
      </c>
      <c r="R50" s="326" t="n">
        <f aca="false">-'Debt Amort'!R12</f>
        <v>-3049.65535853418</v>
      </c>
      <c r="S50" s="326" t="n">
        <f aca="false">-'Debt Amort'!S12</f>
        <v>-2186.80597773356</v>
      </c>
      <c r="T50" s="326" t="n">
        <f aca="false">-'Debt Amort'!T12</f>
        <v>-1323.95659693294</v>
      </c>
      <c r="U50" s="326" t="n">
        <f aca="false">-'Debt Amort'!U12</f>
        <v>-403.071159654731</v>
      </c>
      <c r="V50" s="326" t="n">
        <f aca="false">-'Debt Amort'!V12</f>
        <v>-0</v>
      </c>
      <c r="W50" s="326" t="n">
        <f aca="false">-'Debt Amort'!W12</f>
        <v>-0</v>
      </c>
      <c r="X50" s="326" t="n">
        <f aca="false">-'Debt Amort'!X12</f>
        <v>-0</v>
      </c>
      <c r="Y50" s="326" t="n">
        <f aca="false">-'Debt Amort'!Y12</f>
        <v>-0</v>
      </c>
      <c r="Z50" s="330" t="n">
        <f aca="false">SUM(E50:Y50)</f>
        <v>-84204.9958276558</v>
      </c>
      <c r="AA50" s="346"/>
      <c r="AB50" s="300" t="n">
        <f aca="false">AB49+1</f>
        <v>44</v>
      </c>
      <c r="AC50" s="346"/>
      <c r="AD50" s="346"/>
      <c r="AE50" s="346"/>
      <c r="AF50" s="346"/>
      <c r="AG50" s="346"/>
      <c r="AH50" s="346"/>
      <c r="AI50" s="346"/>
      <c r="AJ50" s="346"/>
      <c r="AK50" s="346"/>
      <c r="AL50" s="346"/>
      <c r="AM50" s="346"/>
      <c r="AN50" s="346"/>
      <c r="AO50" s="346"/>
      <c r="AP50" s="346"/>
      <c r="AQ50" s="346"/>
      <c r="AR50" s="346"/>
      <c r="AS50" s="346"/>
      <c r="AT50" s="346"/>
      <c r="AU50" s="346"/>
      <c r="AV50" s="346"/>
      <c r="AW50" s="346"/>
      <c r="AX50" s="346"/>
      <c r="AY50" s="346"/>
      <c r="AZ50" s="346"/>
      <c r="BA50" s="346"/>
      <c r="BB50" s="346"/>
      <c r="BC50" s="346"/>
      <c r="BD50" s="346"/>
      <c r="BE50" s="346"/>
      <c r="BF50" s="346"/>
      <c r="BG50" s="346"/>
      <c r="BH50" s="346"/>
      <c r="BI50" s="346"/>
      <c r="BJ50" s="346"/>
      <c r="BK50" s="346"/>
      <c r="BL50" s="346"/>
      <c r="BM50" s="346"/>
      <c r="BN50" s="346"/>
      <c r="BO50" s="346"/>
      <c r="BP50" s="346"/>
      <c r="BQ50" s="346"/>
      <c r="BR50" s="346"/>
      <c r="BS50" s="346"/>
      <c r="BT50" s="346"/>
      <c r="BU50" s="346"/>
      <c r="BV50" s="346"/>
      <c r="BW50" s="346"/>
      <c r="BX50" s="346"/>
      <c r="BY50" s="346"/>
      <c r="BZ50" s="346"/>
      <c r="CA50" s="346"/>
      <c r="CB50" s="346"/>
      <c r="CC50" s="346"/>
      <c r="CD50" s="346"/>
      <c r="CE50" s="346"/>
      <c r="CF50" s="346"/>
      <c r="CG50" s="346"/>
      <c r="CH50" s="346"/>
      <c r="CI50" s="346"/>
      <c r="CJ50" s="346"/>
      <c r="CK50" s="346"/>
      <c r="CL50" s="346"/>
      <c r="CM50" s="346"/>
      <c r="CN50" s="346"/>
      <c r="CO50" s="346"/>
      <c r="CP50" s="346"/>
      <c r="CQ50" s="346"/>
      <c r="CR50" s="346"/>
      <c r="CS50" s="346"/>
      <c r="CT50" s="346"/>
      <c r="CU50" s="346"/>
      <c r="CV50" s="346"/>
      <c r="CW50" s="346"/>
      <c r="CX50" s="346"/>
      <c r="CY50" s="346"/>
      <c r="CZ50" s="346"/>
      <c r="DA50" s="346"/>
      <c r="DB50" s="346"/>
      <c r="DC50" s="346"/>
      <c r="DD50" s="346"/>
      <c r="DE50" s="346"/>
      <c r="DF50" s="346"/>
      <c r="DG50" s="346"/>
      <c r="DH50" s="346"/>
      <c r="DI50" s="346"/>
      <c r="DJ50" s="346"/>
      <c r="DK50" s="346"/>
      <c r="DL50" s="346"/>
      <c r="DM50" s="346"/>
      <c r="DN50" s="346"/>
      <c r="DO50" s="346"/>
      <c r="DP50" s="346"/>
      <c r="DQ50" s="346"/>
      <c r="DR50" s="346"/>
      <c r="DS50" s="346"/>
      <c r="DT50" s="346"/>
      <c r="DU50" s="346"/>
      <c r="DV50" s="346"/>
      <c r="DW50" s="346"/>
      <c r="DX50" s="346"/>
      <c r="DY50" s="346"/>
      <c r="DZ50" s="346"/>
      <c r="EA50" s="346"/>
      <c r="EB50" s="346"/>
      <c r="EC50" s="346"/>
      <c r="ED50" s="346"/>
      <c r="EE50" s="346"/>
      <c r="EF50" s="346"/>
      <c r="EG50" s="346"/>
      <c r="EH50" s="346"/>
      <c r="EI50" s="346"/>
      <c r="EJ50" s="346"/>
      <c r="EK50" s="346"/>
      <c r="EL50" s="346"/>
      <c r="EM50" s="346"/>
      <c r="EN50" s="346"/>
      <c r="EO50" s="346"/>
      <c r="EP50" s="346"/>
      <c r="EQ50" s="346"/>
      <c r="ER50" s="346"/>
      <c r="ES50" s="346"/>
      <c r="ET50" s="346"/>
      <c r="EU50" s="346"/>
      <c r="EV50" s="346"/>
      <c r="EW50" s="346"/>
      <c r="EX50" s="346"/>
      <c r="EY50" s="346"/>
      <c r="EZ50" s="346"/>
      <c r="FA50" s="346"/>
      <c r="FB50" s="346"/>
      <c r="FC50" s="346"/>
      <c r="FD50" s="346"/>
      <c r="FE50" s="346"/>
      <c r="FF50" s="346"/>
      <c r="FG50" s="346"/>
      <c r="FH50" s="346"/>
      <c r="FI50" s="346"/>
      <c r="FJ50" s="346"/>
      <c r="FK50" s="346"/>
      <c r="FL50" s="346"/>
      <c r="FM50" s="346"/>
      <c r="FN50" s="346"/>
      <c r="FO50" s="346"/>
      <c r="FP50" s="346"/>
      <c r="FQ50" s="346"/>
      <c r="FR50" s="346"/>
      <c r="FS50" s="346"/>
      <c r="FT50" s="346"/>
      <c r="FU50" s="346"/>
      <c r="FV50" s="346"/>
      <c r="FW50" s="346"/>
      <c r="FX50" s="346"/>
      <c r="FY50" s="346"/>
      <c r="FZ50" s="346"/>
      <c r="GA50" s="346"/>
      <c r="GB50" s="346"/>
      <c r="GC50" s="346"/>
      <c r="GD50" s="346"/>
      <c r="GE50" s="346"/>
      <c r="GF50" s="346"/>
      <c r="GG50" s="346"/>
      <c r="GH50" s="346"/>
      <c r="GI50" s="346"/>
      <c r="GJ50" s="346"/>
      <c r="GK50" s="346"/>
      <c r="GL50" s="346"/>
      <c r="GM50" s="346"/>
      <c r="GN50" s="346"/>
      <c r="GO50" s="346"/>
      <c r="GP50" s="346"/>
      <c r="GQ50" s="346"/>
      <c r="GR50" s="346"/>
      <c r="GS50" s="346"/>
      <c r="GT50" s="346"/>
      <c r="GU50" s="346"/>
      <c r="GV50" s="346"/>
      <c r="GW50" s="346"/>
      <c r="GX50" s="346"/>
      <c r="GY50" s="346"/>
      <c r="GZ50" s="346"/>
      <c r="HA50" s="346"/>
      <c r="HB50" s="346"/>
      <c r="HC50" s="346"/>
      <c r="HD50" s="346"/>
      <c r="HE50" s="346"/>
      <c r="HF50" s="346"/>
      <c r="HG50" s="346"/>
      <c r="HH50" s="346"/>
      <c r="HI50" s="346"/>
      <c r="HJ50" s="346"/>
      <c r="HK50" s="346"/>
      <c r="HL50" s="346"/>
      <c r="HM50" s="346"/>
      <c r="HN50" s="346"/>
      <c r="HO50" s="346"/>
      <c r="HP50" s="346"/>
      <c r="HQ50" s="346"/>
      <c r="HR50" s="346"/>
      <c r="HS50" s="346"/>
      <c r="HT50" s="346"/>
      <c r="HU50" s="346"/>
      <c r="HV50" s="346"/>
      <c r="HW50" s="346"/>
      <c r="HX50" s="346"/>
      <c r="HY50" s="346"/>
      <c r="HZ50" s="346"/>
      <c r="IA50" s="346"/>
      <c r="IB50" s="346"/>
      <c r="IC50" s="346"/>
      <c r="ID50" s="346"/>
      <c r="IE50" s="346"/>
      <c r="IF50" s="346"/>
      <c r="IG50" s="346"/>
      <c r="IH50" s="346"/>
      <c r="II50" s="346"/>
      <c r="IJ50" s="346"/>
      <c r="IK50" s="346"/>
      <c r="IL50" s="346"/>
      <c r="IM50" s="346"/>
      <c r="IN50" s="346"/>
      <c r="IO50" s="346"/>
      <c r="IP50" s="346"/>
      <c r="IQ50" s="346"/>
      <c r="IR50" s="346"/>
      <c r="IS50" s="346"/>
      <c r="IT50" s="346"/>
      <c r="IU50" s="346"/>
      <c r="IV50" s="346"/>
      <c r="IW50" s="346"/>
    </row>
    <row r="51" customFormat="false" ht="12.75" hidden="false" customHeight="false" outlineLevel="0" collapsed="false">
      <c r="A51" s="327"/>
      <c r="B51" s="328" t="s">
        <v>346</v>
      </c>
      <c r="C51" s="341"/>
      <c r="D51" s="328"/>
      <c r="E51" s="326" t="n">
        <f aca="false">-'Debt Amort'!E20</f>
        <v>-0</v>
      </c>
      <c r="F51" s="326" t="n">
        <f aca="false">-'Debt Amort'!F20</f>
        <v>-0</v>
      </c>
      <c r="G51" s="326" t="n">
        <f aca="false">-'Debt Amort'!G20</f>
        <v>-133.988670626725</v>
      </c>
      <c r="H51" s="326" t="n">
        <f aca="false">-'Debt Amort'!H20</f>
        <v>-318.085158746824</v>
      </c>
      <c r="I51" s="326" t="n">
        <f aca="false">-'Debt Amort'!I20</f>
        <v>-303.213031196215</v>
      </c>
      <c r="J51" s="326" t="n">
        <f aca="false">-'Debt Amort'!J20</f>
        <v>-286.344692325125</v>
      </c>
      <c r="K51" s="326" t="n">
        <f aca="false">-'Debt Amort'!K20</f>
        <v>-267.212200669063</v>
      </c>
      <c r="L51" s="326" t="n">
        <f aca="false">-'Debt Amort'!L20</f>
        <v>-245.511650320467</v>
      </c>
      <c r="M51" s="326" t="n">
        <f aca="false">-'Debt Amort'!M20</f>
        <v>-220.89834360133</v>
      </c>
      <c r="N51" s="326" t="n">
        <f aca="false">-'Debt Amort'!N20</f>
        <v>-192.981315787816</v>
      </c>
      <c r="O51" s="326" t="n">
        <f aca="false">-'Debt Amort'!O20</f>
        <v>-161.317124916034</v>
      </c>
      <c r="P51" s="326" t="n">
        <f aca="false">-'Debt Amort'!P20</f>
        <v>-125.402808024487</v>
      </c>
      <c r="Q51" s="326" t="n">
        <f aca="false">-'Debt Amort'!Q20</f>
        <v>-84.667891948172</v>
      </c>
      <c r="R51" s="326" t="n">
        <f aca="false">-'Debt Amort'!R20</f>
        <v>-38.4653317615136</v>
      </c>
      <c r="S51" s="326" t="n">
        <f aca="false">-'Debt Amort'!S20</f>
        <v>-0</v>
      </c>
      <c r="T51" s="326" t="n">
        <f aca="false">-'Debt Amort'!T20</f>
        <v>-0</v>
      </c>
      <c r="U51" s="326" t="n">
        <f aca="false">-'Debt Amort'!U20</f>
        <v>-0</v>
      </c>
      <c r="V51" s="326" t="n">
        <f aca="false">-'Debt Amort'!V20</f>
        <v>-0</v>
      </c>
      <c r="W51" s="326" t="n">
        <f aca="false">-'Debt Amort'!W20</f>
        <v>-0</v>
      </c>
      <c r="X51" s="326" t="n">
        <f aca="false">-'Debt Amort'!X20</f>
        <v>-0</v>
      </c>
      <c r="Y51" s="326" t="n">
        <f aca="false">-'Debt Amort'!Y20</f>
        <v>-0</v>
      </c>
      <c r="Z51" s="330" t="n">
        <f aca="false">SUM(E51:Y51)</f>
        <v>-2378.08821992377</v>
      </c>
      <c r="AA51" s="346"/>
      <c r="AB51" s="300" t="n">
        <f aca="false">AB50+1</f>
        <v>45</v>
      </c>
      <c r="AC51" s="346"/>
      <c r="AD51" s="346"/>
      <c r="AE51" s="346"/>
      <c r="AF51" s="346"/>
      <c r="AG51" s="346"/>
      <c r="AH51" s="346"/>
      <c r="AI51" s="346"/>
      <c r="AJ51" s="346"/>
      <c r="AK51" s="346"/>
      <c r="AL51" s="346"/>
      <c r="AM51" s="346"/>
      <c r="AN51" s="346"/>
      <c r="AO51" s="346"/>
      <c r="AP51" s="346"/>
      <c r="AQ51" s="346"/>
      <c r="AR51" s="346"/>
      <c r="AS51" s="346"/>
      <c r="AT51" s="346"/>
      <c r="AU51" s="346"/>
      <c r="AV51" s="346"/>
      <c r="AW51" s="346"/>
      <c r="AX51" s="346"/>
      <c r="AY51" s="346"/>
      <c r="AZ51" s="346"/>
      <c r="BA51" s="346"/>
      <c r="BB51" s="346"/>
      <c r="BC51" s="346"/>
      <c r="BD51" s="346"/>
      <c r="BE51" s="346"/>
      <c r="BF51" s="346"/>
      <c r="BG51" s="346"/>
      <c r="BH51" s="346"/>
      <c r="BI51" s="346"/>
      <c r="BJ51" s="346"/>
      <c r="BK51" s="346"/>
      <c r="BL51" s="346"/>
      <c r="BM51" s="346"/>
      <c r="BN51" s="346"/>
      <c r="BO51" s="346"/>
      <c r="BP51" s="346"/>
      <c r="BQ51" s="346"/>
      <c r="BR51" s="346"/>
      <c r="BS51" s="346"/>
      <c r="BT51" s="346"/>
      <c r="BU51" s="346"/>
      <c r="BV51" s="346"/>
      <c r="BW51" s="346"/>
      <c r="BX51" s="346"/>
      <c r="BY51" s="346"/>
      <c r="BZ51" s="346"/>
      <c r="CA51" s="346"/>
      <c r="CB51" s="346"/>
      <c r="CC51" s="346"/>
      <c r="CD51" s="346"/>
      <c r="CE51" s="346"/>
      <c r="CF51" s="346"/>
      <c r="CG51" s="346"/>
      <c r="CH51" s="346"/>
      <c r="CI51" s="346"/>
      <c r="CJ51" s="346"/>
      <c r="CK51" s="346"/>
      <c r="CL51" s="346"/>
      <c r="CM51" s="346"/>
      <c r="CN51" s="346"/>
      <c r="CO51" s="346"/>
      <c r="CP51" s="346"/>
      <c r="CQ51" s="346"/>
      <c r="CR51" s="346"/>
      <c r="CS51" s="346"/>
      <c r="CT51" s="346"/>
      <c r="CU51" s="346"/>
      <c r="CV51" s="346"/>
      <c r="CW51" s="346"/>
      <c r="CX51" s="346"/>
      <c r="CY51" s="346"/>
      <c r="CZ51" s="346"/>
      <c r="DA51" s="346"/>
      <c r="DB51" s="346"/>
      <c r="DC51" s="346"/>
      <c r="DD51" s="346"/>
      <c r="DE51" s="346"/>
      <c r="DF51" s="346"/>
      <c r="DG51" s="346"/>
      <c r="DH51" s="346"/>
      <c r="DI51" s="346"/>
      <c r="DJ51" s="346"/>
      <c r="DK51" s="346"/>
      <c r="DL51" s="346"/>
      <c r="DM51" s="346"/>
      <c r="DN51" s="346"/>
      <c r="DO51" s="346"/>
      <c r="DP51" s="346"/>
      <c r="DQ51" s="346"/>
      <c r="DR51" s="346"/>
      <c r="DS51" s="346"/>
      <c r="DT51" s="346"/>
      <c r="DU51" s="346"/>
      <c r="DV51" s="346"/>
      <c r="DW51" s="346"/>
      <c r="DX51" s="346"/>
      <c r="DY51" s="346"/>
      <c r="DZ51" s="346"/>
      <c r="EA51" s="346"/>
      <c r="EB51" s="346"/>
      <c r="EC51" s="346"/>
      <c r="ED51" s="346"/>
      <c r="EE51" s="346"/>
      <c r="EF51" s="346"/>
      <c r="EG51" s="346"/>
      <c r="EH51" s="346"/>
      <c r="EI51" s="346"/>
      <c r="EJ51" s="346"/>
      <c r="EK51" s="346"/>
      <c r="EL51" s="346"/>
      <c r="EM51" s="346"/>
      <c r="EN51" s="346"/>
      <c r="EO51" s="346"/>
      <c r="EP51" s="346"/>
      <c r="EQ51" s="346"/>
      <c r="ER51" s="346"/>
      <c r="ES51" s="346"/>
      <c r="ET51" s="346"/>
      <c r="EU51" s="346"/>
      <c r="EV51" s="346"/>
      <c r="EW51" s="346"/>
      <c r="EX51" s="346"/>
      <c r="EY51" s="346"/>
      <c r="EZ51" s="346"/>
      <c r="FA51" s="346"/>
      <c r="FB51" s="346"/>
      <c r="FC51" s="346"/>
      <c r="FD51" s="346"/>
      <c r="FE51" s="346"/>
      <c r="FF51" s="346"/>
      <c r="FG51" s="346"/>
      <c r="FH51" s="346"/>
      <c r="FI51" s="346"/>
      <c r="FJ51" s="346"/>
      <c r="FK51" s="346"/>
      <c r="FL51" s="346"/>
      <c r="FM51" s="346"/>
      <c r="FN51" s="346"/>
      <c r="FO51" s="346"/>
      <c r="FP51" s="346"/>
      <c r="FQ51" s="346"/>
      <c r="FR51" s="346"/>
      <c r="FS51" s="346"/>
      <c r="FT51" s="346"/>
      <c r="FU51" s="346"/>
      <c r="FV51" s="346"/>
      <c r="FW51" s="346"/>
      <c r="FX51" s="346"/>
      <c r="FY51" s="346"/>
      <c r="FZ51" s="346"/>
      <c r="GA51" s="346"/>
      <c r="GB51" s="346"/>
      <c r="GC51" s="346"/>
      <c r="GD51" s="346"/>
      <c r="GE51" s="346"/>
      <c r="GF51" s="346"/>
      <c r="GG51" s="346"/>
      <c r="GH51" s="346"/>
      <c r="GI51" s="346"/>
      <c r="GJ51" s="346"/>
      <c r="GK51" s="346"/>
      <c r="GL51" s="346"/>
      <c r="GM51" s="346"/>
      <c r="GN51" s="346"/>
      <c r="GO51" s="346"/>
      <c r="GP51" s="346"/>
      <c r="GQ51" s="346"/>
      <c r="GR51" s="346"/>
      <c r="GS51" s="346"/>
      <c r="GT51" s="346"/>
      <c r="GU51" s="346"/>
      <c r="GV51" s="346"/>
      <c r="GW51" s="346"/>
      <c r="GX51" s="346"/>
      <c r="GY51" s="346"/>
      <c r="GZ51" s="346"/>
      <c r="HA51" s="346"/>
      <c r="HB51" s="346"/>
      <c r="HC51" s="346"/>
      <c r="HD51" s="346"/>
      <c r="HE51" s="346"/>
      <c r="HF51" s="346"/>
      <c r="HG51" s="346"/>
      <c r="HH51" s="346"/>
      <c r="HI51" s="346"/>
      <c r="HJ51" s="346"/>
      <c r="HK51" s="346"/>
      <c r="HL51" s="346"/>
      <c r="HM51" s="346"/>
      <c r="HN51" s="346"/>
      <c r="HO51" s="346"/>
      <c r="HP51" s="346"/>
      <c r="HQ51" s="346"/>
      <c r="HR51" s="346"/>
      <c r="HS51" s="346"/>
      <c r="HT51" s="346"/>
      <c r="HU51" s="346"/>
      <c r="HV51" s="346"/>
      <c r="HW51" s="346"/>
      <c r="HX51" s="346"/>
      <c r="HY51" s="346"/>
      <c r="HZ51" s="346"/>
      <c r="IA51" s="346"/>
      <c r="IB51" s="346"/>
      <c r="IC51" s="346"/>
      <c r="ID51" s="346"/>
      <c r="IE51" s="346"/>
      <c r="IF51" s="346"/>
      <c r="IG51" s="346"/>
      <c r="IH51" s="346"/>
      <c r="II51" s="346"/>
      <c r="IJ51" s="346"/>
      <c r="IK51" s="346"/>
      <c r="IL51" s="346"/>
      <c r="IM51" s="346"/>
      <c r="IN51" s="346"/>
      <c r="IO51" s="346"/>
      <c r="IP51" s="346"/>
      <c r="IQ51" s="346"/>
      <c r="IR51" s="346"/>
      <c r="IS51" s="346"/>
      <c r="IT51" s="346"/>
      <c r="IU51" s="346"/>
      <c r="IV51" s="346"/>
      <c r="IW51" s="346"/>
    </row>
    <row r="52" customFormat="false" ht="12.75" hidden="false" customHeight="false" outlineLevel="0" collapsed="false">
      <c r="A52" s="327"/>
      <c r="B52" s="328" t="s">
        <v>347</v>
      </c>
      <c r="C52" s="341"/>
      <c r="D52" s="328"/>
      <c r="E52" s="339" t="n">
        <f aca="false">-HLOOKUP(DATE(E$7,12,31),Idc_Table,IDC!$AP$57)-SUM($D52:D52)</f>
        <v>-0</v>
      </c>
      <c r="F52" s="339" t="n">
        <f aca="false">-HLOOKUP(DATE(F$7,12,31),Idc_Table,IDC!$AP$57)-SUM($D52:E52)</f>
        <v>-0</v>
      </c>
      <c r="G52" s="339" t="n">
        <f aca="false">-HLOOKUP(DATE(G$7,12,31),Idc_Table,IDC!$AP$57)-SUM($D52:F52)</f>
        <v>-0</v>
      </c>
      <c r="H52" s="339" t="n">
        <f aca="false">-HLOOKUP(DATE(H$7,12,31),Idc_Table,IDC!$AP$57)-SUM($D52:G52)</f>
        <v>-0</v>
      </c>
      <c r="I52" s="339" t="n">
        <f aca="false">-HLOOKUP(DATE(I$7,12,31),Idc_Table,IDC!$AP$57)-SUM($D52:H52)</f>
        <v>-0</v>
      </c>
      <c r="J52" s="339" t="n">
        <f aca="false">-HLOOKUP(DATE(J$7,12,31),Idc_Table,IDC!$AP$57)-SUM($D52:I52)</f>
        <v>-0</v>
      </c>
      <c r="K52" s="339" t="n">
        <f aca="false">-HLOOKUP(DATE(K$7,12,31),Idc_Table,IDC!$AP$57)-SUM($D52:J52)</f>
        <v>-0</v>
      </c>
      <c r="L52" s="339" t="n">
        <f aca="false">-HLOOKUP(DATE(L$7,12,31),Idc_Table,IDC!$AP$57)-SUM($D52:K52)</f>
        <v>-0</v>
      </c>
      <c r="M52" s="339" t="n">
        <f aca="false">-HLOOKUP(DATE(M$7,12,31),Idc_Table,IDC!$AP$57)-SUM($D52:L52)</f>
        <v>-0</v>
      </c>
      <c r="N52" s="339" t="n">
        <f aca="false">-HLOOKUP(DATE(N$7,12,31),Idc_Table,IDC!$AP$57)-SUM($D52:M52)</f>
        <v>-0</v>
      </c>
      <c r="O52" s="339" t="n">
        <f aca="false">-HLOOKUP(DATE(O$7,12,31),Idc_Table,IDC!$AP$57)-SUM($D52:N52)</f>
        <v>-0</v>
      </c>
      <c r="P52" s="339" t="n">
        <f aca="false">-HLOOKUP(DATE(P$7,12,31),Idc_Table,IDC!$AP$57)-SUM($D52:O52)</f>
        <v>-0</v>
      </c>
      <c r="Q52" s="339" t="n">
        <f aca="false">-HLOOKUP(DATE(Q$7,12,31),Idc_Table,IDC!$AP$57)-SUM($D52:P52)</f>
        <v>-0</v>
      </c>
      <c r="R52" s="339" t="n">
        <f aca="false">-HLOOKUP(DATE(R$7,12,31),Idc_Table,IDC!$AP$57)-SUM($D52:Q52)</f>
        <v>-0</v>
      </c>
      <c r="S52" s="339" t="n">
        <f aca="false">-HLOOKUP(DATE(S$7,12,31),Idc_Table,IDC!$AP$57)-SUM($D52:R52)</f>
        <v>-0</v>
      </c>
      <c r="T52" s="339" t="n">
        <f aca="false">-HLOOKUP(DATE(T$7,12,31),Idc_Table,IDC!$AP$57)-SUM($D52:S52)</f>
        <v>-0</v>
      </c>
      <c r="U52" s="339" t="n">
        <f aca="false">-HLOOKUP(DATE(U$7,12,31),Idc_Table,IDC!$AP$57)-SUM($D52:T52)</f>
        <v>-0</v>
      </c>
      <c r="V52" s="339" t="n">
        <f aca="false">-HLOOKUP(DATE(V$7,12,31),Idc_Table,IDC!$AP$57)-SUM($D52:U52)</f>
        <v>-0</v>
      </c>
      <c r="W52" s="339" t="n">
        <f aca="false">-HLOOKUP(DATE(W$7,12,31),Idc_Table,IDC!$AP$57)-SUM($D52:V52)</f>
        <v>-0</v>
      </c>
      <c r="X52" s="339" t="n">
        <f aca="false">-HLOOKUP(DATE(X$7,12,31),Idc_Table,IDC!$AP$57)-SUM($D52:W52)</f>
        <v>-0</v>
      </c>
      <c r="Y52" s="339" t="n">
        <f aca="false">-HLOOKUP(DATE(Y$7,12,31),Idc_Table,IDC!$AP$57)-SUM($D52:X52)</f>
        <v>-0</v>
      </c>
      <c r="Z52" s="340" t="n">
        <f aca="false">SUM(E52:Y52)</f>
        <v>0</v>
      </c>
      <c r="AA52" s="346"/>
      <c r="AB52" s="300" t="n">
        <f aca="false">AB51+1</f>
        <v>46</v>
      </c>
      <c r="AC52" s="346"/>
      <c r="AD52" s="346"/>
      <c r="AE52" s="346"/>
      <c r="AF52" s="346"/>
      <c r="AG52" s="346"/>
      <c r="AH52" s="346"/>
      <c r="AI52" s="346"/>
      <c r="AJ52" s="346"/>
      <c r="AK52" s="346"/>
      <c r="AL52" s="346"/>
      <c r="AM52" s="346"/>
      <c r="AN52" s="346"/>
      <c r="AO52" s="346"/>
      <c r="AP52" s="346"/>
      <c r="AQ52" s="346"/>
      <c r="AR52" s="346"/>
      <c r="AS52" s="346"/>
      <c r="AT52" s="346"/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6"/>
      <c r="BN52" s="346"/>
      <c r="BO52" s="346"/>
      <c r="BP52" s="346"/>
      <c r="BQ52" s="346"/>
      <c r="BR52" s="346"/>
      <c r="BS52" s="346"/>
      <c r="BT52" s="346"/>
      <c r="BU52" s="346"/>
      <c r="BV52" s="346"/>
      <c r="BW52" s="346"/>
      <c r="BX52" s="346"/>
      <c r="BY52" s="346"/>
      <c r="BZ52" s="346"/>
      <c r="CA52" s="346"/>
      <c r="CB52" s="346"/>
      <c r="CC52" s="346"/>
      <c r="CD52" s="346"/>
      <c r="CE52" s="346"/>
      <c r="CF52" s="346"/>
      <c r="CG52" s="346"/>
      <c r="CH52" s="346"/>
      <c r="CI52" s="346"/>
      <c r="CJ52" s="346"/>
      <c r="CK52" s="346"/>
      <c r="CL52" s="346"/>
      <c r="CM52" s="346"/>
      <c r="CN52" s="346"/>
      <c r="CO52" s="346"/>
      <c r="CP52" s="346"/>
      <c r="CQ52" s="346"/>
      <c r="CR52" s="346"/>
      <c r="CS52" s="346"/>
      <c r="CT52" s="346"/>
      <c r="CU52" s="346"/>
      <c r="CV52" s="346"/>
      <c r="CW52" s="346"/>
      <c r="CX52" s="346"/>
      <c r="CY52" s="346"/>
      <c r="CZ52" s="346"/>
      <c r="DA52" s="346"/>
      <c r="DB52" s="346"/>
      <c r="DC52" s="346"/>
      <c r="DD52" s="346"/>
      <c r="DE52" s="346"/>
      <c r="DF52" s="346"/>
      <c r="DG52" s="346"/>
      <c r="DH52" s="346"/>
      <c r="DI52" s="346"/>
      <c r="DJ52" s="346"/>
      <c r="DK52" s="346"/>
      <c r="DL52" s="346"/>
      <c r="DM52" s="346"/>
      <c r="DN52" s="346"/>
      <c r="DO52" s="346"/>
      <c r="DP52" s="346"/>
      <c r="DQ52" s="346"/>
      <c r="DR52" s="346"/>
      <c r="DS52" s="346"/>
      <c r="DT52" s="346"/>
      <c r="DU52" s="346"/>
      <c r="DV52" s="346"/>
      <c r="DW52" s="346"/>
      <c r="DX52" s="346"/>
      <c r="DY52" s="346"/>
      <c r="DZ52" s="346"/>
      <c r="EA52" s="346"/>
      <c r="EB52" s="346"/>
      <c r="EC52" s="346"/>
      <c r="ED52" s="346"/>
      <c r="EE52" s="346"/>
      <c r="EF52" s="346"/>
      <c r="EG52" s="346"/>
      <c r="EH52" s="346"/>
      <c r="EI52" s="346"/>
      <c r="EJ52" s="346"/>
      <c r="EK52" s="346"/>
      <c r="EL52" s="346"/>
      <c r="EM52" s="346"/>
      <c r="EN52" s="346"/>
      <c r="EO52" s="346"/>
      <c r="EP52" s="346"/>
      <c r="EQ52" s="346"/>
      <c r="ER52" s="346"/>
      <c r="ES52" s="346"/>
      <c r="ET52" s="346"/>
      <c r="EU52" s="346"/>
      <c r="EV52" s="346"/>
      <c r="EW52" s="346"/>
      <c r="EX52" s="346"/>
      <c r="EY52" s="346"/>
      <c r="EZ52" s="346"/>
      <c r="FA52" s="346"/>
      <c r="FB52" s="346"/>
      <c r="FC52" s="346"/>
      <c r="FD52" s="346"/>
      <c r="FE52" s="346"/>
      <c r="FF52" s="346"/>
      <c r="FG52" s="346"/>
      <c r="FH52" s="346"/>
      <c r="FI52" s="346"/>
      <c r="FJ52" s="346"/>
      <c r="FK52" s="346"/>
      <c r="FL52" s="346"/>
      <c r="FM52" s="346"/>
      <c r="FN52" s="346"/>
      <c r="FO52" s="346"/>
      <c r="FP52" s="346"/>
      <c r="FQ52" s="346"/>
      <c r="FR52" s="346"/>
      <c r="FS52" s="346"/>
      <c r="FT52" s="346"/>
      <c r="FU52" s="346"/>
      <c r="FV52" s="346"/>
      <c r="FW52" s="346"/>
      <c r="FX52" s="346"/>
      <c r="FY52" s="346"/>
      <c r="FZ52" s="346"/>
      <c r="GA52" s="346"/>
      <c r="GB52" s="346"/>
      <c r="GC52" s="346"/>
      <c r="GD52" s="346"/>
      <c r="GE52" s="346"/>
      <c r="GF52" s="346"/>
      <c r="GG52" s="346"/>
      <c r="GH52" s="346"/>
      <c r="GI52" s="346"/>
      <c r="GJ52" s="346"/>
      <c r="GK52" s="346"/>
      <c r="GL52" s="346"/>
      <c r="GM52" s="346"/>
      <c r="GN52" s="346"/>
      <c r="GO52" s="346"/>
      <c r="GP52" s="346"/>
      <c r="GQ52" s="346"/>
      <c r="GR52" s="346"/>
      <c r="GS52" s="346"/>
      <c r="GT52" s="346"/>
      <c r="GU52" s="346"/>
      <c r="GV52" s="346"/>
      <c r="GW52" s="346"/>
      <c r="GX52" s="346"/>
      <c r="GY52" s="346"/>
      <c r="GZ52" s="346"/>
      <c r="HA52" s="346"/>
      <c r="HB52" s="346"/>
      <c r="HC52" s="346"/>
      <c r="HD52" s="346"/>
      <c r="HE52" s="346"/>
      <c r="HF52" s="346"/>
      <c r="HG52" s="346"/>
      <c r="HH52" s="346"/>
      <c r="HI52" s="346"/>
      <c r="HJ52" s="346"/>
      <c r="HK52" s="346"/>
      <c r="HL52" s="346"/>
      <c r="HM52" s="346"/>
      <c r="HN52" s="346"/>
      <c r="HO52" s="346"/>
      <c r="HP52" s="346"/>
      <c r="HQ52" s="346"/>
      <c r="HR52" s="346"/>
      <c r="HS52" s="346"/>
      <c r="HT52" s="346"/>
      <c r="HU52" s="346"/>
      <c r="HV52" s="346"/>
      <c r="HW52" s="346"/>
      <c r="HX52" s="346"/>
      <c r="HY52" s="346"/>
      <c r="HZ52" s="346"/>
      <c r="IA52" s="346"/>
      <c r="IB52" s="346"/>
      <c r="IC52" s="346"/>
      <c r="ID52" s="346"/>
      <c r="IE52" s="346"/>
      <c r="IF52" s="346"/>
      <c r="IG52" s="346"/>
      <c r="IH52" s="346"/>
      <c r="II52" s="346"/>
      <c r="IJ52" s="346"/>
      <c r="IK52" s="346"/>
      <c r="IL52" s="346"/>
      <c r="IM52" s="346"/>
      <c r="IN52" s="346"/>
      <c r="IO52" s="346"/>
      <c r="IP52" s="346"/>
      <c r="IQ52" s="346"/>
      <c r="IR52" s="346"/>
      <c r="IS52" s="346"/>
      <c r="IT52" s="346"/>
      <c r="IU52" s="346"/>
      <c r="IV52" s="346"/>
      <c r="IW52" s="346"/>
    </row>
    <row r="53" customFormat="false" ht="12.75" hidden="false" customHeight="false" outlineLevel="0" collapsed="false">
      <c r="A53" s="327"/>
      <c r="B53" s="328"/>
      <c r="C53" s="341"/>
      <c r="D53" s="328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30"/>
      <c r="AA53" s="346"/>
      <c r="AB53" s="300" t="n">
        <f aca="false">AB52+1</f>
        <v>47</v>
      </c>
      <c r="AC53" s="346"/>
      <c r="AD53" s="346"/>
      <c r="AE53" s="346"/>
      <c r="AF53" s="346"/>
      <c r="AG53" s="346"/>
      <c r="AH53" s="346"/>
      <c r="AI53" s="346"/>
      <c r="AJ53" s="346"/>
      <c r="AK53" s="346"/>
      <c r="AL53" s="346"/>
      <c r="AM53" s="346"/>
      <c r="AN53" s="346"/>
      <c r="AO53" s="346"/>
      <c r="AP53" s="346"/>
      <c r="AQ53" s="346"/>
      <c r="AR53" s="346"/>
      <c r="AS53" s="346"/>
      <c r="AT53" s="346"/>
      <c r="AU53" s="346"/>
      <c r="AV53" s="346"/>
      <c r="AW53" s="346"/>
      <c r="AX53" s="346"/>
      <c r="AY53" s="346"/>
      <c r="AZ53" s="346"/>
      <c r="BA53" s="346"/>
      <c r="BB53" s="346"/>
      <c r="BC53" s="346"/>
      <c r="BD53" s="346"/>
      <c r="BE53" s="346"/>
      <c r="BF53" s="346"/>
      <c r="BG53" s="346"/>
      <c r="BH53" s="346"/>
      <c r="BI53" s="346"/>
      <c r="BJ53" s="346"/>
      <c r="BK53" s="346"/>
      <c r="BL53" s="346"/>
      <c r="BM53" s="346"/>
      <c r="BN53" s="346"/>
      <c r="BO53" s="346"/>
      <c r="BP53" s="346"/>
      <c r="BQ53" s="346"/>
      <c r="BR53" s="346"/>
      <c r="BS53" s="346"/>
      <c r="BT53" s="346"/>
      <c r="BU53" s="346"/>
      <c r="BV53" s="346"/>
      <c r="BW53" s="346"/>
      <c r="BX53" s="346"/>
      <c r="BY53" s="346"/>
      <c r="BZ53" s="346"/>
      <c r="CA53" s="346"/>
      <c r="CB53" s="346"/>
      <c r="CC53" s="346"/>
      <c r="CD53" s="346"/>
      <c r="CE53" s="346"/>
      <c r="CF53" s="346"/>
      <c r="CG53" s="346"/>
      <c r="CH53" s="346"/>
      <c r="CI53" s="346"/>
      <c r="CJ53" s="346"/>
      <c r="CK53" s="346"/>
      <c r="CL53" s="346"/>
      <c r="CM53" s="346"/>
      <c r="CN53" s="346"/>
      <c r="CO53" s="346"/>
      <c r="CP53" s="346"/>
      <c r="CQ53" s="346"/>
      <c r="CR53" s="346"/>
      <c r="CS53" s="346"/>
      <c r="CT53" s="346"/>
      <c r="CU53" s="346"/>
      <c r="CV53" s="346"/>
      <c r="CW53" s="346"/>
      <c r="CX53" s="346"/>
      <c r="CY53" s="346"/>
      <c r="CZ53" s="346"/>
      <c r="DA53" s="346"/>
      <c r="DB53" s="346"/>
      <c r="DC53" s="346"/>
      <c r="DD53" s="346"/>
      <c r="DE53" s="346"/>
      <c r="DF53" s="346"/>
      <c r="DG53" s="346"/>
      <c r="DH53" s="346"/>
      <c r="DI53" s="346"/>
      <c r="DJ53" s="346"/>
      <c r="DK53" s="346"/>
      <c r="DL53" s="346"/>
      <c r="DM53" s="346"/>
      <c r="DN53" s="346"/>
      <c r="DO53" s="346"/>
      <c r="DP53" s="346"/>
      <c r="DQ53" s="346"/>
      <c r="DR53" s="346"/>
      <c r="DS53" s="346"/>
      <c r="DT53" s="346"/>
      <c r="DU53" s="346"/>
      <c r="DV53" s="346"/>
      <c r="DW53" s="346"/>
      <c r="DX53" s="346"/>
      <c r="DY53" s="346"/>
      <c r="DZ53" s="346"/>
      <c r="EA53" s="346"/>
      <c r="EB53" s="346"/>
      <c r="EC53" s="346"/>
      <c r="ED53" s="346"/>
      <c r="EE53" s="346"/>
      <c r="EF53" s="346"/>
      <c r="EG53" s="346"/>
      <c r="EH53" s="346"/>
      <c r="EI53" s="346"/>
      <c r="EJ53" s="346"/>
      <c r="EK53" s="346"/>
      <c r="EL53" s="346"/>
      <c r="EM53" s="346"/>
      <c r="EN53" s="346"/>
      <c r="EO53" s="346"/>
      <c r="EP53" s="346"/>
      <c r="EQ53" s="346"/>
      <c r="ER53" s="346"/>
      <c r="ES53" s="346"/>
      <c r="ET53" s="346"/>
      <c r="EU53" s="346"/>
      <c r="EV53" s="346"/>
      <c r="EW53" s="346"/>
      <c r="EX53" s="346"/>
      <c r="EY53" s="346"/>
      <c r="EZ53" s="346"/>
      <c r="FA53" s="346"/>
      <c r="FB53" s="346"/>
      <c r="FC53" s="346"/>
      <c r="FD53" s="346"/>
      <c r="FE53" s="346"/>
      <c r="FF53" s="346"/>
      <c r="FG53" s="346"/>
      <c r="FH53" s="346"/>
      <c r="FI53" s="346"/>
      <c r="FJ53" s="346"/>
      <c r="FK53" s="346"/>
      <c r="FL53" s="346"/>
      <c r="FM53" s="346"/>
      <c r="FN53" s="346"/>
      <c r="FO53" s="346"/>
      <c r="FP53" s="346"/>
      <c r="FQ53" s="346"/>
      <c r="FR53" s="346"/>
      <c r="FS53" s="346"/>
      <c r="FT53" s="346"/>
      <c r="FU53" s="346"/>
      <c r="FV53" s="346"/>
      <c r="FW53" s="346"/>
      <c r="FX53" s="346"/>
      <c r="FY53" s="346"/>
      <c r="FZ53" s="346"/>
      <c r="GA53" s="346"/>
      <c r="GB53" s="346"/>
      <c r="GC53" s="346"/>
      <c r="GD53" s="346"/>
      <c r="GE53" s="346"/>
      <c r="GF53" s="346"/>
      <c r="GG53" s="346"/>
      <c r="GH53" s="346"/>
      <c r="GI53" s="346"/>
      <c r="GJ53" s="346"/>
      <c r="GK53" s="346"/>
      <c r="GL53" s="346"/>
      <c r="GM53" s="346"/>
      <c r="GN53" s="346"/>
      <c r="GO53" s="346"/>
      <c r="GP53" s="346"/>
      <c r="GQ53" s="346"/>
      <c r="GR53" s="346"/>
      <c r="GS53" s="346"/>
      <c r="GT53" s="346"/>
      <c r="GU53" s="346"/>
      <c r="GV53" s="346"/>
      <c r="GW53" s="346"/>
      <c r="GX53" s="346"/>
      <c r="GY53" s="346"/>
      <c r="GZ53" s="346"/>
      <c r="HA53" s="346"/>
      <c r="HB53" s="346"/>
      <c r="HC53" s="346"/>
      <c r="HD53" s="346"/>
      <c r="HE53" s="346"/>
      <c r="HF53" s="346"/>
      <c r="HG53" s="346"/>
      <c r="HH53" s="346"/>
      <c r="HI53" s="346"/>
      <c r="HJ53" s="346"/>
      <c r="HK53" s="346"/>
      <c r="HL53" s="346"/>
      <c r="HM53" s="346"/>
      <c r="HN53" s="346"/>
      <c r="HO53" s="346"/>
      <c r="HP53" s="346"/>
      <c r="HQ53" s="346"/>
      <c r="HR53" s="346"/>
      <c r="HS53" s="346"/>
      <c r="HT53" s="346"/>
      <c r="HU53" s="346"/>
      <c r="HV53" s="346"/>
      <c r="HW53" s="346"/>
      <c r="HX53" s="346"/>
      <c r="HY53" s="346"/>
      <c r="HZ53" s="346"/>
      <c r="IA53" s="346"/>
      <c r="IB53" s="346"/>
      <c r="IC53" s="346"/>
      <c r="ID53" s="346"/>
      <c r="IE53" s="346"/>
      <c r="IF53" s="346"/>
      <c r="IG53" s="346"/>
      <c r="IH53" s="346"/>
      <c r="II53" s="346"/>
      <c r="IJ53" s="346"/>
      <c r="IK53" s="346"/>
      <c r="IL53" s="346"/>
      <c r="IM53" s="346"/>
      <c r="IN53" s="346"/>
      <c r="IO53" s="346"/>
      <c r="IP53" s="346"/>
      <c r="IQ53" s="346"/>
      <c r="IR53" s="346"/>
      <c r="IS53" s="346"/>
      <c r="IT53" s="346"/>
      <c r="IU53" s="346"/>
      <c r="IV53" s="346"/>
      <c r="IW53" s="346"/>
    </row>
    <row r="54" customFormat="false" ht="12.75" hidden="false" customHeight="false" outlineLevel="0" collapsed="false">
      <c r="A54" s="345" t="s">
        <v>348</v>
      </c>
      <c r="B54" s="341"/>
      <c r="C54" s="328"/>
      <c r="D54" s="341"/>
      <c r="E54" s="342" t="n">
        <f aca="false">SUM(E49:E52)</f>
        <v>0</v>
      </c>
      <c r="F54" s="342" t="n">
        <f aca="false">SUM(F49:F52)</f>
        <v>-13.2759999379246</v>
      </c>
      <c r="G54" s="342" t="n">
        <f aca="false">SUM(G49:G52)</f>
        <v>-1837.50898141714</v>
      </c>
      <c r="H54" s="342" t="n">
        <f aca="false">SUM(H49:H52)</f>
        <v>-3586.48060049747</v>
      </c>
      <c r="I54" s="342" t="n">
        <f aca="false">SUM(I49:I52)</f>
        <v>-4045.25450410579</v>
      </c>
      <c r="J54" s="342" t="n">
        <f aca="false">SUM(J49:J52)</f>
        <v>1886.41540495857</v>
      </c>
      <c r="K54" s="342" t="n">
        <f aca="false">SUM(K49:K52)</f>
        <v>2960.61663485649</v>
      </c>
      <c r="L54" s="342" t="n">
        <f aca="false">SUM(L49:L52)</f>
        <v>7998.91178825863</v>
      </c>
      <c r="M54" s="342" t="n">
        <f aca="false">SUM(M49:M52)</f>
        <v>10029.6883157375</v>
      </c>
      <c r="N54" s="342" t="n">
        <f aca="false">SUM(N49:N52)</f>
        <v>11335.6812123419</v>
      </c>
      <c r="O54" s="342" t="n">
        <f aca="false">SUM(O49:O52)</f>
        <v>13437.6370752707</v>
      </c>
      <c r="P54" s="342" t="n">
        <f aca="false">SUM(P49:P52)</f>
        <v>14828.9569169303</v>
      </c>
      <c r="Q54" s="342" t="n">
        <f aca="false">SUM(Q49:Q52)</f>
        <v>16540.3980642707</v>
      </c>
      <c r="R54" s="342" t="n">
        <f aca="false">SUM(R49:R52)</f>
        <v>19240.2394435349</v>
      </c>
      <c r="S54" s="342" t="n">
        <f aca="false">SUM(S49:S52)</f>
        <v>18612.9255761878</v>
      </c>
      <c r="T54" s="342" t="n">
        <f aca="false">SUM(T49:T52)</f>
        <v>22060.6618656204</v>
      </c>
      <c r="U54" s="342" t="n">
        <f aca="false">SUM(U49:U52)</f>
        <v>23844.9967481276</v>
      </c>
      <c r="V54" s="342" t="n">
        <f aca="false">SUM(V49:V52)</f>
        <v>25095.5835249039</v>
      </c>
      <c r="W54" s="342" t="n">
        <f aca="false">SUM(W49:W52)</f>
        <v>26171.3142554706</v>
      </c>
      <c r="X54" s="342" t="n">
        <f aca="false">SUM(X49:X52)</f>
        <v>27337.2046823972</v>
      </c>
      <c r="Y54" s="342" t="n">
        <f aca="false">SUM(Y49:Y52)</f>
        <v>9125.29216995186</v>
      </c>
      <c r="Z54" s="344" t="n">
        <f aca="false">SUM(E54:Y54)</f>
        <v>241024.003592861</v>
      </c>
      <c r="AA54" s="338"/>
      <c r="AB54" s="300" t="n">
        <f aca="false">AB53+1</f>
        <v>48</v>
      </c>
      <c r="AC54" s="338"/>
      <c r="AD54" s="338"/>
      <c r="AE54" s="338"/>
      <c r="AF54" s="338"/>
      <c r="AG54" s="338"/>
      <c r="AH54" s="338"/>
      <c r="AI54" s="338"/>
      <c r="AJ54" s="338"/>
      <c r="AK54" s="338"/>
      <c r="AL54" s="338"/>
      <c r="AM54" s="338"/>
      <c r="AN54" s="338"/>
      <c r="AO54" s="338"/>
      <c r="AP54" s="338"/>
      <c r="AQ54" s="338"/>
      <c r="AR54" s="338"/>
      <c r="AS54" s="338"/>
      <c r="AT54" s="338"/>
      <c r="AU54" s="338"/>
      <c r="AV54" s="338"/>
      <c r="AW54" s="338"/>
      <c r="AX54" s="338"/>
      <c r="AY54" s="338"/>
      <c r="AZ54" s="338"/>
      <c r="BA54" s="338"/>
      <c r="BB54" s="338"/>
      <c r="BC54" s="338"/>
      <c r="BD54" s="338"/>
      <c r="BE54" s="338"/>
      <c r="BF54" s="338"/>
      <c r="BG54" s="338"/>
      <c r="BH54" s="338"/>
      <c r="BI54" s="338"/>
      <c r="BJ54" s="338"/>
      <c r="BK54" s="338"/>
      <c r="BL54" s="338"/>
      <c r="BM54" s="338"/>
      <c r="BN54" s="338"/>
      <c r="BO54" s="338"/>
      <c r="BP54" s="338"/>
      <c r="BQ54" s="338"/>
      <c r="BR54" s="338"/>
      <c r="BS54" s="338"/>
      <c r="BT54" s="338"/>
      <c r="BU54" s="338"/>
      <c r="BV54" s="338"/>
      <c r="BW54" s="338"/>
      <c r="BX54" s="338"/>
      <c r="BY54" s="338"/>
      <c r="BZ54" s="338"/>
      <c r="CA54" s="338"/>
      <c r="CB54" s="338"/>
      <c r="CC54" s="338"/>
      <c r="CD54" s="338"/>
      <c r="CE54" s="338"/>
      <c r="CF54" s="338"/>
      <c r="CG54" s="338"/>
      <c r="CH54" s="338"/>
      <c r="CI54" s="338"/>
      <c r="CJ54" s="338"/>
      <c r="CK54" s="338"/>
      <c r="CL54" s="338"/>
      <c r="CM54" s="338"/>
      <c r="CN54" s="338"/>
      <c r="CO54" s="338"/>
      <c r="CP54" s="338"/>
      <c r="CQ54" s="338"/>
      <c r="CR54" s="338"/>
      <c r="CS54" s="338"/>
      <c r="CT54" s="338"/>
      <c r="CU54" s="338"/>
      <c r="CV54" s="338"/>
      <c r="CW54" s="338"/>
      <c r="CX54" s="338"/>
      <c r="CY54" s="338"/>
      <c r="CZ54" s="338"/>
      <c r="DA54" s="338"/>
      <c r="DB54" s="338"/>
      <c r="DC54" s="338"/>
      <c r="DD54" s="338"/>
      <c r="DE54" s="338"/>
      <c r="DF54" s="338"/>
      <c r="DG54" s="338"/>
      <c r="DH54" s="338"/>
      <c r="DI54" s="338"/>
      <c r="DJ54" s="338"/>
      <c r="DK54" s="338"/>
      <c r="DL54" s="338"/>
      <c r="DM54" s="338"/>
      <c r="DN54" s="338"/>
      <c r="DO54" s="338"/>
      <c r="DP54" s="338"/>
      <c r="DQ54" s="338"/>
      <c r="DR54" s="338"/>
      <c r="DS54" s="338"/>
      <c r="DT54" s="338"/>
      <c r="DU54" s="338"/>
      <c r="DV54" s="338"/>
      <c r="DW54" s="338"/>
      <c r="DX54" s="338"/>
      <c r="DY54" s="338"/>
      <c r="DZ54" s="338"/>
      <c r="EA54" s="338"/>
      <c r="EB54" s="338"/>
      <c r="EC54" s="338"/>
      <c r="ED54" s="338"/>
      <c r="EE54" s="338"/>
      <c r="EF54" s="338"/>
      <c r="EG54" s="338"/>
      <c r="EH54" s="338"/>
      <c r="EI54" s="338"/>
      <c r="EJ54" s="338"/>
      <c r="EK54" s="338"/>
      <c r="EL54" s="338"/>
      <c r="EM54" s="338"/>
      <c r="EN54" s="338"/>
      <c r="EO54" s="338"/>
      <c r="EP54" s="338"/>
      <c r="EQ54" s="338"/>
      <c r="ER54" s="338"/>
      <c r="ES54" s="338"/>
      <c r="ET54" s="338"/>
      <c r="EU54" s="338"/>
      <c r="EV54" s="338"/>
      <c r="EW54" s="338"/>
      <c r="EX54" s="338"/>
      <c r="EY54" s="338"/>
      <c r="EZ54" s="338"/>
      <c r="FA54" s="338"/>
      <c r="FB54" s="338"/>
      <c r="FC54" s="338"/>
      <c r="FD54" s="338"/>
      <c r="FE54" s="338"/>
      <c r="FF54" s="338"/>
      <c r="FG54" s="338"/>
      <c r="FH54" s="338"/>
      <c r="FI54" s="338"/>
      <c r="FJ54" s="338"/>
      <c r="FK54" s="338"/>
      <c r="FL54" s="338"/>
      <c r="FM54" s="338"/>
      <c r="FN54" s="338"/>
      <c r="FO54" s="338"/>
      <c r="FP54" s="338"/>
      <c r="FQ54" s="338"/>
      <c r="FR54" s="338"/>
      <c r="FS54" s="338"/>
      <c r="FT54" s="338"/>
      <c r="FU54" s="338"/>
      <c r="FV54" s="338"/>
      <c r="FW54" s="338"/>
      <c r="FX54" s="338"/>
      <c r="FY54" s="338"/>
      <c r="FZ54" s="338"/>
      <c r="GA54" s="338"/>
      <c r="GB54" s="338"/>
      <c r="GC54" s="338"/>
      <c r="GD54" s="338"/>
      <c r="GE54" s="338"/>
      <c r="GF54" s="338"/>
      <c r="GG54" s="338"/>
      <c r="GH54" s="338"/>
      <c r="GI54" s="338"/>
      <c r="GJ54" s="338"/>
      <c r="GK54" s="338"/>
      <c r="GL54" s="338"/>
      <c r="GM54" s="338"/>
      <c r="GN54" s="338"/>
      <c r="GO54" s="338"/>
      <c r="GP54" s="338"/>
      <c r="GQ54" s="338"/>
      <c r="GR54" s="338"/>
      <c r="GS54" s="338"/>
      <c r="GT54" s="338"/>
      <c r="GU54" s="338"/>
      <c r="GV54" s="338"/>
      <c r="GW54" s="338"/>
      <c r="GX54" s="338"/>
      <c r="GY54" s="338"/>
      <c r="GZ54" s="338"/>
      <c r="HA54" s="338"/>
      <c r="HB54" s="338"/>
      <c r="HC54" s="338"/>
      <c r="HD54" s="338"/>
      <c r="HE54" s="338"/>
      <c r="HF54" s="338"/>
      <c r="HG54" s="338"/>
      <c r="HH54" s="338"/>
      <c r="HI54" s="338"/>
      <c r="HJ54" s="338"/>
      <c r="HK54" s="338"/>
      <c r="HL54" s="338"/>
      <c r="HM54" s="338"/>
      <c r="HN54" s="338"/>
      <c r="HO54" s="338"/>
      <c r="HP54" s="338"/>
      <c r="HQ54" s="338"/>
      <c r="HR54" s="338"/>
      <c r="HS54" s="338"/>
      <c r="HT54" s="338"/>
      <c r="HU54" s="338"/>
      <c r="HV54" s="338"/>
      <c r="HW54" s="338"/>
      <c r="HX54" s="338"/>
      <c r="HY54" s="338"/>
      <c r="HZ54" s="338"/>
      <c r="IA54" s="338"/>
      <c r="IB54" s="338"/>
      <c r="IC54" s="338"/>
      <c r="ID54" s="338"/>
      <c r="IE54" s="338"/>
      <c r="IF54" s="338"/>
      <c r="IG54" s="338"/>
      <c r="IH54" s="338"/>
      <c r="II54" s="338"/>
      <c r="IJ54" s="338"/>
      <c r="IK54" s="338"/>
      <c r="IL54" s="338"/>
      <c r="IM54" s="338"/>
      <c r="IN54" s="338"/>
      <c r="IO54" s="338"/>
      <c r="IP54" s="338"/>
      <c r="IQ54" s="338"/>
      <c r="IR54" s="338"/>
      <c r="IS54" s="338"/>
      <c r="IT54" s="338"/>
      <c r="IU54" s="338"/>
      <c r="IV54" s="338"/>
      <c r="IW54" s="338"/>
    </row>
    <row r="55" customFormat="false" ht="12.75" hidden="false" customHeight="false" outlineLevel="0" collapsed="false">
      <c r="A55" s="327"/>
      <c r="B55" s="328" t="s">
        <v>349</v>
      </c>
      <c r="C55" s="328"/>
      <c r="D55" s="328"/>
      <c r="E55" s="339" t="n">
        <f aca="false">-Taxes!D54</f>
        <v>-0</v>
      </c>
      <c r="F55" s="339" t="n">
        <f aca="false">-Taxes!E54</f>
        <v>-0</v>
      </c>
      <c r="G55" s="339" t="n">
        <f aca="false">-Taxes!F54</f>
        <v>-0</v>
      </c>
      <c r="H55" s="339" t="n">
        <f aca="false">-Taxes!G54</f>
        <v>-0</v>
      </c>
      <c r="I55" s="339" t="n">
        <f aca="false">-Taxes!H54</f>
        <v>-0</v>
      </c>
      <c r="J55" s="339" t="n">
        <f aca="false">-Taxes!I54</f>
        <v>-0</v>
      </c>
      <c r="K55" s="339" t="n">
        <f aca="false">-Taxes!J54</f>
        <v>-0</v>
      </c>
      <c r="L55" s="339" t="n">
        <f aca="false">-Taxes!K54</f>
        <v>-840.855935528842</v>
      </c>
      <c r="M55" s="339" t="n">
        <f aca="false">-Taxes!L54</f>
        <v>-2507.42207893437</v>
      </c>
      <c r="N55" s="339" t="n">
        <f aca="false">-Taxes!M54</f>
        <v>-2833.92030308547</v>
      </c>
      <c r="O55" s="339" t="n">
        <f aca="false">-Taxes!N54</f>
        <v>-3359.40926881768</v>
      </c>
      <c r="P55" s="339" t="n">
        <f aca="false">-Taxes!O54</f>
        <v>-3707.23922923257</v>
      </c>
      <c r="Q55" s="339" t="n">
        <f aca="false">-Taxes!P54</f>
        <v>-4135.09951606768</v>
      </c>
      <c r="R55" s="339" t="n">
        <f aca="false">-Taxes!Q54</f>
        <v>-4810.05986088372</v>
      </c>
      <c r="S55" s="339" t="n">
        <f aca="false">-Taxes!R54</f>
        <v>-4653.23139404696</v>
      </c>
      <c r="T55" s="339" t="n">
        <f aca="false">-Taxes!S54</f>
        <v>-5515.16546640509</v>
      </c>
      <c r="U55" s="339" t="n">
        <f aca="false">-Taxes!T54</f>
        <v>-5961.24918703191</v>
      </c>
      <c r="V55" s="339" t="n">
        <f aca="false">-Taxes!U54</f>
        <v>-6273.89588122597</v>
      </c>
      <c r="W55" s="339" t="n">
        <f aca="false">-Taxes!V54</f>
        <v>-6542.82856386766</v>
      </c>
      <c r="X55" s="339" t="n">
        <f aca="false">-Taxes!W54</f>
        <v>-6834.3011705993</v>
      </c>
      <c r="Y55" s="339" t="n">
        <f aca="false">-Taxes!X54</f>
        <v>-2281.32304248797</v>
      </c>
      <c r="Z55" s="340" t="n">
        <f aca="false">SUM(E55:Y55)</f>
        <v>-60256.0008982152</v>
      </c>
      <c r="AA55" s="341"/>
      <c r="AB55" s="300" t="n">
        <f aca="false">AB54+1</f>
        <v>49</v>
      </c>
      <c r="AC55" s="341"/>
      <c r="AD55" s="341"/>
      <c r="AE55" s="341"/>
      <c r="AF55" s="341"/>
      <c r="AG55" s="341"/>
      <c r="AH55" s="341"/>
      <c r="AI55" s="341"/>
      <c r="AJ55" s="341"/>
      <c r="AK55" s="341"/>
      <c r="AL55" s="341"/>
      <c r="AM55" s="341"/>
      <c r="AN55" s="341"/>
      <c r="AO55" s="341"/>
      <c r="AP55" s="341"/>
      <c r="AQ55" s="341"/>
      <c r="AR55" s="341"/>
      <c r="AS55" s="341"/>
      <c r="AT55" s="341"/>
      <c r="AU55" s="341"/>
      <c r="AV55" s="341"/>
      <c r="AW55" s="341"/>
      <c r="AX55" s="341"/>
      <c r="AY55" s="341"/>
      <c r="AZ55" s="341"/>
      <c r="BA55" s="341"/>
      <c r="BB55" s="341"/>
      <c r="BC55" s="341"/>
      <c r="BD55" s="341"/>
      <c r="BE55" s="341"/>
      <c r="BF55" s="341"/>
      <c r="BG55" s="341"/>
      <c r="BH55" s="341"/>
      <c r="BI55" s="341"/>
      <c r="BJ55" s="341"/>
      <c r="BK55" s="341"/>
      <c r="BL55" s="341"/>
      <c r="BM55" s="341"/>
      <c r="BN55" s="341"/>
      <c r="BO55" s="341"/>
      <c r="BP55" s="341"/>
      <c r="BQ55" s="341"/>
      <c r="BR55" s="341"/>
      <c r="BS55" s="341"/>
      <c r="BT55" s="341"/>
      <c r="BU55" s="341"/>
      <c r="BV55" s="341"/>
      <c r="BW55" s="341"/>
      <c r="BX55" s="341"/>
      <c r="BY55" s="341"/>
      <c r="BZ55" s="341"/>
      <c r="CA55" s="341"/>
      <c r="CB55" s="341"/>
      <c r="CC55" s="341"/>
      <c r="CD55" s="341"/>
      <c r="CE55" s="341"/>
      <c r="CF55" s="341"/>
      <c r="CG55" s="341"/>
      <c r="CH55" s="341"/>
      <c r="CI55" s="341"/>
      <c r="CJ55" s="341"/>
      <c r="CK55" s="341"/>
      <c r="CL55" s="341"/>
      <c r="CM55" s="341"/>
      <c r="CN55" s="341"/>
      <c r="CO55" s="341"/>
      <c r="CP55" s="341"/>
      <c r="CQ55" s="341"/>
      <c r="CR55" s="341"/>
      <c r="CS55" s="341"/>
      <c r="CT55" s="341"/>
      <c r="CU55" s="341"/>
      <c r="CV55" s="341"/>
      <c r="CW55" s="341"/>
      <c r="CX55" s="341"/>
      <c r="CY55" s="341"/>
      <c r="CZ55" s="341"/>
      <c r="DA55" s="341"/>
      <c r="DB55" s="341"/>
      <c r="DC55" s="341"/>
      <c r="DD55" s="341"/>
      <c r="DE55" s="341"/>
      <c r="DF55" s="341"/>
      <c r="DG55" s="341"/>
      <c r="DH55" s="341"/>
      <c r="DI55" s="341"/>
      <c r="DJ55" s="341"/>
      <c r="DK55" s="341"/>
      <c r="DL55" s="341"/>
      <c r="DM55" s="341"/>
      <c r="DN55" s="341"/>
      <c r="DO55" s="341"/>
      <c r="DP55" s="341"/>
      <c r="DQ55" s="341"/>
      <c r="DR55" s="341"/>
      <c r="DS55" s="341"/>
      <c r="DT55" s="341"/>
      <c r="DU55" s="341"/>
      <c r="DV55" s="341"/>
      <c r="DW55" s="341"/>
      <c r="DX55" s="341"/>
      <c r="DY55" s="341"/>
      <c r="DZ55" s="341"/>
      <c r="EA55" s="341"/>
      <c r="EB55" s="341"/>
      <c r="EC55" s="341"/>
      <c r="ED55" s="341"/>
      <c r="EE55" s="341"/>
      <c r="EF55" s="341"/>
      <c r="EG55" s="341"/>
      <c r="EH55" s="341"/>
      <c r="EI55" s="341"/>
      <c r="EJ55" s="341"/>
      <c r="EK55" s="341"/>
      <c r="EL55" s="341"/>
      <c r="EM55" s="341"/>
      <c r="EN55" s="341"/>
      <c r="EO55" s="341"/>
      <c r="EP55" s="341"/>
      <c r="EQ55" s="341"/>
      <c r="ER55" s="341"/>
      <c r="ES55" s="341"/>
      <c r="ET55" s="341"/>
      <c r="EU55" s="341"/>
      <c r="EV55" s="341"/>
      <c r="EW55" s="341"/>
      <c r="EX55" s="341"/>
      <c r="EY55" s="341"/>
      <c r="EZ55" s="341"/>
      <c r="FA55" s="341"/>
      <c r="FB55" s="341"/>
      <c r="FC55" s="341"/>
      <c r="FD55" s="341"/>
      <c r="FE55" s="341"/>
      <c r="FF55" s="341"/>
      <c r="FG55" s="341"/>
      <c r="FH55" s="341"/>
      <c r="FI55" s="341"/>
      <c r="FJ55" s="341"/>
      <c r="FK55" s="341"/>
      <c r="FL55" s="341"/>
      <c r="FM55" s="341"/>
      <c r="FN55" s="341"/>
      <c r="FO55" s="341"/>
      <c r="FP55" s="341"/>
      <c r="FQ55" s="341"/>
      <c r="FR55" s="341"/>
      <c r="FS55" s="341"/>
      <c r="FT55" s="341"/>
      <c r="FU55" s="341"/>
      <c r="FV55" s="341"/>
      <c r="FW55" s="341"/>
      <c r="FX55" s="341"/>
      <c r="FY55" s="341"/>
      <c r="FZ55" s="341"/>
      <c r="GA55" s="341"/>
      <c r="GB55" s="341"/>
      <c r="GC55" s="341"/>
      <c r="GD55" s="341"/>
      <c r="GE55" s="341"/>
      <c r="GF55" s="341"/>
      <c r="GG55" s="341"/>
      <c r="GH55" s="341"/>
      <c r="GI55" s="341"/>
      <c r="GJ55" s="341"/>
      <c r="GK55" s="341"/>
      <c r="GL55" s="341"/>
      <c r="GM55" s="341"/>
      <c r="GN55" s="341"/>
      <c r="GO55" s="341"/>
      <c r="GP55" s="341"/>
      <c r="GQ55" s="341"/>
      <c r="GR55" s="341"/>
      <c r="GS55" s="341"/>
      <c r="GT55" s="341"/>
      <c r="GU55" s="341"/>
      <c r="GV55" s="341"/>
      <c r="GW55" s="341"/>
      <c r="GX55" s="341"/>
      <c r="GY55" s="341"/>
      <c r="GZ55" s="341"/>
      <c r="HA55" s="341"/>
      <c r="HB55" s="341"/>
      <c r="HC55" s="341"/>
      <c r="HD55" s="341"/>
      <c r="HE55" s="341"/>
      <c r="HF55" s="341"/>
      <c r="HG55" s="341"/>
      <c r="HH55" s="341"/>
      <c r="HI55" s="341"/>
      <c r="HJ55" s="341"/>
      <c r="HK55" s="341"/>
      <c r="HL55" s="341"/>
      <c r="HM55" s="341"/>
      <c r="HN55" s="341"/>
      <c r="HO55" s="341"/>
      <c r="HP55" s="341"/>
      <c r="HQ55" s="341"/>
      <c r="HR55" s="341"/>
      <c r="HS55" s="341"/>
      <c r="HT55" s="341"/>
      <c r="HU55" s="341"/>
      <c r="HV55" s="341"/>
      <c r="HW55" s="341"/>
      <c r="HX55" s="341"/>
      <c r="HY55" s="341"/>
      <c r="HZ55" s="341"/>
      <c r="IA55" s="341"/>
      <c r="IB55" s="341"/>
      <c r="IC55" s="341"/>
      <c r="ID55" s="341"/>
      <c r="IE55" s="341"/>
      <c r="IF55" s="341"/>
      <c r="IG55" s="341"/>
      <c r="IH55" s="341"/>
      <c r="II55" s="341"/>
      <c r="IJ55" s="341"/>
      <c r="IK55" s="341"/>
      <c r="IL55" s="341"/>
      <c r="IM55" s="341"/>
      <c r="IN55" s="341"/>
      <c r="IO55" s="341"/>
      <c r="IP55" s="341"/>
      <c r="IQ55" s="341"/>
      <c r="IR55" s="341"/>
      <c r="IS55" s="341"/>
      <c r="IT55" s="341"/>
      <c r="IU55" s="341"/>
      <c r="IV55" s="341"/>
      <c r="IW55" s="341"/>
    </row>
    <row r="56" customFormat="false" ht="12.75" hidden="false" customHeight="false" outlineLevel="0" collapsed="false">
      <c r="A56" s="327"/>
      <c r="B56" s="328"/>
      <c r="C56" s="328"/>
      <c r="D56" s="328"/>
      <c r="E56" s="326"/>
      <c r="F56" s="326"/>
      <c r="G56" s="326"/>
      <c r="H56" s="326"/>
      <c r="I56" s="326"/>
      <c r="J56" s="326"/>
      <c r="K56" s="326"/>
      <c r="L56" s="326"/>
      <c r="M56" s="326"/>
      <c r="N56" s="326"/>
      <c r="O56" s="326"/>
      <c r="P56" s="326"/>
      <c r="Q56" s="326"/>
      <c r="R56" s="326"/>
      <c r="S56" s="326"/>
      <c r="T56" s="326"/>
      <c r="U56" s="326"/>
      <c r="V56" s="326"/>
      <c r="W56" s="326"/>
      <c r="X56" s="326"/>
      <c r="Y56" s="326"/>
      <c r="Z56" s="330"/>
      <c r="AA56" s="346"/>
      <c r="AB56" s="300" t="n">
        <f aca="false">AB55+1</f>
        <v>50</v>
      </c>
      <c r="AC56" s="346"/>
      <c r="AD56" s="346"/>
      <c r="AE56" s="346"/>
      <c r="AF56" s="346"/>
      <c r="AG56" s="346"/>
      <c r="AH56" s="346"/>
      <c r="AI56" s="346"/>
      <c r="AJ56" s="346"/>
      <c r="AK56" s="346"/>
      <c r="AL56" s="346"/>
      <c r="AM56" s="346"/>
      <c r="AN56" s="346"/>
      <c r="AO56" s="346"/>
      <c r="AP56" s="346"/>
      <c r="AQ56" s="346"/>
      <c r="AR56" s="346"/>
      <c r="AS56" s="346"/>
      <c r="AT56" s="346"/>
      <c r="AU56" s="346"/>
      <c r="AV56" s="346"/>
      <c r="AW56" s="346"/>
      <c r="AX56" s="346"/>
      <c r="AY56" s="346"/>
      <c r="AZ56" s="346"/>
      <c r="BA56" s="346"/>
      <c r="BB56" s="346"/>
      <c r="BC56" s="346"/>
      <c r="BD56" s="346"/>
      <c r="BE56" s="346"/>
      <c r="BF56" s="346"/>
      <c r="BG56" s="346"/>
      <c r="BH56" s="346"/>
      <c r="BI56" s="346"/>
      <c r="BJ56" s="346"/>
      <c r="BK56" s="346"/>
      <c r="BL56" s="346"/>
      <c r="BM56" s="346"/>
      <c r="BN56" s="346"/>
      <c r="BO56" s="346"/>
      <c r="BP56" s="346"/>
      <c r="BQ56" s="346"/>
      <c r="BR56" s="346"/>
      <c r="BS56" s="346"/>
      <c r="BT56" s="346"/>
      <c r="BU56" s="346"/>
      <c r="BV56" s="346"/>
      <c r="BW56" s="346"/>
      <c r="BX56" s="346"/>
      <c r="BY56" s="346"/>
      <c r="BZ56" s="346"/>
      <c r="CA56" s="346"/>
      <c r="CB56" s="346"/>
      <c r="CC56" s="346"/>
      <c r="CD56" s="346"/>
      <c r="CE56" s="346"/>
      <c r="CF56" s="346"/>
      <c r="CG56" s="346"/>
      <c r="CH56" s="346"/>
      <c r="CI56" s="346"/>
      <c r="CJ56" s="346"/>
      <c r="CK56" s="346"/>
      <c r="CL56" s="346"/>
      <c r="CM56" s="346"/>
      <c r="CN56" s="346"/>
      <c r="CO56" s="346"/>
      <c r="CP56" s="346"/>
      <c r="CQ56" s="346"/>
      <c r="CR56" s="346"/>
      <c r="CS56" s="346"/>
      <c r="CT56" s="346"/>
      <c r="CU56" s="346"/>
      <c r="CV56" s="346"/>
      <c r="CW56" s="346"/>
      <c r="CX56" s="346"/>
      <c r="CY56" s="346"/>
      <c r="CZ56" s="346"/>
      <c r="DA56" s="346"/>
      <c r="DB56" s="346"/>
      <c r="DC56" s="346"/>
      <c r="DD56" s="346"/>
      <c r="DE56" s="346"/>
      <c r="DF56" s="346"/>
      <c r="DG56" s="346"/>
      <c r="DH56" s="346"/>
      <c r="DI56" s="346"/>
      <c r="DJ56" s="346"/>
      <c r="DK56" s="346"/>
      <c r="DL56" s="346"/>
      <c r="DM56" s="346"/>
      <c r="DN56" s="346"/>
      <c r="DO56" s="346"/>
      <c r="DP56" s="346"/>
      <c r="DQ56" s="346"/>
      <c r="DR56" s="346"/>
      <c r="DS56" s="346"/>
      <c r="DT56" s="346"/>
      <c r="DU56" s="346"/>
      <c r="DV56" s="346"/>
      <c r="DW56" s="346"/>
      <c r="DX56" s="346"/>
      <c r="DY56" s="346"/>
      <c r="DZ56" s="346"/>
      <c r="EA56" s="346"/>
      <c r="EB56" s="346"/>
      <c r="EC56" s="346"/>
      <c r="ED56" s="346"/>
      <c r="EE56" s="346"/>
      <c r="EF56" s="346"/>
      <c r="EG56" s="346"/>
      <c r="EH56" s="346"/>
      <c r="EI56" s="346"/>
      <c r="EJ56" s="346"/>
      <c r="EK56" s="346"/>
      <c r="EL56" s="346"/>
      <c r="EM56" s="346"/>
      <c r="EN56" s="346"/>
      <c r="EO56" s="346"/>
      <c r="EP56" s="346"/>
      <c r="EQ56" s="346"/>
      <c r="ER56" s="346"/>
      <c r="ES56" s="346"/>
      <c r="ET56" s="346"/>
      <c r="EU56" s="346"/>
      <c r="EV56" s="346"/>
      <c r="EW56" s="346"/>
      <c r="EX56" s="346"/>
      <c r="EY56" s="346"/>
      <c r="EZ56" s="346"/>
      <c r="FA56" s="346"/>
      <c r="FB56" s="346"/>
      <c r="FC56" s="346"/>
      <c r="FD56" s="346"/>
      <c r="FE56" s="346"/>
      <c r="FF56" s="346"/>
      <c r="FG56" s="346"/>
      <c r="FH56" s="346"/>
      <c r="FI56" s="346"/>
      <c r="FJ56" s="346"/>
      <c r="FK56" s="346"/>
      <c r="FL56" s="346"/>
      <c r="FM56" s="346"/>
      <c r="FN56" s="346"/>
      <c r="FO56" s="346"/>
      <c r="FP56" s="346"/>
      <c r="FQ56" s="346"/>
      <c r="FR56" s="346"/>
      <c r="FS56" s="346"/>
      <c r="FT56" s="346"/>
      <c r="FU56" s="346"/>
      <c r="FV56" s="346"/>
      <c r="FW56" s="346"/>
      <c r="FX56" s="346"/>
      <c r="FY56" s="346"/>
      <c r="FZ56" s="346"/>
      <c r="GA56" s="346"/>
      <c r="GB56" s="346"/>
      <c r="GC56" s="346"/>
      <c r="GD56" s="346"/>
      <c r="GE56" s="346"/>
      <c r="GF56" s="346"/>
      <c r="GG56" s="346"/>
      <c r="GH56" s="346"/>
      <c r="GI56" s="346"/>
      <c r="GJ56" s="346"/>
      <c r="GK56" s="346"/>
      <c r="GL56" s="346"/>
      <c r="GM56" s="346"/>
      <c r="GN56" s="346"/>
      <c r="GO56" s="346"/>
      <c r="GP56" s="346"/>
      <c r="GQ56" s="346"/>
      <c r="GR56" s="346"/>
      <c r="GS56" s="346"/>
      <c r="GT56" s="346"/>
      <c r="GU56" s="346"/>
      <c r="GV56" s="346"/>
      <c r="GW56" s="346"/>
      <c r="GX56" s="346"/>
      <c r="GY56" s="346"/>
      <c r="GZ56" s="346"/>
      <c r="HA56" s="346"/>
      <c r="HB56" s="346"/>
      <c r="HC56" s="346"/>
      <c r="HD56" s="346"/>
      <c r="HE56" s="346"/>
      <c r="HF56" s="346"/>
      <c r="HG56" s="346"/>
      <c r="HH56" s="346"/>
      <c r="HI56" s="346"/>
      <c r="HJ56" s="346"/>
      <c r="HK56" s="346"/>
      <c r="HL56" s="346"/>
      <c r="HM56" s="346"/>
      <c r="HN56" s="346"/>
      <c r="HO56" s="346"/>
      <c r="HP56" s="346"/>
      <c r="HQ56" s="346"/>
      <c r="HR56" s="346"/>
      <c r="HS56" s="346"/>
      <c r="HT56" s="346"/>
      <c r="HU56" s="346"/>
      <c r="HV56" s="346"/>
      <c r="HW56" s="346"/>
      <c r="HX56" s="346"/>
      <c r="HY56" s="346"/>
      <c r="HZ56" s="346"/>
      <c r="IA56" s="346"/>
      <c r="IB56" s="346"/>
      <c r="IC56" s="346"/>
      <c r="ID56" s="346"/>
      <c r="IE56" s="346"/>
      <c r="IF56" s="346"/>
      <c r="IG56" s="346"/>
      <c r="IH56" s="346"/>
      <c r="II56" s="346"/>
      <c r="IJ56" s="346"/>
      <c r="IK56" s="346"/>
      <c r="IL56" s="346"/>
      <c r="IM56" s="346"/>
      <c r="IN56" s="346"/>
      <c r="IO56" s="346"/>
      <c r="IP56" s="346"/>
      <c r="IQ56" s="346"/>
      <c r="IR56" s="346"/>
      <c r="IS56" s="346"/>
      <c r="IT56" s="346"/>
      <c r="IU56" s="346"/>
      <c r="IV56" s="346"/>
      <c r="IW56" s="346"/>
    </row>
    <row r="57" customFormat="false" ht="12.75" hidden="false" customHeight="false" outlineLevel="0" collapsed="false">
      <c r="A57" s="347" t="s">
        <v>350</v>
      </c>
      <c r="B57" s="348"/>
      <c r="C57" s="348"/>
      <c r="D57" s="348"/>
      <c r="E57" s="349" t="n">
        <f aca="false">SUM(E54:E55)</f>
        <v>0</v>
      </c>
      <c r="F57" s="349" t="n">
        <f aca="false">SUM(F54:F55)</f>
        <v>-13.2759999379246</v>
      </c>
      <c r="G57" s="349" t="n">
        <f aca="false">SUM(G54:G55)</f>
        <v>-1837.50898141714</v>
      </c>
      <c r="H57" s="349" t="n">
        <f aca="false">SUM(H54:H55)</f>
        <v>-3586.48060049747</v>
      </c>
      <c r="I57" s="349" t="n">
        <f aca="false">SUM(I54:I55)</f>
        <v>-4045.25450410579</v>
      </c>
      <c r="J57" s="349" t="n">
        <f aca="false">SUM(J54:J55)</f>
        <v>1886.41540495857</v>
      </c>
      <c r="K57" s="349" t="n">
        <f aca="false">SUM(K54:K55)</f>
        <v>2960.61663485649</v>
      </c>
      <c r="L57" s="349" t="n">
        <f aca="false">SUM(L54:L55)</f>
        <v>7158.05585272979</v>
      </c>
      <c r="M57" s="349" t="n">
        <f aca="false">SUM(M54:M55)</f>
        <v>7522.2662368031</v>
      </c>
      <c r="N57" s="349" t="n">
        <f aca="false">SUM(N54:N55)</f>
        <v>8501.76090925641</v>
      </c>
      <c r="O57" s="349" t="n">
        <f aca="false">SUM(O54:O55)</f>
        <v>10078.227806453</v>
      </c>
      <c r="P57" s="349" t="n">
        <f aca="false">SUM(P54:P55)</f>
        <v>11121.7176876977</v>
      </c>
      <c r="Q57" s="349" t="n">
        <f aca="false">SUM(Q54:Q55)</f>
        <v>12405.298548203</v>
      </c>
      <c r="R57" s="349" t="n">
        <f aca="false">SUM(R54:R55)</f>
        <v>14430.1795826512</v>
      </c>
      <c r="S57" s="349" t="n">
        <f aca="false">SUM(S54:S55)</f>
        <v>13959.6941821409</v>
      </c>
      <c r="T57" s="349" t="n">
        <f aca="false">SUM(T54:T55)</f>
        <v>16545.4963992153</v>
      </c>
      <c r="U57" s="349" t="n">
        <f aca="false">SUM(U54:U55)</f>
        <v>17883.7475610957</v>
      </c>
      <c r="V57" s="349" t="n">
        <f aca="false">SUM(V54:V55)</f>
        <v>18821.6876436779</v>
      </c>
      <c r="W57" s="349" t="n">
        <f aca="false">SUM(W54:W55)</f>
        <v>19628.485691603</v>
      </c>
      <c r="X57" s="349" t="n">
        <f aca="false">SUM(X54:X55)</f>
        <v>20502.9035117979</v>
      </c>
      <c r="Y57" s="349" t="n">
        <f aca="false">SUM(Y54:Y55)</f>
        <v>6843.9691274639</v>
      </c>
      <c r="Z57" s="350" t="n">
        <f aca="false">SUM(E57:Y57)</f>
        <v>180768.002694646</v>
      </c>
      <c r="AA57" s="328"/>
      <c r="AB57" s="300" t="n">
        <f aca="false">AB56+1</f>
        <v>51</v>
      </c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8"/>
      <c r="BK57" s="328"/>
      <c r="BL57" s="328"/>
      <c r="BM57" s="328"/>
      <c r="BN57" s="328"/>
      <c r="BO57" s="328"/>
      <c r="BP57" s="328"/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  <c r="CC57" s="328"/>
      <c r="CD57" s="328"/>
      <c r="CE57" s="328"/>
      <c r="CF57" s="328"/>
      <c r="CG57" s="328"/>
      <c r="CH57" s="328"/>
      <c r="CI57" s="328"/>
      <c r="CJ57" s="328"/>
      <c r="CK57" s="328"/>
      <c r="CL57" s="328"/>
      <c r="CM57" s="328"/>
      <c r="CN57" s="328"/>
      <c r="CO57" s="328"/>
      <c r="CP57" s="328"/>
      <c r="CQ57" s="328"/>
      <c r="CR57" s="328"/>
      <c r="CS57" s="328"/>
      <c r="CT57" s="328"/>
      <c r="CU57" s="328"/>
      <c r="CV57" s="328"/>
      <c r="CW57" s="328"/>
      <c r="CX57" s="328"/>
      <c r="CY57" s="328"/>
      <c r="CZ57" s="328"/>
      <c r="DA57" s="328"/>
      <c r="DB57" s="328"/>
      <c r="DC57" s="328"/>
      <c r="DD57" s="328"/>
      <c r="DE57" s="328"/>
      <c r="DF57" s="328"/>
      <c r="DG57" s="328"/>
      <c r="DH57" s="328"/>
      <c r="DI57" s="328"/>
      <c r="DJ57" s="328"/>
      <c r="DK57" s="328"/>
      <c r="DL57" s="328"/>
      <c r="DM57" s="328"/>
      <c r="DN57" s="328"/>
      <c r="DO57" s="328"/>
      <c r="DP57" s="328"/>
      <c r="DQ57" s="328"/>
      <c r="DR57" s="328"/>
      <c r="DS57" s="328"/>
      <c r="DT57" s="328"/>
      <c r="DU57" s="328"/>
      <c r="DV57" s="328"/>
      <c r="DW57" s="328"/>
      <c r="DX57" s="328"/>
      <c r="DY57" s="328"/>
      <c r="DZ57" s="328"/>
      <c r="EA57" s="328"/>
      <c r="EB57" s="328"/>
      <c r="EC57" s="328"/>
      <c r="ED57" s="328"/>
      <c r="EE57" s="328"/>
      <c r="EF57" s="328"/>
      <c r="EG57" s="328"/>
      <c r="EH57" s="328"/>
      <c r="EI57" s="328"/>
      <c r="EJ57" s="328"/>
      <c r="EK57" s="328"/>
      <c r="EL57" s="328"/>
      <c r="EM57" s="328"/>
      <c r="EN57" s="328"/>
      <c r="EO57" s="328"/>
      <c r="EP57" s="328"/>
      <c r="EQ57" s="328"/>
      <c r="ER57" s="328"/>
      <c r="ES57" s="328"/>
      <c r="ET57" s="328"/>
      <c r="EU57" s="328"/>
      <c r="EV57" s="328"/>
      <c r="EW57" s="328"/>
      <c r="EX57" s="328"/>
      <c r="EY57" s="328"/>
      <c r="EZ57" s="328"/>
      <c r="FA57" s="328"/>
      <c r="FB57" s="328"/>
      <c r="FC57" s="328"/>
      <c r="FD57" s="328"/>
      <c r="FE57" s="328"/>
      <c r="FF57" s="328"/>
      <c r="FG57" s="328"/>
      <c r="FH57" s="328"/>
      <c r="FI57" s="328"/>
      <c r="FJ57" s="328"/>
      <c r="FK57" s="328"/>
      <c r="FL57" s="328"/>
      <c r="FM57" s="328"/>
      <c r="FN57" s="328"/>
      <c r="FO57" s="328"/>
      <c r="FP57" s="328"/>
      <c r="FQ57" s="328"/>
      <c r="FR57" s="328"/>
      <c r="FS57" s="328"/>
      <c r="FT57" s="328"/>
      <c r="FU57" s="328"/>
      <c r="FV57" s="328"/>
      <c r="FW57" s="328"/>
      <c r="FX57" s="328"/>
      <c r="FY57" s="328"/>
      <c r="FZ57" s="328"/>
      <c r="GA57" s="328"/>
      <c r="GB57" s="328"/>
      <c r="GC57" s="328"/>
      <c r="GD57" s="328"/>
      <c r="GE57" s="328"/>
      <c r="GF57" s="328"/>
      <c r="GG57" s="328"/>
      <c r="GH57" s="328"/>
      <c r="GI57" s="328"/>
      <c r="GJ57" s="328"/>
      <c r="GK57" s="328"/>
      <c r="GL57" s="328"/>
      <c r="GM57" s="328"/>
      <c r="GN57" s="328"/>
      <c r="GO57" s="328"/>
      <c r="GP57" s="328"/>
      <c r="GQ57" s="328"/>
      <c r="GR57" s="328"/>
      <c r="GS57" s="328"/>
      <c r="GT57" s="328"/>
      <c r="GU57" s="328"/>
      <c r="GV57" s="328"/>
      <c r="GW57" s="328"/>
      <c r="GX57" s="328"/>
      <c r="GY57" s="328"/>
      <c r="GZ57" s="328"/>
      <c r="HA57" s="328"/>
      <c r="HB57" s="328"/>
      <c r="HC57" s="328"/>
      <c r="HD57" s="328"/>
      <c r="HE57" s="328"/>
      <c r="HF57" s="328"/>
      <c r="HG57" s="328"/>
      <c r="HH57" s="328"/>
      <c r="HI57" s="328"/>
      <c r="HJ57" s="328"/>
      <c r="HK57" s="328"/>
      <c r="HL57" s="328"/>
      <c r="HM57" s="328"/>
      <c r="HN57" s="328"/>
      <c r="HO57" s="328"/>
      <c r="HP57" s="328"/>
      <c r="HQ57" s="328"/>
      <c r="HR57" s="328"/>
      <c r="HS57" s="328"/>
      <c r="HT57" s="328"/>
      <c r="HU57" s="328"/>
      <c r="HV57" s="328"/>
      <c r="HW57" s="328"/>
      <c r="HX57" s="328"/>
      <c r="HY57" s="328"/>
      <c r="HZ57" s="328"/>
      <c r="IA57" s="328"/>
      <c r="IB57" s="328"/>
      <c r="IC57" s="328"/>
      <c r="ID57" s="328"/>
      <c r="IE57" s="328"/>
      <c r="IF57" s="328"/>
      <c r="IG57" s="328"/>
      <c r="IH57" s="328"/>
      <c r="II57" s="328"/>
      <c r="IJ57" s="328"/>
      <c r="IK57" s="328"/>
      <c r="IL57" s="328"/>
      <c r="IM57" s="328"/>
      <c r="IN57" s="328"/>
      <c r="IO57" s="328"/>
      <c r="IP57" s="328"/>
      <c r="IQ57" s="328"/>
      <c r="IR57" s="328"/>
      <c r="IS57" s="328"/>
      <c r="IT57" s="328"/>
      <c r="IU57" s="328"/>
      <c r="IV57" s="328"/>
      <c r="IW57" s="328"/>
    </row>
    <row r="58" customFormat="false" ht="12.75" hidden="false" customHeight="false" outlineLevel="0" collapsed="false">
      <c r="A58" s="351"/>
      <c r="B58" s="352"/>
      <c r="C58" s="352"/>
      <c r="D58" s="353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5"/>
      <c r="AA58" s="328"/>
      <c r="AB58" s="300" t="n">
        <f aca="false">AB57+1</f>
        <v>52</v>
      </c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BI58" s="328"/>
      <c r="BJ58" s="328"/>
      <c r="BK58" s="328"/>
      <c r="BL58" s="328"/>
      <c r="BM58" s="328"/>
      <c r="BN58" s="328"/>
      <c r="BO58" s="328"/>
      <c r="BP58" s="328"/>
      <c r="BQ58" s="328"/>
      <c r="BR58" s="328"/>
      <c r="BS58" s="328"/>
      <c r="BT58" s="328"/>
      <c r="BU58" s="328"/>
      <c r="BV58" s="328"/>
      <c r="BW58" s="328"/>
      <c r="BX58" s="328"/>
      <c r="BY58" s="328"/>
      <c r="BZ58" s="328"/>
      <c r="CA58" s="328"/>
      <c r="CB58" s="328"/>
      <c r="CC58" s="328"/>
      <c r="CD58" s="328"/>
      <c r="CE58" s="328"/>
      <c r="CF58" s="328"/>
      <c r="CG58" s="328"/>
      <c r="CH58" s="328"/>
      <c r="CI58" s="328"/>
      <c r="CJ58" s="328"/>
      <c r="CK58" s="328"/>
      <c r="CL58" s="328"/>
      <c r="CM58" s="328"/>
      <c r="CN58" s="328"/>
      <c r="CO58" s="328"/>
      <c r="CP58" s="328"/>
      <c r="CQ58" s="328"/>
      <c r="CR58" s="328"/>
      <c r="CS58" s="328"/>
      <c r="CT58" s="328"/>
      <c r="CU58" s="328"/>
      <c r="CV58" s="328"/>
      <c r="CW58" s="328"/>
      <c r="CX58" s="328"/>
      <c r="CY58" s="328"/>
      <c r="CZ58" s="328"/>
      <c r="DA58" s="328"/>
      <c r="DB58" s="328"/>
      <c r="DC58" s="328"/>
      <c r="DD58" s="328"/>
      <c r="DE58" s="328"/>
      <c r="DF58" s="328"/>
      <c r="DG58" s="328"/>
      <c r="DH58" s="328"/>
      <c r="DI58" s="328"/>
      <c r="DJ58" s="328"/>
      <c r="DK58" s="328"/>
      <c r="DL58" s="328"/>
      <c r="DM58" s="328"/>
      <c r="DN58" s="328"/>
      <c r="DO58" s="328"/>
      <c r="DP58" s="328"/>
      <c r="DQ58" s="328"/>
      <c r="DR58" s="328"/>
      <c r="DS58" s="328"/>
      <c r="DT58" s="328"/>
      <c r="DU58" s="328"/>
      <c r="DV58" s="328"/>
      <c r="DW58" s="328"/>
      <c r="DX58" s="328"/>
      <c r="DY58" s="328"/>
      <c r="DZ58" s="328"/>
      <c r="EA58" s="328"/>
      <c r="EB58" s="328"/>
      <c r="EC58" s="328"/>
      <c r="ED58" s="328"/>
      <c r="EE58" s="328"/>
      <c r="EF58" s="328"/>
      <c r="EG58" s="328"/>
      <c r="EH58" s="328"/>
      <c r="EI58" s="328"/>
      <c r="EJ58" s="328"/>
      <c r="EK58" s="328"/>
      <c r="EL58" s="328"/>
      <c r="EM58" s="328"/>
      <c r="EN58" s="328"/>
      <c r="EO58" s="328"/>
      <c r="EP58" s="328"/>
      <c r="EQ58" s="328"/>
      <c r="ER58" s="328"/>
      <c r="ES58" s="328"/>
      <c r="ET58" s="328"/>
      <c r="EU58" s="328"/>
      <c r="EV58" s="328"/>
      <c r="EW58" s="328"/>
      <c r="EX58" s="328"/>
      <c r="EY58" s="328"/>
      <c r="EZ58" s="328"/>
      <c r="FA58" s="328"/>
      <c r="FB58" s="328"/>
      <c r="FC58" s="328"/>
      <c r="FD58" s="328"/>
      <c r="FE58" s="328"/>
      <c r="FF58" s="328"/>
      <c r="FG58" s="328"/>
      <c r="FH58" s="328"/>
      <c r="FI58" s="328"/>
      <c r="FJ58" s="328"/>
      <c r="FK58" s="328"/>
      <c r="FL58" s="328"/>
      <c r="FM58" s="328"/>
      <c r="FN58" s="328"/>
      <c r="FO58" s="328"/>
      <c r="FP58" s="328"/>
      <c r="FQ58" s="328"/>
      <c r="FR58" s="328"/>
      <c r="FS58" s="328"/>
      <c r="FT58" s="328"/>
      <c r="FU58" s="328"/>
      <c r="FV58" s="328"/>
      <c r="FW58" s="328"/>
      <c r="FX58" s="328"/>
      <c r="FY58" s="328"/>
      <c r="FZ58" s="328"/>
      <c r="GA58" s="328"/>
      <c r="GB58" s="328"/>
      <c r="GC58" s="328"/>
      <c r="GD58" s="328"/>
      <c r="GE58" s="328"/>
      <c r="GF58" s="328"/>
      <c r="GG58" s="328"/>
      <c r="GH58" s="328"/>
      <c r="GI58" s="328"/>
      <c r="GJ58" s="328"/>
      <c r="GK58" s="328"/>
      <c r="GL58" s="328"/>
      <c r="GM58" s="328"/>
      <c r="GN58" s="328"/>
      <c r="GO58" s="328"/>
      <c r="GP58" s="328"/>
      <c r="GQ58" s="328"/>
      <c r="GR58" s="328"/>
      <c r="GS58" s="328"/>
      <c r="GT58" s="328"/>
      <c r="GU58" s="328"/>
      <c r="GV58" s="328"/>
      <c r="GW58" s="328"/>
      <c r="GX58" s="328"/>
      <c r="GY58" s="328"/>
      <c r="GZ58" s="328"/>
      <c r="HA58" s="328"/>
      <c r="HB58" s="328"/>
      <c r="HC58" s="328"/>
      <c r="HD58" s="328"/>
      <c r="HE58" s="328"/>
      <c r="HF58" s="328"/>
      <c r="HG58" s="328"/>
      <c r="HH58" s="328"/>
      <c r="HI58" s="328"/>
      <c r="HJ58" s="328"/>
      <c r="HK58" s="328"/>
      <c r="HL58" s="328"/>
      <c r="HM58" s="328"/>
      <c r="HN58" s="328"/>
      <c r="HO58" s="328"/>
      <c r="HP58" s="328"/>
      <c r="HQ58" s="328"/>
      <c r="HR58" s="328"/>
      <c r="HS58" s="328"/>
      <c r="HT58" s="328"/>
      <c r="HU58" s="328"/>
      <c r="HV58" s="328"/>
      <c r="HW58" s="328"/>
      <c r="HX58" s="328"/>
      <c r="HY58" s="328"/>
      <c r="HZ58" s="328"/>
      <c r="IA58" s="328"/>
      <c r="IB58" s="328"/>
      <c r="IC58" s="328"/>
      <c r="ID58" s="328"/>
      <c r="IE58" s="328"/>
      <c r="IF58" s="328"/>
      <c r="IG58" s="328"/>
      <c r="IH58" s="328"/>
      <c r="II58" s="328"/>
      <c r="IJ58" s="328"/>
      <c r="IK58" s="328"/>
      <c r="IL58" s="328"/>
      <c r="IM58" s="328"/>
      <c r="IN58" s="328"/>
      <c r="IO58" s="328"/>
      <c r="IP58" s="328"/>
      <c r="IQ58" s="328"/>
      <c r="IR58" s="328"/>
      <c r="IS58" s="328"/>
      <c r="IT58" s="328"/>
      <c r="IU58" s="328"/>
      <c r="IV58" s="328"/>
      <c r="IW58" s="328"/>
    </row>
    <row r="59" customFormat="false" ht="12.75" hidden="false" customHeight="false" outlineLevel="0" collapsed="false">
      <c r="A59" s="356"/>
      <c r="B59" s="357" t="s">
        <v>351</v>
      </c>
      <c r="C59" s="328"/>
      <c r="D59" s="328"/>
      <c r="E59" s="326" t="n">
        <f aca="false">-E47</f>
        <v>0</v>
      </c>
      <c r="F59" s="326" t="n">
        <f aca="false">-F47</f>
        <v>0</v>
      </c>
      <c r="G59" s="326" t="n">
        <f aca="false">-G47</f>
        <v>6008.74946235871</v>
      </c>
      <c r="H59" s="326" t="n">
        <f aca="false">-H47</f>
        <v>7210.49935483045</v>
      </c>
      <c r="I59" s="326" t="n">
        <f aca="false">-I47</f>
        <v>7210.49935483045</v>
      </c>
      <c r="J59" s="326" t="n">
        <f aca="false">-J47</f>
        <v>7210.49935483045</v>
      </c>
      <c r="K59" s="326" t="n">
        <f aca="false">-K47</f>
        <v>7210.49935483045</v>
      </c>
      <c r="L59" s="326" t="n">
        <f aca="false">-L47</f>
        <v>7210.49935483045</v>
      </c>
      <c r="M59" s="326" t="n">
        <f aca="false">-M47</f>
        <v>7210.49935483045</v>
      </c>
      <c r="N59" s="326" t="n">
        <f aca="false">-N47</f>
        <v>7210.49935483045</v>
      </c>
      <c r="O59" s="326" t="n">
        <f aca="false">-O47</f>
        <v>7210.49935483045</v>
      </c>
      <c r="P59" s="326" t="n">
        <f aca="false">-P47</f>
        <v>7210.49935483045</v>
      </c>
      <c r="Q59" s="326" t="n">
        <f aca="false">-Q47</f>
        <v>7210.49935483045</v>
      </c>
      <c r="R59" s="326" t="n">
        <f aca="false">-R47</f>
        <v>7210.49935483045</v>
      </c>
      <c r="S59" s="326" t="n">
        <f aca="false">-S47</f>
        <v>7210.49935483045</v>
      </c>
      <c r="T59" s="326" t="n">
        <f aca="false">-T47</f>
        <v>7210.49935483045</v>
      </c>
      <c r="U59" s="326" t="n">
        <f aca="false">-U47</f>
        <v>7210.49935483045</v>
      </c>
      <c r="V59" s="326" t="n">
        <f aca="false">-V47</f>
        <v>7210.49935483045</v>
      </c>
      <c r="W59" s="326" t="n">
        <f aca="false">-W47</f>
        <v>7210.49935483045</v>
      </c>
      <c r="X59" s="326" t="n">
        <f aca="false">-X47</f>
        <v>7210.49935483045</v>
      </c>
      <c r="Y59" s="326" t="n">
        <f aca="false">-Y47</f>
        <v>2403.49978494348</v>
      </c>
      <c r="Z59" s="330" t="n">
        <f aca="false">SUM(E59:Y59)</f>
        <v>130990.73827942</v>
      </c>
      <c r="AA59" s="341"/>
      <c r="AB59" s="300" t="n">
        <f aca="false">AB58+1</f>
        <v>53</v>
      </c>
      <c r="AC59" s="341"/>
      <c r="AD59" s="341"/>
      <c r="AE59" s="341"/>
      <c r="AF59" s="341"/>
      <c r="AG59" s="341"/>
      <c r="AH59" s="341"/>
      <c r="AI59" s="341"/>
      <c r="AJ59" s="341"/>
      <c r="AK59" s="341"/>
      <c r="AL59" s="341"/>
      <c r="AM59" s="341"/>
      <c r="AN59" s="341"/>
      <c r="AO59" s="341"/>
      <c r="AP59" s="341"/>
      <c r="AQ59" s="341"/>
      <c r="AR59" s="341"/>
      <c r="AS59" s="341"/>
      <c r="AT59" s="341"/>
      <c r="AU59" s="341"/>
      <c r="AV59" s="341"/>
      <c r="AW59" s="341"/>
      <c r="AX59" s="341"/>
      <c r="AY59" s="341"/>
      <c r="AZ59" s="341"/>
      <c r="BA59" s="341"/>
      <c r="BB59" s="341"/>
      <c r="BC59" s="341"/>
      <c r="BD59" s="341"/>
      <c r="BE59" s="341"/>
      <c r="BF59" s="341"/>
      <c r="BG59" s="341"/>
      <c r="BH59" s="341"/>
      <c r="BI59" s="341"/>
      <c r="BJ59" s="341"/>
      <c r="BK59" s="341"/>
      <c r="BL59" s="341"/>
      <c r="BM59" s="341"/>
      <c r="BN59" s="341"/>
      <c r="BO59" s="341"/>
      <c r="BP59" s="341"/>
      <c r="BQ59" s="341"/>
      <c r="BR59" s="341"/>
      <c r="BS59" s="341"/>
      <c r="BT59" s="341"/>
      <c r="BU59" s="341"/>
      <c r="BV59" s="341"/>
      <c r="BW59" s="341"/>
      <c r="BX59" s="341"/>
      <c r="BY59" s="341"/>
      <c r="BZ59" s="341"/>
      <c r="CA59" s="341"/>
      <c r="CB59" s="341"/>
      <c r="CC59" s="341"/>
      <c r="CD59" s="341"/>
      <c r="CE59" s="341"/>
      <c r="CF59" s="341"/>
      <c r="CG59" s="341"/>
      <c r="CH59" s="341"/>
      <c r="CI59" s="341"/>
      <c r="CJ59" s="341"/>
      <c r="CK59" s="341"/>
      <c r="CL59" s="341"/>
      <c r="CM59" s="341"/>
      <c r="CN59" s="341"/>
      <c r="CO59" s="341"/>
      <c r="CP59" s="341"/>
      <c r="CQ59" s="341"/>
      <c r="CR59" s="341"/>
      <c r="CS59" s="341"/>
      <c r="CT59" s="341"/>
      <c r="CU59" s="341"/>
      <c r="CV59" s="341"/>
      <c r="CW59" s="341"/>
      <c r="CX59" s="341"/>
      <c r="CY59" s="341"/>
      <c r="CZ59" s="341"/>
      <c r="DA59" s="341"/>
      <c r="DB59" s="341"/>
      <c r="DC59" s="341"/>
      <c r="DD59" s="341"/>
      <c r="DE59" s="341"/>
      <c r="DF59" s="341"/>
      <c r="DG59" s="341"/>
      <c r="DH59" s="341"/>
      <c r="DI59" s="341"/>
      <c r="DJ59" s="341"/>
      <c r="DK59" s="341"/>
      <c r="DL59" s="341"/>
      <c r="DM59" s="341"/>
      <c r="DN59" s="341"/>
      <c r="DO59" s="341"/>
      <c r="DP59" s="341"/>
      <c r="DQ59" s="341"/>
      <c r="DR59" s="341"/>
      <c r="DS59" s="341"/>
      <c r="DT59" s="341"/>
      <c r="DU59" s="341"/>
      <c r="DV59" s="341"/>
      <c r="DW59" s="341"/>
      <c r="DX59" s="341"/>
      <c r="DY59" s="341"/>
      <c r="DZ59" s="341"/>
      <c r="EA59" s="341"/>
      <c r="EB59" s="341"/>
      <c r="EC59" s="341"/>
      <c r="ED59" s="341"/>
      <c r="EE59" s="341"/>
      <c r="EF59" s="341"/>
      <c r="EG59" s="341"/>
      <c r="EH59" s="341"/>
      <c r="EI59" s="341"/>
      <c r="EJ59" s="341"/>
      <c r="EK59" s="341"/>
      <c r="EL59" s="341"/>
      <c r="EM59" s="341"/>
      <c r="EN59" s="341"/>
      <c r="EO59" s="341"/>
      <c r="EP59" s="341"/>
      <c r="EQ59" s="341"/>
      <c r="ER59" s="341"/>
      <c r="ES59" s="341"/>
      <c r="ET59" s="341"/>
      <c r="EU59" s="341"/>
      <c r="EV59" s="341"/>
      <c r="EW59" s="341"/>
      <c r="EX59" s="341"/>
      <c r="EY59" s="341"/>
      <c r="EZ59" s="341"/>
      <c r="FA59" s="341"/>
      <c r="FB59" s="341"/>
      <c r="FC59" s="341"/>
      <c r="FD59" s="341"/>
      <c r="FE59" s="341"/>
      <c r="FF59" s="341"/>
      <c r="FG59" s="341"/>
      <c r="FH59" s="341"/>
      <c r="FI59" s="341"/>
      <c r="FJ59" s="341"/>
      <c r="FK59" s="341"/>
      <c r="FL59" s="341"/>
      <c r="FM59" s="341"/>
      <c r="FN59" s="341"/>
      <c r="FO59" s="341"/>
      <c r="FP59" s="341"/>
      <c r="FQ59" s="341"/>
      <c r="FR59" s="341"/>
      <c r="FS59" s="341"/>
      <c r="FT59" s="341"/>
      <c r="FU59" s="341"/>
      <c r="FV59" s="341"/>
      <c r="FW59" s="341"/>
      <c r="FX59" s="341"/>
      <c r="FY59" s="341"/>
      <c r="FZ59" s="341"/>
      <c r="GA59" s="341"/>
      <c r="GB59" s="341"/>
      <c r="GC59" s="341"/>
      <c r="GD59" s="341"/>
      <c r="GE59" s="341"/>
      <c r="GF59" s="341"/>
      <c r="GG59" s="341"/>
      <c r="GH59" s="341"/>
      <c r="GI59" s="341"/>
      <c r="GJ59" s="341"/>
      <c r="GK59" s="341"/>
      <c r="GL59" s="341"/>
      <c r="GM59" s="341"/>
      <c r="GN59" s="341"/>
      <c r="GO59" s="341"/>
      <c r="GP59" s="341"/>
      <c r="GQ59" s="341"/>
      <c r="GR59" s="341"/>
      <c r="GS59" s="341"/>
      <c r="GT59" s="341"/>
      <c r="GU59" s="341"/>
      <c r="GV59" s="341"/>
      <c r="GW59" s="341"/>
      <c r="GX59" s="341"/>
      <c r="GY59" s="341"/>
      <c r="GZ59" s="341"/>
      <c r="HA59" s="341"/>
      <c r="HB59" s="341"/>
      <c r="HC59" s="341"/>
      <c r="HD59" s="341"/>
      <c r="HE59" s="341"/>
      <c r="HF59" s="341"/>
      <c r="HG59" s="341"/>
      <c r="HH59" s="341"/>
      <c r="HI59" s="341"/>
      <c r="HJ59" s="341"/>
      <c r="HK59" s="341"/>
      <c r="HL59" s="341"/>
      <c r="HM59" s="341"/>
      <c r="HN59" s="341"/>
      <c r="HO59" s="341"/>
      <c r="HP59" s="341"/>
      <c r="HQ59" s="341"/>
      <c r="HR59" s="341"/>
      <c r="HS59" s="341"/>
      <c r="HT59" s="341"/>
      <c r="HU59" s="341"/>
      <c r="HV59" s="341"/>
      <c r="HW59" s="341"/>
      <c r="HX59" s="341"/>
      <c r="HY59" s="341"/>
      <c r="HZ59" s="341"/>
      <c r="IA59" s="341"/>
      <c r="IB59" s="341"/>
      <c r="IC59" s="341"/>
      <c r="ID59" s="341"/>
      <c r="IE59" s="341"/>
      <c r="IF59" s="341"/>
      <c r="IG59" s="341"/>
      <c r="IH59" s="341"/>
      <c r="II59" s="341"/>
      <c r="IJ59" s="341"/>
      <c r="IK59" s="341"/>
      <c r="IL59" s="341"/>
      <c r="IM59" s="341"/>
      <c r="IN59" s="341"/>
      <c r="IO59" s="341"/>
      <c r="IP59" s="341"/>
      <c r="IQ59" s="341"/>
      <c r="IR59" s="341"/>
      <c r="IS59" s="341"/>
      <c r="IT59" s="341"/>
      <c r="IU59" s="341"/>
      <c r="IV59" s="341"/>
      <c r="IW59" s="341"/>
    </row>
    <row r="60" customFormat="false" ht="12.75" hidden="false" customHeight="false" outlineLevel="0" collapsed="false">
      <c r="A60" s="356"/>
      <c r="B60" s="357" t="s">
        <v>352</v>
      </c>
      <c r="C60" s="358"/>
      <c r="D60" s="133"/>
      <c r="E60" s="326" t="n">
        <f aca="false">Trapped!F87</f>
        <v>0</v>
      </c>
      <c r="F60" s="326" t="n">
        <f aca="false">Trapped!G87</f>
        <v>0</v>
      </c>
      <c r="G60" s="326" t="n">
        <f aca="false">Trapped!H87</f>
        <v>1819.64466236182</v>
      </c>
      <c r="H60" s="326" t="n">
        <f aca="false">Trapped!I87</f>
        <v>3064.61349876329</v>
      </c>
      <c r="I60" s="326" t="n">
        <f aca="false">Trapped!J87</f>
        <v>3158.67490652642</v>
      </c>
      <c r="J60" s="326" t="n">
        <f aca="false">Trapped!K87</f>
        <v>3260.59019471821</v>
      </c>
      <c r="K60" s="326" t="n">
        <f aca="false">Trapped!L87</f>
        <v>215.500048108329</v>
      </c>
      <c r="L60" s="326" t="n">
        <f aca="false">Trapped!M87</f>
        <v>0</v>
      </c>
      <c r="M60" s="326" t="n">
        <f aca="false">Trapped!N87</f>
        <v>0</v>
      </c>
      <c r="N60" s="326" t="n">
        <f aca="false">Trapped!O87</f>
        <v>0</v>
      </c>
      <c r="O60" s="326" t="n">
        <f aca="false">Trapped!P87</f>
        <v>0</v>
      </c>
      <c r="P60" s="326" t="n">
        <f aca="false">Trapped!Q87</f>
        <v>0</v>
      </c>
      <c r="Q60" s="326" t="n">
        <f aca="false">Trapped!R87</f>
        <v>0</v>
      </c>
      <c r="R60" s="326" t="n">
        <f aca="false">Trapped!S87</f>
        <v>0</v>
      </c>
      <c r="S60" s="326" t="n">
        <f aca="false">Trapped!T87</f>
        <v>0</v>
      </c>
      <c r="T60" s="326" t="n">
        <f aca="false">Trapped!U87</f>
        <v>0</v>
      </c>
      <c r="U60" s="326" t="n">
        <f aca="false">Trapped!V87</f>
        <v>0</v>
      </c>
      <c r="V60" s="326" t="n">
        <f aca="false">Trapped!W87</f>
        <v>0</v>
      </c>
      <c r="W60" s="326" t="n">
        <f aca="false">Trapped!X87</f>
        <v>0</v>
      </c>
      <c r="X60" s="326" t="n">
        <f aca="false">Trapped!Y87</f>
        <v>0</v>
      </c>
      <c r="Y60" s="326" t="n">
        <f aca="false">Trapped!Z87</f>
        <v>0</v>
      </c>
      <c r="Z60" s="330" t="n">
        <f aca="false">SUM(E60:Y60)</f>
        <v>11519.0233104781</v>
      </c>
      <c r="AA60" s="338"/>
      <c r="AB60" s="300" t="n">
        <f aca="false">AB59+1</f>
        <v>54</v>
      </c>
      <c r="AC60" s="338"/>
      <c r="AD60" s="338"/>
      <c r="AE60" s="338"/>
      <c r="AF60" s="338"/>
      <c r="AG60" s="338"/>
      <c r="AH60" s="338"/>
      <c r="AI60" s="338"/>
      <c r="AJ60" s="338"/>
      <c r="AK60" s="338"/>
      <c r="AL60" s="338"/>
      <c r="AM60" s="338"/>
      <c r="AN60" s="338"/>
      <c r="AO60" s="338"/>
      <c r="AP60" s="338"/>
      <c r="AQ60" s="338"/>
      <c r="AR60" s="338"/>
      <c r="AS60" s="338"/>
      <c r="AT60" s="338"/>
      <c r="AU60" s="338"/>
      <c r="AV60" s="338"/>
      <c r="AW60" s="338"/>
      <c r="AX60" s="338"/>
      <c r="AY60" s="338"/>
      <c r="AZ60" s="338"/>
      <c r="BA60" s="338"/>
      <c r="BB60" s="338"/>
      <c r="BC60" s="338"/>
      <c r="BD60" s="338"/>
      <c r="BE60" s="338"/>
      <c r="BF60" s="338"/>
      <c r="BG60" s="338"/>
      <c r="BH60" s="338"/>
      <c r="BI60" s="338"/>
      <c r="BJ60" s="338"/>
      <c r="BK60" s="338"/>
      <c r="BL60" s="338"/>
      <c r="BM60" s="338"/>
      <c r="BN60" s="338"/>
      <c r="BO60" s="338"/>
      <c r="BP60" s="338"/>
      <c r="BQ60" s="338"/>
      <c r="BR60" s="338"/>
      <c r="BS60" s="338"/>
      <c r="BT60" s="338"/>
      <c r="BU60" s="338"/>
      <c r="BV60" s="338"/>
      <c r="BW60" s="338"/>
      <c r="BX60" s="338"/>
      <c r="BY60" s="338"/>
      <c r="BZ60" s="338"/>
      <c r="CA60" s="338"/>
      <c r="CB60" s="338"/>
      <c r="CC60" s="338"/>
      <c r="CD60" s="338"/>
      <c r="CE60" s="338"/>
      <c r="CF60" s="338"/>
      <c r="CG60" s="338"/>
      <c r="CH60" s="338"/>
      <c r="CI60" s="338"/>
      <c r="CJ60" s="338"/>
      <c r="CK60" s="338"/>
      <c r="CL60" s="338"/>
      <c r="CM60" s="338"/>
      <c r="CN60" s="338"/>
      <c r="CO60" s="338"/>
      <c r="CP60" s="338"/>
      <c r="CQ60" s="338"/>
      <c r="CR60" s="338"/>
      <c r="CS60" s="338"/>
      <c r="CT60" s="338"/>
      <c r="CU60" s="338"/>
      <c r="CV60" s="338"/>
      <c r="CW60" s="338"/>
      <c r="CX60" s="338"/>
      <c r="CY60" s="338"/>
      <c r="CZ60" s="338"/>
      <c r="DA60" s="338"/>
      <c r="DB60" s="338"/>
      <c r="DC60" s="338"/>
      <c r="DD60" s="338"/>
      <c r="DE60" s="338"/>
      <c r="DF60" s="338"/>
      <c r="DG60" s="338"/>
      <c r="DH60" s="338"/>
      <c r="DI60" s="338"/>
      <c r="DJ60" s="338"/>
      <c r="DK60" s="338"/>
      <c r="DL60" s="338"/>
      <c r="DM60" s="338"/>
      <c r="DN60" s="338"/>
      <c r="DO60" s="338"/>
      <c r="DP60" s="338"/>
      <c r="DQ60" s="338"/>
      <c r="DR60" s="338"/>
      <c r="DS60" s="338"/>
      <c r="DT60" s="338"/>
      <c r="DU60" s="338"/>
      <c r="DV60" s="338"/>
      <c r="DW60" s="338"/>
      <c r="DX60" s="338"/>
      <c r="DY60" s="338"/>
      <c r="DZ60" s="338"/>
      <c r="EA60" s="338"/>
      <c r="EB60" s="338"/>
      <c r="EC60" s="338"/>
      <c r="ED60" s="338"/>
      <c r="EE60" s="338"/>
      <c r="EF60" s="338"/>
      <c r="EG60" s="338"/>
      <c r="EH60" s="338"/>
      <c r="EI60" s="338"/>
      <c r="EJ60" s="338"/>
      <c r="EK60" s="338"/>
      <c r="EL60" s="338"/>
      <c r="EM60" s="338"/>
      <c r="EN60" s="338"/>
      <c r="EO60" s="338"/>
      <c r="EP60" s="338"/>
      <c r="EQ60" s="338"/>
      <c r="ER60" s="338"/>
      <c r="ES60" s="338"/>
      <c r="ET60" s="338"/>
      <c r="EU60" s="338"/>
      <c r="EV60" s="338"/>
      <c r="EW60" s="338"/>
      <c r="EX60" s="338"/>
      <c r="EY60" s="338"/>
      <c r="EZ60" s="338"/>
      <c r="FA60" s="338"/>
      <c r="FB60" s="338"/>
      <c r="FC60" s="338"/>
      <c r="FD60" s="338"/>
      <c r="FE60" s="338"/>
      <c r="FF60" s="338"/>
      <c r="FG60" s="338"/>
      <c r="FH60" s="338"/>
      <c r="FI60" s="338"/>
      <c r="FJ60" s="338"/>
      <c r="FK60" s="338"/>
      <c r="FL60" s="338"/>
      <c r="FM60" s="338"/>
      <c r="FN60" s="338"/>
      <c r="FO60" s="338"/>
      <c r="FP60" s="338"/>
      <c r="FQ60" s="338"/>
      <c r="FR60" s="338"/>
      <c r="FS60" s="338"/>
      <c r="FT60" s="338"/>
      <c r="FU60" s="338"/>
      <c r="FV60" s="338"/>
      <c r="FW60" s="338"/>
      <c r="FX60" s="338"/>
      <c r="FY60" s="338"/>
      <c r="FZ60" s="338"/>
      <c r="GA60" s="338"/>
      <c r="GB60" s="338"/>
      <c r="GC60" s="338"/>
      <c r="GD60" s="338"/>
      <c r="GE60" s="338"/>
      <c r="GF60" s="338"/>
      <c r="GG60" s="338"/>
      <c r="GH60" s="338"/>
      <c r="GI60" s="338"/>
      <c r="GJ60" s="338"/>
      <c r="GK60" s="338"/>
      <c r="GL60" s="338"/>
      <c r="GM60" s="338"/>
      <c r="GN60" s="338"/>
      <c r="GO60" s="338"/>
      <c r="GP60" s="338"/>
      <c r="GQ60" s="338"/>
      <c r="GR60" s="338"/>
      <c r="GS60" s="338"/>
      <c r="GT60" s="338"/>
      <c r="GU60" s="338"/>
      <c r="GV60" s="338"/>
      <c r="GW60" s="338"/>
      <c r="GX60" s="338"/>
      <c r="GY60" s="338"/>
      <c r="GZ60" s="338"/>
      <c r="HA60" s="338"/>
      <c r="HB60" s="338"/>
      <c r="HC60" s="338"/>
      <c r="HD60" s="338"/>
      <c r="HE60" s="338"/>
      <c r="HF60" s="338"/>
      <c r="HG60" s="338"/>
      <c r="HH60" s="338"/>
      <c r="HI60" s="338"/>
      <c r="HJ60" s="338"/>
      <c r="HK60" s="338"/>
      <c r="HL60" s="338"/>
      <c r="HM60" s="338"/>
      <c r="HN60" s="338"/>
      <c r="HO60" s="338"/>
      <c r="HP60" s="338"/>
      <c r="HQ60" s="338"/>
      <c r="HR60" s="338"/>
      <c r="HS60" s="338"/>
      <c r="HT60" s="338"/>
      <c r="HU60" s="338"/>
      <c r="HV60" s="338"/>
      <c r="HW60" s="338"/>
      <c r="HX60" s="338"/>
      <c r="HY60" s="338"/>
      <c r="HZ60" s="338"/>
      <c r="IA60" s="338"/>
      <c r="IB60" s="338"/>
      <c r="IC60" s="338"/>
      <c r="ID60" s="338"/>
      <c r="IE60" s="338"/>
      <c r="IF60" s="338"/>
      <c r="IG60" s="338"/>
      <c r="IH60" s="338"/>
      <c r="II60" s="338"/>
      <c r="IJ60" s="338"/>
      <c r="IK60" s="338"/>
      <c r="IL60" s="338"/>
      <c r="IM60" s="338"/>
      <c r="IN60" s="338"/>
      <c r="IO60" s="338"/>
      <c r="IP60" s="338"/>
      <c r="IQ60" s="338"/>
      <c r="IR60" s="338"/>
      <c r="IS60" s="338"/>
      <c r="IT60" s="338"/>
      <c r="IU60" s="338"/>
      <c r="IV60" s="338"/>
      <c r="IW60" s="338"/>
    </row>
    <row r="61" customFormat="false" ht="12.75" hidden="false" customHeight="false" outlineLevel="0" collapsed="false">
      <c r="A61" s="356"/>
      <c r="B61" s="357" t="s">
        <v>353</v>
      </c>
      <c r="C61" s="358"/>
      <c r="D61" s="133"/>
      <c r="E61" s="326" t="n">
        <f aca="false">-E38</f>
        <v>0</v>
      </c>
      <c r="F61" s="326" t="n">
        <f aca="false">-F38</f>
        <v>0</v>
      </c>
      <c r="G61" s="326" t="n">
        <f aca="false">-G38</f>
        <v>37.1356053543229</v>
      </c>
      <c r="H61" s="326" t="n">
        <f aca="false">-H38</f>
        <v>62.5431326278223</v>
      </c>
      <c r="I61" s="326" t="n">
        <f aca="false">-I38</f>
        <v>64.4627531944167</v>
      </c>
      <c r="J61" s="326" t="n">
        <f aca="false">-J38</f>
        <v>66.5426570350656</v>
      </c>
      <c r="K61" s="326" t="n">
        <f aca="false">-K38</f>
        <v>4.3979601654761</v>
      </c>
      <c r="L61" s="326" t="n">
        <f aca="false">-L38</f>
        <v>0</v>
      </c>
      <c r="M61" s="326" t="n">
        <f aca="false">-M38</f>
        <v>0</v>
      </c>
      <c r="N61" s="326" t="n">
        <f aca="false">-N38</f>
        <v>0</v>
      </c>
      <c r="O61" s="326" t="n">
        <f aca="false">-O38</f>
        <v>0</v>
      </c>
      <c r="P61" s="326" t="n">
        <f aca="false">-P38</f>
        <v>0</v>
      </c>
      <c r="Q61" s="326" t="n">
        <f aca="false">-Q38</f>
        <v>0</v>
      </c>
      <c r="R61" s="326" t="n">
        <f aca="false">-R38</f>
        <v>0</v>
      </c>
      <c r="S61" s="326" t="n">
        <f aca="false">-S38</f>
        <v>0</v>
      </c>
      <c r="T61" s="326" t="n">
        <f aca="false">-T38</f>
        <v>0</v>
      </c>
      <c r="U61" s="326" t="n">
        <f aca="false">-U38</f>
        <v>0</v>
      </c>
      <c r="V61" s="326" t="n">
        <f aca="false">-V38</f>
        <v>0</v>
      </c>
      <c r="W61" s="326" t="n">
        <f aca="false">-W38</f>
        <v>0</v>
      </c>
      <c r="X61" s="326" t="n">
        <f aca="false">-X38</f>
        <v>0</v>
      </c>
      <c r="Y61" s="326" t="n">
        <f aca="false">-Y38</f>
        <v>0</v>
      </c>
      <c r="Z61" s="330" t="n">
        <f aca="false">SUM(E61:Y61)</f>
        <v>235.082108377103</v>
      </c>
      <c r="AA61" s="338"/>
      <c r="AB61" s="300" t="n">
        <f aca="false">AB60+1</f>
        <v>55</v>
      </c>
      <c r="AC61" s="338"/>
      <c r="AD61" s="338"/>
      <c r="AE61" s="338"/>
      <c r="AF61" s="338"/>
      <c r="AG61" s="338"/>
      <c r="AH61" s="338"/>
      <c r="AI61" s="338"/>
      <c r="AJ61" s="338"/>
      <c r="AK61" s="338"/>
      <c r="AL61" s="338"/>
      <c r="AM61" s="338"/>
      <c r="AN61" s="338"/>
      <c r="AO61" s="338"/>
      <c r="AP61" s="338"/>
      <c r="AQ61" s="338"/>
      <c r="AR61" s="338"/>
      <c r="AS61" s="338"/>
      <c r="AT61" s="338"/>
      <c r="AU61" s="338"/>
      <c r="AV61" s="338"/>
      <c r="AW61" s="338"/>
      <c r="AX61" s="338"/>
      <c r="AY61" s="338"/>
      <c r="AZ61" s="338"/>
      <c r="BA61" s="338"/>
      <c r="BB61" s="338"/>
      <c r="BC61" s="338"/>
      <c r="BD61" s="338"/>
      <c r="BE61" s="338"/>
      <c r="BF61" s="338"/>
      <c r="BG61" s="338"/>
      <c r="BH61" s="338"/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  <c r="BU61" s="338"/>
      <c r="BV61" s="338"/>
      <c r="BW61" s="338"/>
      <c r="BX61" s="338"/>
      <c r="BY61" s="338"/>
      <c r="BZ61" s="338"/>
      <c r="CA61" s="338"/>
      <c r="CB61" s="338"/>
      <c r="CC61" s="338"/>
      <c r="CD61" s="338"/>
      <c r="CE61" s="338"/>
      <c r="CF61" s="338"/>
      <c r="CG61" s="338"/>
      <c r="CH61" s="338"/>
      <c r="CI61" s="338"/>
      <c r="CJ61" s="338"/>
      <c r="CK61" s="338"/>
      <c r="CL61" s="338"/>
      <c r="CM61" s="338"/>
      <c r="CN61" s="338"/>
      <c r="CO61" s="338"/>
      <c r="CP61" s="338"/>
      <c r="CQ61" s="338"/>
      <c r="CR61" s="338"/>
      <c r="CS61" s="338"/>
      <c r="CT61" s="338"/>
      <c r="CU61" s="338"/>
      <c r="CV61" s="338"/>
      <c r="CW61" s="338"/>
      <c r="CX61" s="338"/>
      <c r="CY61" s="338"/>
      <c r="CZ61" s="338"/>
      <c r="DA61" s="338"/>
      <c r="DB61" s="338"/>
      <c r="DC61" s="338"/>
      <c r="DD61" s="338"/>
      <c r="DE61" s="338"/>
      <c r="DF61" s="338"/>
      <c r="DG61" s="338"/>
      <c r="DH61" s="338"/>
      <c r="DI61" s="338"/>
      <c r="DJ61" s="338"/>
      <c r="DK61" s="338"/>
      <c r="DL61" s="338"/>
      <c r="DM61" s="338"/>
      <c r="DN61" s="338"/>
      <c r="DO61" s="338"/>
      <c r="DP61" s="338"/>
      <c r="DQ61" s="338"/>
      <c r="DR61" s="338"/>
      <c r="DS61" s="338"/>
      <c r="DT61" s="338"/>
      <c r="DU61" s="338"/>
      <c r="DV61" s="338"/>
      <c r="DW61" s="338"/>
      <c r="DX61" s="338"/>
      <c r="DY61" s="338"/>
      <c r="DZ61" s="338"/>
      <c r="EA61" s="338"/>
      <c r="EB61" s="338"/>
      <c r="EC61" s="338"/>
      <c r="ED61" s="338"/>
      <c r="EE61" s="338"/>
      <c r="EF61" s="338"/>
      <c r="EG61" s="338"/>
      <c r="EH61" s="338"/>
      <c r="EI61" s="338"/>
      <c r="EJ61" s="338"/>
      <c r="EK61" s="338"/>
      <c r="EL61" s="338"/>
      <c r="EM61" s="338"/>
      <c r="EN61" s="338"/>
      <c r="EO61" s="338"/>
      <c r="EP61" s="338"/>
      <c r="EQ61" s="338"/>
      <c r="ER61" s="338"/>
      <c r="ES61" s="338"/>
      <c r="ET61" s="338"/>
      <c r="EU61" s="338"/>
      <c r="EV61" s="338"/>
      <c r="EW61" s="338"/>
      <c r="EX61" s="338"/>
      <c r="EY61" s="338"/>
      <c r="EZ61" s="338"/>
      <c r="FA61" s="338"/>
      <c r="FB61" s="338"/>
      <c r="FC61" s="338"/>
      <c r="FD61" s="338"/>
      <c r="FE61" s="338"/>
      <c r="FF61" s="338"/>
      <c r="FG61" s="338"/>
      <c r="FH61" s="338"/>
      <c r="FI61" s="338"/>
      <c r="FJ61" s="338"/>
      <c r="FK61" s="338"/>
      <c r="FL61" s="338"/>
      <c r="FM61" s="338"/>
      <c r="FN61" s="338"/>
      <c r="FO61" s="338"/>
      <c r="FP61" s="338"/>
      <c r="FQ61" s="338"/>
      <c r="FR61" s="338"/>
      <c r="FS61" s="338"/>
      <c r="FT61" s="338"/>
      <c r="FU61" s="338"/>
      <c r="FV61" s="338"/>
      <c r="FW61" s="338"/>
      <c r="FX61" s="338"/>
      <c r="FY61" s="338"/>
      <c r="FZ61" s="338"/>
      <c r="GA61" s="338"/>
      <c r="GB61" s="338"/>
      <c r="GC61" s="338"/>
      <c r="GD61" s="338"/>
      <c r="GE61" s="338"/>
      <c r="GF61" s="338"/>
      <c r="GG61" s="338"/>
      <c r="GH61" s="338"/>
      <c r="GI61" s="338"/>
      <c r="GJ61" s="338"/>
      <c r="GK61" s="338"/>
      <c r="GL61" s="338"/>
      <c r="GM61" s="338"/>
      <c r="GN61" s="338"/>
      <c r="GO61" s="338"/>
      <c r="GP61" s="338"/>
      <c r="GQ61" s="338"/>
      <c r="GR61" s="338"/>
      <c r="GS61" s="338"/>
      <c r="GT61" s="338"/>
      <c r="GU61" s="338"/>
      <c r="GV61" s="338"/>
      <c r="GW61" s="338"/>
      <c r="GX61" s="338"/>
      <c r="GY61" s="338"/>
      <c r="GZ61" s="338"/>
      <c r="HA61" s="338"/>
      <c r="HB61" s="338"/>
      <c r="HC61" s="338"/>
      <c r="HD61" s="338"/>
      <c r="HE61" s="338"/>
      <c r="HF61" s="338"/>
      <c r="HG61" s="338"/>
      <c r="HH61" s="338"/>
      <c r="HI61" s="338"/>
      <c r="HJ61" s="338"/>
      <c r="HK61" s="338"/>
      <c r="HL61" s="338"/>
      <c r="HM61" s="338"/>
      <c r="HN61" s="338"/>
      <c r="HO61" s="338"/>
      <c r="HP61" s="338"/>
      <c r="HQ61" s="338"/>
      <c r="HR61" s="338"/>
      <c r="HS61" s="338"/>
      <c r="HT61" s="338"/>
      <c r="HU61" s="338"/>
      <c r="HV61" s="338"/>
      <c r="HW61" s="338"/>
      <c r="HX61" s="338"/>
      <c r="HY61" s="338"/>
      <c r="HZ61" s="338"/>
      <c r="IA61" s="338"/>
      <c r="IB61" s="338"/>
      <c r="IC61" s="338"/>
      <c r="ID61" s="338"/>
      <c r="IE61" s="338"/>
      <c r="IF61" s="338"/>
      <c r="IG61" s="338"/>
      <c r="IH61" s="338"/>
      <c r="II61" s="338"/>
      <c r="IJ61" s="338"/>
      <c r="IK61" s="338"/>
      <c r="IL61" s="338"/>
      <c r="IM61" s="338"/>
      <c r="IN61" s="338"/>
      <c r="IO61" s="338"/>
      <c r="IP61" s="338"/>
      <c r="IQ61" s="338"/>
      <c r="IR61" s="338"/>
      <c r="IS61" s="338"/>
      <c r="IT61" s="338"/>
      <c r="IU61" s="338"/>
      <c r="IV61" s="338"/>
      <c r="IW61" s="338"/>
    </row>
    <row r="62" customFormat="false" ht="12.75" hidden="false" customHeight="false" outlineLevel="0" collapsed="false">
      <c r="A62" s="356"/>
      <c r="B62" s="357" t="s">
        <v>354</v>
      </c>
      <c r="C62" s="358"/>
      <c r="D62" s="133"/>
      <c r="E62" s="326" t="n">
        <f aca="false">-E52</f>
        <v>0</v>
      </c>
      <c r="F62" s="326" t="n">
        <f aca="false">-F52</f>
        <v>0</v>
      </c>
      <c r="G62" s="326" t="n">
        <f aca="false">-G52</f>
        <v>0</v>
      </c>
      <c r="H62" s="326" t="n">
        <f aca="false">-H52</f>
        <v>0</v>
      </c>
      <c r="I62" s="326" t="n">
        <f aca="false">-I52</f>
        <v>0</v>
      </c>
      <c r="J62" s="326" t="n">
        <f aca="false">-J52</f>
        <v>0</v>
      </c>
      <c r="K62" s="326" t="n">
        <f aca="false">-K52</f>
        <v>0</v>
      </c>
      <c r="L62" s="326" t="n">
        <f aca="false">-L52</f>
        <v>0</v>
      </c>
      <c r="M62" s="326" t="n">
        <f aca="false">-M52</f>
        <v>0</v>
      </c>
      <c r="N62" s="326" t="n">
        <f aca="false">-N52</f>
        <v>0</v>
      </c>
      <c r="O62" s="326" t="n">
        <f aca="false">-O52</f>
        <v>0</v>
      </c>
      <c r="P62" s="326" t="n">
        <f aca="false">-P52</f>
        <v>0</v>
      </c>
      <c r="Q62" s="326" t="n">
        <f aca="false">-Q52</f>
        <v>0</v>
      </c>
      <c r="R62" s="326" t="n">
        <f aca="false">-R52</f>
        <v>0</v>
      </c>
      <c r="S62" s="326" t="n">
        <f aca="false">-S52</f>
        <v>0</v>
      </c>
      <c r="T62" s="326" t="n">
        <f aca="false">-T52</f>
        <v>0</v>
      </c>
      <c r="U62" s="326" t="n">
        <f aca="false">-U52</f>
        <v>0</v>
      </c>
      <c r="V62" s="326" t="n">
        <f aca="false">-V52</f>
        <v>0</v>
      </c>
      <c r="W62" s="326" t="n">
        <f aca="false">-W52</f>
        <v>0</v>
      </c>
      <c r="X62" s="326" t="n">
        <f aca="false">-X52</f>
        <v>0</v>
      </c>
      <c r="Y62" s="326" t="n">
        <f aca="false">-Y52</f>
        <v>0</v>
      </c>
      <c r="Z62" s="330" t="n">
        <f aca="false">SUM(E62:Y62)</f>
        <v>0</v>
      </c>
      <c r="AA62" s="338"/>
      <c r="AB62" s="300" t="n">
        <f aca="false">AB61+1</f>
        <v>56</v>
      </c>
      <c r="AC62" s="338"/>
      <c r="AD62" s="338"/>
      <c r="AE62" s="338"/>
      <c r="AF62" s="338"/>
      <c r="AG62" s="338"/>
      <c r="AH62" s="338"/>
      <c r="AI62" s="338"/>
      <c r="AJ62" s="338"/>
      <c r="AK62" s="338"/>
      <c r="AL62" s="338"/>
      <c r="AM62" s="338"/>
      <c r="AN62" s="338"/>
      <c r="AO62" s="338"/>
      <c r="AP62" s="338"/>
      <c r="AQ62" s="338"/>
      <c r="AR62" s="338"/>
      <c r="AS62" s="338"/>
      <c r="AT62" s="338"/>
      <c r="AU62" s="338"/>
      <c r="AV62" s="338"/>
      <c r="AW62" s="338"/>
      <c r="AX62" s="338"/>
      <c r="AY62" s="338"/>
      <c r="AZ62" s="338"/>
      <c r="BA62" s="338"/>
      <c r="BB62" s="338"/>
      <c r="BC62" s="338"/>
      <c r="BD62" s="338"/>
      <c r="BE62" s="338"/>
      <c r="BF62" s="338"/>
      <c r="BG62" s="338"/>
      <c r="BH62" s="338"/>
      <c r="BI62" s="338"/>
      <c r="BJ62" s="338"/>
      <c r="BK62" s="338"/>
      <c r="BL62" s="338"/>
      <c r="BM62" s="338"/>
      <c r="BN62" s="338"/>
      <c r="BO62" s="338"/>
      <c r="BP62" s="338"/>
      <c r="BQ62" s="338"/>
      <c r="BR62" s="338"/>
      <c r="BS62" s="338"/>
      <c r="BT62" s="338"/>
      <c r="BU62" s="338"/>
      <c r="BV62" s="338"/>
      <c r="BW62" s="338"/>
      <c r="BX62" s="338"/>
      <c r="BY62" s="338"/>
      <c r="BZ62" s="338"/>
      <c r="CA62" s="338"/>
      <c r="CB62" s="338"/>
      <c r="CC62" s="338"/>
      <c r="CD62" s="338"/>
      <c r="CE62" s="338"/>
      <c r="CF62" s="338"/>
      <c r="CG62" s="338"/>
      <c r="CH62" s="338"/>
      <c r="CI62" s="338"/>
      <c r="CJ62" s="338"/>
      <c r="CK62" s="338"/>
      <c r="CL62" s="338"/>
      <c r="CM62" s="338"/>
      <c r="CN62" s="338"/>
      <c r="CO62" s="338"/>
      <c r="CP62" s="338"/>
      <c r="CQ62" s="338"/>
      <c r="CR62" s="338"/>
      <c r="CS62" s="338"/>
      <c r="CT62" s="338"/>
      <c r="CU62" s="338"/>
      <c r="CV62" s="338"/>
      <c r="CW62" s="338"/>
      <c r="CX62" s="338"/>
      <c r="CY62" s="338"/>
      <c r="CZ62" s="338"/>
      <c r="DA62" s="338"/>
      <c r="DB62" s="338"/>
      <c r="DC62" s="338"/>
      <c r="DD62" s="338"/>
      <c r="DE62" s="338"/>
      <c r="DF62" s="338"/>
      <c r="DG62" s="338"/>
      <c r="DH62" s="338"/>
      <c r="DI62" s="338"/>
      <c r="DJ62" s="338"/>
      <c r="DK62" s="338"/>
      <c r="DL62" s="338"/>
      <c r="DM62" s="338"/>
      <c r="DN62" s="338"/>
      <c r="DO62" s="338"/>
      <c r="DP62" s="338"/>
      <c r="DQ62" s="338"/>
      <c r="DR62" s="338"/>
      <c r="DS62" s="338"/>
      <c r="DT62" s="338"/>
      <c r="DU62" s="338"/>
      <c r="DV62" s="338"/>
      <c r="DW62" s="338"/>
      <c r="DX62" s="338"/>
      <c r="DY62" s="338"/>
      <c r="DZ62" s="338"/>
      <c r="EA62" s="338"/>
      <c r="EB62" s="338"/>
      <c r="EC62" s="338"/>
      <c r="ED62" s="338"/>
      <c r="EE62" s="338"/>
      <c r="EF62" s="338"/>
      <c r="EG62" s="338"/>
      <c r="EH62" s="338"/>
      <c r="EI62" s="338"/>
      <c r="EJ62" s="338"/>
      <c r="EK62" s="338"/>
      <c r="EL62" s="338"/>
      <c r="EM62" s="338"/>
      <c r="EN62" s="338"/>
      <c r="EO62" s="338"/>
      <c r="EP62" s="338"/>
      <c r="EQ62" s="338"/>
      <c r="ER62" s="338"/>
      <c r="ES62" s="338"/>
      <c r="ET62" s="338"/>
      <c r="EU62" s="338"/>
      <c r="EV62" s="338"/>
      <c r="EW62" s="338"/>
      <c r="EX62" s="338"/>
      <c r="EY62" s="338"/>
      <c r="EZ62" s="338"/>
      <c r="FA62" s="338"/>
      <c r="FB62" s="338"/>
      <c r="FC62" s="338"/>
      <c r="FD62" s="338"/>
      <c r="FE62" s="338"/>
      <c r="FF62" s="338"/>
      <c r="FG62" s="338"/>
      <c r="FH62" s="338"/>
      <c r="FI62" s="338"/>
      <c r="FJ62" s="338"/>
      <c r="FK62" s="338"/>
      <c r="FL62" s="338"/>
      <c r="FM62" s="338"/>
      <c r="FN62" s="338"/>
      <c r="FO62" s="338"/>
      <c r="FP62" s="338"/>
      <c r="FQ62" s="338"/>
      <c r="FR62" s="338"/>
      <c r="FS62" s="338"/>
      <c r="FT62" s="338"/>
      <c r="FU62" s="338"/>
      <c r="FV62" s="338"/>
      <c r="FW62" s="338"/>
      <c r="FX62" s="338"/>
      <c r="FY62" s="338"/>
      <c r="FZ62" s="338"/>
      <c r="GA62" s="338"/>
      <c r="GB62" s="338"/>
      <c r="GC62" s="338"/>
      <c r="GD62" s="338"/>
      <c r="GE62" s="338"/>
      <c r="GF62" s="338"/>
      <c r="GG62" s="338"/>
      <c r="GH62" s="338"/>
      <c r="GI62" s="338"/>
      <c r="GJ62" s="338"/>
      <c r="GK62" s="338"/>
      <c r="GL62" s="338"/>
      <c r="GM62" s="338"/>
      <c r="GN62" s="338"/>
      <c r="GO62" s="338"/>
      <c r="GP62" s="338"/>
      <c r="GQ62" s="338"/>
      <c r="GR62" s="338"/>
      <c r="GS62" s="338"/>
      <c r="GT62" s="338"/>
      <c r="GU62" s="338"/>
      <c r="GV62" s="338"/>
      <c r="GW62" s="338"/>
      <c r="GX62" s="338"/>
      <c r="GY62" s="338"/>
      <c r="GZ62" s="338"/>
      <c r="HA62" s="338"/>
      <c r="HB62" s="338"/>
      <c r="HC62" s="338"/>
      <c r="HD62" s="338"/>
      <c r="HE62" s="338"/>
      <c r="HF62" s="338"/>
      <c r="HG62" s="338"/>
      <c r="HH62" s="338"/>
      <c r="HI62" s="338"/>
      <c r="HJ62" s="338"/>
      <c r="HK62" s="338"/>
      <c r="HL62" s="338"/>
      <c r="HM62" s="338"/>
      <c r="HN62" s="338"/>
      <c r="HO62" s="338"/>
      <c r="HP62" s="338"/>
      <c r="HQ62" s="338"/>
      <c r="HR62" s="338"/>
      <c r="HS62" s="338"/>
      <c r="HT62" s="338"/>
      <c r="HU62" s="338"/>
      <c r="HV62" s="338"/>
      <c r="HW62" s="338"/>
      <c r="HX62" s="338"/>
      <c r="HY62" s="338"/>
      <c r="HZ62" s="338"/>
      <c r="IA62" s="338"/>
      <c r="IB62" s="338"/>
      <c r="IC62" s="338"/>
      <c r="ID62" s="338"/>
      <c r="IE62" s="338"/>
      <c r="IF62" s="338"/>
      <c r="IG62" s="338"/>
      <c r="IH62" s="338"/>
      <c r="II62" s="338"/>
      <c r="IJ62" s="338"/>
      <c r="IK62" s="338"/>
      <c r="IL62" s="338"/>
      <c r="IM62" s="338"/>
      <c r="IN62" s="338"/>
      <c r="IO62" s="338"/>
      <c r="IP62" s="338"/>
      <c r="IQ62" s="338"/>
      <c r="IR62" s="338"/>
      <c r="IS62" s="338"/>
      <c r="IT62" s="338"/>
      <c r="IU62" s="338"/>
      <c r="IV62" s="338"/>
      <c r="IW62" s="338"/>
    </row>
    <row r="63" customFormat="false" ht="12.75" hidden="false" customHeight="false" outlineLevel="0" collapsed="false">
      <c r="A63" s="356"/>
      <c r="B63" s="357" t="s">
        <v>355</v>
      </c>
      <c r="C63" s="328"/>
      <c r="D63" s="328"/>
      <c r="E63" s="326" t="n">
        <f aca="false">-E55</f>
        <v>0</v>
      </c>
      <c r="F63" s="326" t="n">
        <f aca="false">-F55</f>
        <v>0</v>
      </c>
      <c r="G63" s="326" t="n">
        <f aca="false">-G55</f>
        <v>0</v>
      </c>
      <c r="H63" s="326" t="n">
        <f aca="false">-H55</f>
        <v>0</v>
      </c>
      <c r="I63" s="326" t="n">
        <f aca="false">-I55</f>
        <v>0</v>
      </c>
      <c r="J63" s="326" t="n">
        <f aca="false">-J55</f>
        <v>0</v>
      </c>
      <c r="K63" s="326" t="n">
        <f aca="false">-K55</f>
        <v>0</v>
      </c>
      <c r="L63" s="326" t="n">
        <f aca="false">-L55</f>
        <v>840.855935528842</v>
      </c>
      <c r="M63" s="326" t="n">
        <f aca="false">-M55</f>
        <v>2507.42207893437</v>
      </c>
      <c r="N63" s="326" t="n">
        <f aca="false">-N55</f>
        <v>2833.92030308547</v>
      </c>
      <c r="O63" s="326" t="n">
        <f aca="false">-O55</f>
        <v>3359.40926881768</v>
      </c>
      <c r="P63" s="326" t="n">
        <f aca="false">-P55</f>
        <v>3707.23922923257</v>
      </c>
      <c r="Q63" s="326" t="n">
        <f aca="false">-Q55</f>
        <v>4135.09951606768</v>
      </c>
      <c r="R63" s="326" t="n">
        <f aca="false">-R55</f>
        <v>4810.05986088372</v>
      </c>
      <c r="S63" s="326" t="n">
        <f aca="false">-S55</f>
        <v>4653.23139404696</v>
      </c>
      <c r="T63" s="326" t="n">
        <f aca="false">-T55</f>
        <v>5515.16546640509</v>
      </c>
      <c r="U63" s="326" t="n">
        <f aca="false">-U55</f>
        <v>5961.24918703191</v>
      </c>
      <c r="V63" s="326" t="n">
        <f aca="false">-V55</f>
        <v>6273.89588122597</v>
      </c>
      <c r="W63" s="326" t="n">
        <f aca="false">-W55</f>
        <v>6542.82856386766</v>
      </c>
      <c r="X63" s="326" t="n">
        <f aca="false">-X55</f>
        <v>6834.3011705993</v>
      </c>
      <c r="Y63" s="326" t="n">
        <f aca="false">-Y55</f>
        <v>2281.32304248797</v>
      </c>
      <c r="Z63" s="330" t="n">
        <f aca="false">SUM(E63:Y63)</f>
        <v>60256.0008982152</v>
      </c>
      <c r="AA63" s="338"/>
      <c r="AB63" s="300" t="n">
        <f aca="false">AB62+1</f>
        <v>57</v>
      </c>
      <c r="AC63" s="338"/>
      <c r="AD63" s="338"/>
      <c r="AE63" s="338"/>
      <c r="AF63" s="338"/>
      <c r="AG63" s="338"/>
      <c r="AH63" s="338"/>
      <c r="AI63" s="338"/>
      <c r="AJ63" s="338"/>
      <c r="AK63" s="338"/>
      <c r="AL63" s="338"/>
      <c r="AM63" s="338"/>
      <c r="AN63" s="338"/>
      <c r="AO63" s="338"/>
      <c r="AP63" s="338"/>
      <c r="AQ63" s="338"/>
      <c r="AR63" s="338"/>
      <c r="AS63" s="338"/>
      <c r="AT63" s="338"/>
      <c r="AU63" s="338"/>
      <c r="AV63" s="338"/>
      <c r="AW63" s="338"/>
      <c r="AX63" s="338"/>
      <c r="AY63" s="338"/>
      <c r="AZ63" s="338"/>
      <c r="BA63" s="338"/>
      <c r="BB63" s="338"/>
      <c r="BC63" s="338"/>
      <c r="BD63" s="338"/>
      <c r="BE63" s="338"/>
      <c r="BF63" s="338"/>
      <c r="BG63" s="338"/>
      <c r="BH63" s="338"/>
      <c r="BI63" s="338"/>
      <c r="BJ63" s="338"/>
      <c r="BK63" s="338"/>
      <c r="BL63" s="338"/>
      <c r="BM63" s="338"/>
      <c r="BN63" s="338"/>
      <c r="BO63" s="338"/>
      <c r="BP63" s="338"/>
      <c r="BQ63" s="338"/>
      <c r="BR63" s="338"/>
      <c r="BS63" s="338"/>
      <c r="BT63" s="338"/>
      <c r="BU63" s="338"/>
      <c r="BV63" s="338"/>
      <c r="BW63" s="338"/>
      <c r="BX63" s="338"/>
      <c r="BY63" s="338"/>
      <c r="BZ63" s="338"/>
      <c r="CA63" s="338"/>
      <c r="CB63" s="338"/>
      <c r="CC63" s="338"/>
      <c r="CD63" s="338"/>
      <c r="CE63" s="338"/>
      <c r="CF63" s="338"/>
      <c r="CG63" s="338"/>
      <c r="CH63" s="338"/>
      <c r="CI63" s="338"/>
      <c r="CJ63" s="338"/>
      <c r="CK63" s="338"/>
      <c r="CL63" s="338"/>
      <c r="CM63" s="338"/>
      <c r="CN63" s="338"/>
      <c r="CO63" s="338"/>
      <c r="CP63" s="338"/>
      <c r="CQ63" s="338"/>
      <c r="CR63" s="338"/>
      <c r="CS63" s="338"/>
      <c r="CT63" s="338"/>
      <c r="CU63" s="338"/>
      <c r="CV63" s="338"/>
      <c r="CW63" s="338"/>
      <c r="CX63" s="338"/>
      <c r="CY63" s="338"/>
      <c r="CZ63" s="338"/>
      <c r="DA63" s="338"/>
      <c r="DB63" s="338"/>
      <c r="DC63" s="338"/>
      <c r="DD63" s="338"/>
      <c r="DE63" s="338"/>
      <c r="DF63" s="338"/>
      <c r="DG63" s="338"/>
      <c r="DH63" s="338"/>
      <c r="DI63" s="338"/>
      <c r="DJ63" s="338"/>
      <c r="DK63" s="338"/>
      <c r="DL63" s="338"/>
      <c r="DM63" s="338"/>
      <c r="DN63" s="338"/>
      <c r="DO63" s="338"/>
      <c r="DP63" s="338"/>
      <c r="DQ63" s="338"/>
      <c r="DR63" s="338"/>
      <c r="DS63" s="338"/>
      <c r="DT63" s="338"/>
      <c r="DU63" s="338"/>
      <c r="DV63" s="338"/>
      <c r="DW63" s="338"/>
      <c r="DX63" s="338"/>
      <c r="DY63" s="338"/>
      <c r="DZ63" s="338"/>
      <c r="EA63" s="338"/>
      <c r="EB63" s="338"/>
      <c r="EC63" s="338"/>
      <c r="ED63" s="338"/>
      <c r="EE63" s="338"/>
      <c r="EF63" s="338"/>
      <c r="EG63" s="338"/>
      <c r="EH63" s="338"/>
      <c r="EI63" s="338"/>
      <c r="EJ63" s="338"/>
      <c r="EK63" s="338"/>
      <c r="EL63" s="338"/>
      <c r="EM63" s="338"/>
      <c r="EN63" s="338"/>
      <c r="EO63" s="338"/>
      <c r="EP63" s="338"/>
      <c r="EQ63" s="338"/>
      <c r="ER63" s="338"/>
      <c r="ES63" s="338"/>
      <c r="ET63" s="338"/>
      <c r="EU63" s="338"/>
      <c r="EV63" s="338"/>
      <c r="EW63" s="338"/>
      <c r="EX63" s="338"/>
      <c r="EY63" s="338"/>
      <c r="EZ63" s="338"/>
      <c r="FA63" s="338"/>
      <c r="FB63" s="338"/>
      <c r="FC63" s="338"/>
      <c r="FD63" s="338"/>
      <c r="FE63" s="338"/>
      <c r="FF63" s="338"/>
      <c r="FG63" s="338"/>
      <c r="FH63" s="338"/>
      <c r="FI63" s="338"/>
      <c r="FJ63" s="338"/>
      <c r="FK63" s="338"/>
      <c r="FL63" s="338"/>
      <c r="FM63" s="338"/>
      <c r="FN63" s="338"/>
      <c r="FO63" s="338"/>
      <c r="FP63" s="338"/>
      <c r="FQ63" s="338"/>
      <c r="FR63" s="338"/>
      <c r="FS63" s="338"/>
      <c r="FT63" s="338"/>
      <c r="FU63" s="338"/>
      <c r="FV63" s="338"/>
      <c r="FW63" s="338"/>
      <c r="FX63" s="338"/>
      <c r="FY63" s="338"/>
      <c r="FZ63" s="338"/>
      <c r="GA63" s="338"/>
      <c r="GB63" s="338"/>
      <c r="GC63" s="338"/>
      <c r="GD63" s="338"/>
      <c r="GE63" s="338"/>
      <c r="GF63" s="338"/>
      <c r="GG63" s="338"/>
      <c r="GH63" s="338"/>
      <c r="GI63" s="338"/>
      <c r="GJ63" s="338"/>
      <c r="GK63" s="338"/>
      <c r="GL63" s="338"/>
      <c r="GM63" s="338"/>
      <c r="GN63" s="338"/>
      <c r="GO63" s="338"/>
      <c r="GP63" s="338"/>
      <c r="GQ63" s="338"/>
      <c r="GR63" s="338"/>
      <c r="GS63" s="338"/>
      <c r="GT63" s="338"/>
      <c r="GU63" s="338"/>
      <c r="GV63" s="338"/>
      <c r="GW63" s="338"/>
      <c r="GX63" s="338"/>
      <c r="GY63" s="338"/>
      <c r="GZ63" s="338"/>
      <c r="HA63" s="338"/>
      <c r="HB63" s="338"/>
      <c r="HC63" s="338"/>
      <c r="HD63" s="338"/>
      <c r="HE63" s="338"/>
      <c r="HF63" s="338"/>
      <c r="HG63" s="338"/>
      <c r="HH63" s="338"/>
      <c r="HI63" s="338"/>
      <c r="HJ63" s="338"/>
      <c r="HK63" s="338"/>
      <c r="HL63" s="338"/>
      <c r="HM63" s="338"/>
      <c r="HN63" s="338"/>
      <c r="HO63" s="338"/>
      <c r="HP63" s="338"/>
      <c r="HQ63" s="338"/>
      <c r="HR63" s="338"/>
      <c r="HS63" s="338"/>
      <c r="HT63" s="338"/>
      <c r="HU63" s="338"/>
      <c r="HV63" s="338"/>
      <c r="HW63" s="338"/>
      <c r="HX63" s="338"/>
      <c r="HY63" s="338"/>
      <c r="HZ63" s="338"/>
      <c r="IA63" s="338"/>
      <c r="IB63" s="338"/>
      <c r="IC63" s="338"/>
      <c r="ID63" s="338"/>
      <c r="IE63" s="338"/>
      <c r="IF63" s="338"/>
      <c r="IG63" s="338"/>
      <c r="IH63" s="338"/>
      <c r="II63" s="338"/>
      <c r="IJ63" s="338"/>
      <c r="IK63" s="338"/>
      <c r="IL63" s="338"/>
      <c r="IM63" s="338"/>
      <c r="IN63" s="338"/>
      <c r="IO63" s="338"/>
      <c r="IP63" s="338"/>
      <c r="IQ63" s="338"/>
      <c r="IR63" s="338"/>
      <c r="IS63" s="338"/>
      <c r="IT63" s="338"/>
      <c r="IU63" s="338"/>
      <c r="IV63" s="338"/>
      <c r="IW63" s="338"/>
    </row>
    <row r="64" customFormat="false" ht="12.75" hidden="false" customHeight="false" outlineLevel="0" collapsed="false">
      <c r="A64" s="356"/>
      <c r="B64" s="357" t="s">
        <v>356</v>
      </c>
      <c r="C64" s="328"/>
      <c r="D64" s="328"/>
      <c r="E64" s="326" t="n">
        <f aca="false">-Taxes!D22</f>
        <v>-0</v>
      </c>
      <c r="F64" s="326" t="n">
        <f aca="false">-Taxes!E22</f>
        <v>-0</v>
      </c>
      <c r="G64" s="326" t="n">
        <f aca="false">-Taxes!F22</f>
        <v>-0</v>
      </c>
      <c r="H64" s="326" t="n">
        <f aca="false">-Taxes!G22</f>
        <v>-0</v>
      </c>
      <c r="I64" s="326" t="n">
        <f aca="false">-Taxes!H22</f>
        <v>-0</v>
      </c>
      <c r="J64" s="326" t="n">
        <f aca="false">-Taxes!I22</f>
        <v>-0</v>
      </c>
      <c r="K64" s="326" t="n">
        <f aca="false">-Taxes!J22</f>
        <v>-0</v>
      </c>
      <c r="L64" s="326" t="n">
        <f aca="false">-Taxes!K22</f>
        <v>-0</v>
      </c>
      <c r="M64" s="326" t="n">
        <f aca="false">-Taxes!L22</f>
        <v>-0</v>
      </c>
      <c r="N64" s="326" t="n">
        <f aca="false">-Taxes!M22</f>
        <v>-0</v>
      </c>
      <c r="O64" s="326" t="n">
        <f aca="false">-Taxes!N22</f>
        <v>-0</v>
      </c>
      <c r="P64" s="326" t="n">
        <f aca="false">-Taxes!O22</f>
        <v>-0</v>
      </c>
      <c r="Q64" s="326" t="n">
        <f aca="false">-Taxes!P22</f>
        <v>-1444.79103222073</v>
      </c>
      <c r="R64" s="326" t="n">
        <f aca="false">-Taxes!Q22</f>
        <v>-6622.30103253172</v>
      </c>
      <c r="S64" s="326" t="n">
        <f aca="false">-Taxes!R22</f>
        <v>-6455.85623275457</v>
      </c>
      <c r="T64" s="326" t="n">
        <f aca="false">-Taxes!S22</f>
        <v>-7317.7903051127</v>
      </c>
      <c r="U64" s="326" t="n">
        <f aca="false">-Taxes!T22</f>
        <v>-7763.87402573953</v>
      </c>
      <c r="V64" s="326" t="n">
        <f aca="false">-Taxes!U22</f>
        <v>-8076.52071993359</v>
      </c>
      <c r="W64" s="326" t="n">
        <f aca="false">-Taxes!V22</f>
        <v>-8345.45340257528</v>
      </c>
      <c r="X64" s="326" t="n">
        <f aca="false">-Taxes!W22</f>
        <v>-8636.92600930691</v>
      </c>
      <c r="Y64" s="326" t="n">
        <f aca="false">-Taxes!X22</f>
        <v>-2882.19798872384</v>
      </c>
      <c r="Z64" s="330" t="n">
        <f aca="false">SUM(E64:Y64)</f>
        <v>-57545.7107488989</v>
      </c>
      <c r="AA64" s="338"/>
      <c r="AB64" s="300" t="n">
        <f aca="false">AB63+1</f>
        <v>58</v>
      </c>
      <c r="AC64" s="338"/>
      <c r="AD64" s="338"/>
      <c r="AE64" s="338"/>
      <c r="AF64" s="338"/>
      <c r="AG64" s="338"/>
      <c r="AH64" s="338"/>
      <c r="AI64" s="338"/>
      <c r="AJ64" s="338"/>
      <c r="AK64" s="338"/>
      <c r="AL64" s="338"/>
      <c r="AM64" s="338"/>
      <c r="AN64" s="338"/>
      <c r="AO64" s="338"/>
      <c r="AP64" s="338"/>
      <c r="AQ64" s="338"/>
      <c r="AR64" s="338"/>
      <c r="AS64" s="338"/>
      <c r="AT64" s="338"/>
      <c r="AU64" s="338"/>
      <c r="AV64" s="338"/>
      <c r="AW64" s="338"/>
      <c r="AX64" s="338"/>
      <c r="AY64" s="338"/>
      <c r="AZ64" s="338"/>
      <c r="BA64" s="338"/>
      <c r="BB64" s="338"/>
      <c r="BC64" s="338"/>
      <c r="BD64" s="338"/>
      <c r="BE64" s="338"/>
      <c r="BF64" s="338"/>
      <c r="BG64" s="338"/>
      <c r="BH64" s="338"/>
      <c r="BI64" s="338"/>
      <c r="BJ64" s="338"/>
      <c r="BK64" s="338"/>
      <c r="BL64" s="338"/>
      <c r="BM64" s="338"/>
      <c r="BN64" s="338"/>
      <c r="BO64" s="338"/>
      <c r="BP64" s="338"/>
      <c r="BQ64" s="338"/>
      <c r="BR64" s="338"/>
      <c r="BS64" s="338"/>
      <c r="BT64" s="338"/>
      <c r="BU64" s="338"/>
      <c r="BV64" s="338"/>
      <c r="BW64" s="338"/>
      <c r="BX64" s="338"/>
      <c r="BY64" s="338"/>
      <c r="BZ64" s="338"/>
      <c r="CA64" s="338"/>
      <c r="CB64" s="338"/>
      <c r="CC64" s="338"/>
      <c r="CD64" s="338"/>
      <c r="CE64" s="338"/>
      <c r="CF64" s="338"/>
      <c r="CG64" s="338"/>
      <c r="CH64" s="338"/>
      <c r="CI64" s="338"/>
      <c r="CJ64" s="338"/>
      <c r="CK64" s="338"/>
      <c r="CL64" s="338"/>
      <c r="CM64" s="338"/>
      <c r="CN64" s="338"/>
      <c r="CO64" s="338"/>
      <c r="CP64" s="338"/>
      <c r="CQ64" s="338"/>
      <c r="CR64" s="338"/>
      <c r="CS64" s="338"/>
      <c r="CT64" s="338"/>
      <c r="CU64" s="338"/>
      <c r="CV64" s="338"/>
      <c r="CW64" s="338"/>
      <c r="CX64" s="338"/>
      <c r="CY64" s="338"/>
      <c r="CZ64" s="338"/>
      <c r="DA64" s="338"/>
      <c r="DB64" s="338"/>
      <c r="DC64" s="338"/>
      <c r="DD64" s="338"/>
      <c r="DE64" s="338"/>
      <c r="DF64" s="338"/>
      <c r="DG64" s="338"/>
      <c r="DH64" s="338"/>
      <c r="DI64" s="338"/>
      <c r="DJ64" s="338"/>
      <c r="DK64" s="338"/>
      <c r="DL64" s="338"/>
      <c r="DM64" s="338"/>
      <c r="DN64" s="338"/>
      <c r="DO64" s="338"/>
      <c r="DP64" s="338"/>
      <c r="DQ64" s="338"/>
      <c r="DR64" s="338"/>
      <c r="DS64" s="338"/>
      <c r="DT64" s="338"/>
      <c r="DU64" s="338"/>
      <c r="DV64" s="338"/>
      <c r="DW64" s="338"/>
      <c r="DX64" s="338"/>
      <c r="DY64" s="338"/>
      <c r="DZ64" s="338"/>
      <c r="EA64" s="338"/>
      <c r="EB64" s="338"/>
      <c r="EC64" s="338"/>
      <c r="ED64" s="338"/>
      <c r="EE64" s="338"/>
      <c r="EF64" s="338"/>
      <c r="EG64" s="338"/>
      <c r="EH64" s="338"/>
      <c r="EI64" s="338"/>
      <c r="EJ64" s="338"/>
      <c r="EK64" s="338"/>
      <c r="EL64" s="338"/>
      <c r="EM64" s="338"/>
      <c r="EN64" s="338"/>
      <c r="EO64" s="338"/>
      <c r="EP64" s="338"/>
      <c r="EQ64" s="338"/>
      <c r="ER64" s="338"/>
      <c r="ES64" s="338"/>
      <c r="ET64" s="338"/>
      <c r="EU64" s="338"/>
      <c r="EV64" s="338"/>
      <c r="EW64" s="338"/>
      <c r="EX64" s="338"/>
      <c r="EY64" s="338"/>
      <c r="EZ64" s="338"/>
      <c r="FA64" s="338"/>
      <c r="FB64" s="338"/>
      <c r="FC64" s="338"/>
      <c r="FD64" s="338"/>
      <c r="FE64" s="338"/>
      <c r="FF64" s="338"/>
      <c r="FG64" s="338"/>
      <c r="FH64" s="338"/>
      <c r="FI64" s="338"/>
      <c r="FJ64" s="338"/>
      <c r="FK64" s="338"/>
      <c r="FL64" s="338"/>
      <c r="FM64" s="338"/>
      <c r="FN64" s="338"/>
      <c r="FO64" s="338"/>
      <c r="FP64" s="338"/>
      <c r="FQ64" s="338"/>
      <c r="FR64" s="338"/>
      <c r="FS64" s="338"/>
      <c r="FT64" s="338"/>
      <c r="FU64" s="338"/>
      <c r="FV64" s="338"/>
      <c r="FW64" s="338"/>
      <c r="FX64" s="338"/>
      <c r="FY64" s="338"/>
      <c r="FZ64" s="338"/>
      <c r="GA64" s="338"/>
      <c r="GB64" s="338"/>
      <c r="GC64" s="338"/>
      <c r="GD64" s="338"/>
      <c r="GE64" s="338"/>
      <c r="GF64" s="338"/>
      <c r="GG64" s="338"/>
      <c r="GH64" s="338"/>
      <c r="GI64" s="338"/>
      <c r="GJ64" s="338"/>
      <c r="GK64" s="338"/>
      <c r="GL64" s="338"/>
      <c r="GM64" s="338"/>
      <c r="GN64" s="338"/>
      <c r="GO64" s="338"/>
      <c r="GP64" s="338"/>
      <c r="GQ64" s="338"/>
      <c r="GR64" s="338"/>
      <c r="GS64" s="338"/>
      <c r="GT64" s="338"/>
      <c r="GU64" s="338"/>
      <c r="GV64" s="338"/>
      <c r="GW64" s="338"/>
      <c r="GX64" s="338"/>
      <c r="GY64" s="338"/>
      <c r="GZ64" s="338"/>
      <c r="HA64" s="338"/>
      <c r="HB64" s="338"/>
      <c r="HC64" s="338"/>
      <c r="HD64" s="338"/>
      <c r="HE64" s="338"/>
      <c r="HF64" s="338"/>
      <c r="HG64" s="338"/>
      <c r="HH64" s="338"/>
      <c r="HI64" s="338"/>
      <c r="HJ64" s="338"/>
      <c r="HK64" s="338"/>
      <c r="HL64" s="338"/>
      <c r="HM64" s="338"/>
      <c r="HN64" s="338"/>
      <c r="HO64" s="338"/>
      <c r="HP64" s="338"/>
      <c r="HQ64" s="338"/>
      <c r="HR64" s="338"/>
      <c r="HS64" s="338"/>
      <c r="HT64" s="338"/>
      <c r="HU64" s="338"/>
      <c r="HV64" s="338"/>
      <c r="HW64" s="338"/>
      <c r="HX64" s="338"/>
      <c r="HY64" s="338"/>
      <c r="HZ64" s="338"/>
      <c r="IA64" s="338"/>
      <c r="IB64" s="338"/>
      <c r="IC64" s="338"/>
      <c r="ID64" s="338"/>
      <c r="IE64" s="338"/>
      <c r="IF64" s="338"/>
      <c r="IG64" s="338"/>
      <c r="IH64" s="338"/>
      <c r="II64" s="338"/>
      <c r="IJ64" s="338"/>
      <c r="IK64" s="338"/>
      <c r="IL64" s="338"/>
      <c r="IM64" s="338"/>
      <c r="IN64" s="338"/>
      <c r="IO64" s="338"/>
      <c r="IP64" s="338"/>
      <c r="IQ64" s="338"/>
      <c r="IR64" s="338"/>
      <c r="IS64" s="338"/>
      <c r="IT64" s="338"/>
      <c r="IU64" s="338"/>
      <c r="IV64" s="338"/>
      <c r="IW64" s="338"/>
    </row>
    <row r="65" customFormat="false" ht="12.75" hidden="false" customHeight="false" outlineLevel="0" collapsed="false">
      <c r="A65" s="356"/>
      <c r="B65" s="357" t="s">
        <v>357</v>
      </c>
      <c r="C65" s="328"/>
      <c r="D65" s="328"/>
      <c r="E65" s="326" t="n">
        <f aca="false">-'Debt Amort'!E13</f>
        <v>-0</v>
      </c>
      <c r="F65" s="326" t="n">
        <f aca="false">-'Debt Amort'!F13</f>
        <v>-0</v>
      </c>
      <c r="G65" s="326" t="n">
        <f aca="false">-'Debt Amort'!G13</f>
        <v>-0</v>
      </c>
      <c r="H65" s="326" t="n">
        <f aca="false">-'Debt Amort'!H13</f>
        <v>-1405.52296055988</v>
      </c>
      <c r="I65" s="326" t="n">
        <f aca="false">-'Debt Amort'!I13</f>
        <v>-2382.92301152165</v>
      </c>
      <c r="J65" s="326" t="n">
        <f aca="false">-'Debt Amort'!J13</f>
        <v>-6693.60396494846</v>
      </c>
      <c r="K65" s="326" t="n">
        <f aca="false">-'Debt Amort'!K13</f>
        <v>-8497.61948155494</v>
      </c>
      <c r="L65" s="326" t="n">
        <f aca="false">-'Debt Amort'!L13</f>
        <v>-9626.83047044174</v>
      </c>
      <c r="M65" s="326" t="n">
        <f aca="false">-'Debt Amort'!M13</f>
        <v>-10329.6588867613</v>
      </c>
      <c r="N65" s="326" t="n">
        <f aca="false">-'Debt Amort'!N13</f>
        <v>-7836.96077021452</v>
      </c>
      <c r="O65" s="326" t="n">
        <f aca="false">-'Debt Amort'!O13</f>
        <v>-5344.26265366772</v>
      </c>
      <c r="P65" s="326" t="n">
        <f aca="false">-'Debt Amort'!P13</f>
        <v>-5344.26265366772</v>
      </c>
      <c r="Q65" s="326" t="n">
        <f aca="false">-'Debt Amort'!Q13</f>
        <v>-6590.61171194112</v>
      </c>
      <c r="R65" s="326" t="n">
        <f aca="false">-'Debt Amort'!R13</f>
        <v>-7836.96077021453</v>
      </c>
      <c r="S65" s="326" t="n">
        <f aca="false">-'Debt Amort'!S13</f>
        <v>-7836.96077021453</v>
      </c>
      <c r="T65" s="326" t="n">
        <f aca="false">-'Debt Amort'!T13</f>
        <v>-8118.09213674236</v>
      </c>
      <c r="U65" s="326" t="n">
        <f aca="false">-'Debt Amort'!U13</f>
        <v>-5866.185266828</v>
      </c>
      <c r="V65" s="326" t="n">
        <f aca="false">-'Debt Amort'!V13</f>
        <v>-0</v>
      </c>
      <c r="W65" s="326" t="n">
        <f aca="false">-'Debt Amort'!W13</f>
        <v>-0</v>
      </c>
      <c r="X65" s="326" t="n">
        <f aca="false">-'Debt Amort'!X13</f>
        <v>-0</v>
      </c>
      <c r="Y65" s="326" t="n">
        <f aca="false">-'Debt Amort'!Y13</f>
        <v>-0</v>
      </c>
      <c r="Z65" s="330" t="n">
        <f aca="false">SUM(E65:Y65)</f>
        <v>-93710.4555092785</v>
      </c>
      <c r="AA65" s="328"/>
      <c r="AB65" s="300" t="n">
        <f aca="false">AB64+1</f>
        <v>59</v>
      </c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/>
      <c r="AN65" s="328"/>
      <c r="AO65" s="328"/>
      <c r="AP65" s="328"/>
      <c r="AQ65" s="328"/>
      <c r="AR65" s="328"/>
      <c r="AS65" s="328"/>
      <c r="AT65" s="328"/>
      <c r="AU65" s="328"/>
      <c r="AV65" s="328"/>
      <c r="AW65" s="328"/>
      <c r="AX65" s="328"/>
      <c r="AY65" s="328"/>
      <c r="AZ65" s="328"/>
      <c r="BA65" s="328"/>
      <c r="BB65" s="328"/>
      <c r="BC65" s="328"/>
      <c r="BD65" s="328"/>
      <c r="BE65" s="328"/>
      <c r="BF65" s="328"/>
      <c r="BG65" s="328"/>
      <c r="BH65" s="328"/>
      <c r="BI65" s="328"/>
      <c r="BJ65" s="328"/>
      <c r="BK65" s="328"/>
      <c r="BL65" s="328"/>
      <c r="BM65" s="328"/>
      <c r="BN65" s="328"/>
      <c r="BO65" s="328"/>
      <c r="BP65" s="328"/>
      <c r="BQ65" s="328"/>
      <c r="BR65" s="328"/>
      <c r="BS65" s="328"/>
      <c r="BT65" s="328"/>
      <c r="BU65" s="328"/>
      <c r="BV65" s="328"/>
      <c r="BW65" s="328"/>
      <c r="BX65" s="328"/>
      <c r="BY65" s="328"/>
      <c r="BZ65" s="328"/>
      <c r="CA65" s="328"/>
      <c r="CB65" s="328"/>
      <c r="CC65" s="328"/>
      <c r="CD65" s="328"/>
      <c r="CE65" s="328"/>
      <c r="CF65" s="328"/>
      <c r="CG65" s="328"/>
      <c r="CH65" s="328"/>
      <c r="CI65" s="328"/>
      <c r="CJ65" s="328"/>
      <c r="CK65" s="328"/>
      <c r="CL65" s="328"/>
      <c r="CM65" s="328"/>
      <c r="CN65" s="328"/>
      <c r="CO65" s="328"/>
      <c r="CP65" s="328"/>
      <c r="CQ65" s="328"/>
      <c r="CR65" s="328"/>
      <c r="CS65" s="328"/>
      <c r="CT65" s="328"/>
      <c r="CU65" s="328"/>
      <c r="CV65" s="328"/>
      <c r="CW65" s="328"/>
      <c r="CX65" s="328"/>
      <c r="CY65" s="328"/>
      <c r="CZ65" s="328"/>
      <c r="DA65" s="328"/>
      <c r="DB65" s="328"/>
      <c r="DC65" s="328"/>
      <c r="DD65" s="328"/>
      <c r="DE65" s="328"/>
      <c r="DF65" s="328"/>
      <c r="DG65" s="328"/>
      <c r="DH65" s="328"/>
      <c r="DI65" s="328"/>
      <c r="DJ65" s="328"/>
      <c r="DK65" s="328"/>
      <c r="DL65" s="328"/>
      <c r="DM65" s="328"/>
      <c r="DN65" s="328"/>
      <c r="DO65" s="328"/>
      <c r="DP65" s="328"/>
      <c r="DQ65" s="328"/>
      <c r="DR65" s="328"/>
      <c r="DS65" s="328"/>
      <c r="DT65" s="328"/>
      <c r="DU65" s="328"/>
      <c r="DV65" s="328"/>
      <c r="DW65" s="328"/>
      <c r="DX65" s="328"/>
      <c r="DY65" s="328"/>
      <c r="DZ65" s="328"/>
      <c r="EA65" s="328"/>
      <c r="EB65" s="328"/>
      <c r="EC65" s="328"/>
      <c r="ED65" s="328"/>
      <c r="EE65" s="328"/>
      <c r="EF65" s="328"/>
      <c r="EG65" s="328"/>
      <c r="EH65" s="328"/>
      <c r="EI65" s="328"/>
      <c r="EJ65" s="328"/>
      <c r="EK65" s="328"/>
      <c r="EL65" s="328"/>
      <c r="EM65" s="328"/>
      <c r="EN65" s="328"/>
      <c r="EO65" s="328"/>
      <c r="EP65" s="328"/>
      <c r="EQ65" s="328"/>
      <c r="ER65" s="328"/>
      <c r="ES65" s="328"/>
      <c r="ET65" s="328"/>
      <c r="EU65" s="328"/>
      <c r="EV65" s="328"/>
      <c r="EW65" s="328"/>
      <c r="EX65" s="328"/>
      <c r="EY65" s="328"/>
      <c r="EZ65" s="328"/>
      <c r="FA65" s="328"/>
      <c r="FB65" s="328"/>
      <c r="FC65" s="328"/>
      <c r="FD65" s="328"/>
      <c r="FE65" s="328"/>
      <c r="FF65" s="328"/>
      <c r="FG65" s="328"/>
      <c r="FH65" s="328"/>
      <c r="FI65" s="328"/>
      <c r="FJ65" s="328"/>
      <c r="FK65" s="328"/>
      <c r="FL65" s="328"/>
      <c r="FM65" s="328"/>
      <c r="FN65" s="328"/>
      <c r="FO65" s="328"/>
      <c r="FP65" s="328"/>
      <c r="FQ65" s="328"/>
      <c r="FR65" s="328"/>
      <c r="FS65" s="328"/>
      <c r="FT65" s="328"/>
      <c r="FU65" s="328"/>
      <c r="FV65" s="328"/>
      <c r="FW65" s="328"/>
      <c r="FX65" s="328"/>
      <c r="FY65" s="328"/>
      <c r="FZ65" s="328"/>
      <c r="GA65" s="328"/>
      <c r="GB65" s="328"/>
      <c r="GC65" s="328"/>
      <c r="GD65" s="328"/>
      <c r="GE65" s="328"/>
      <c r="GF65" s="328"/>
      <c r="GG65" s="328"/>
      <c r="GH65" s="328"/>
      <c r="GI65" s="328"/>
      <c r="GJ65" s="328"/>
      <c r="GK65" s="328"/>
      <c r="GL65" s="328"/>
      <c r="GM65" s="328"/>
      <c r="GN65" s="328"/>
      <c r="GO65" s="328"/>
      <c r="GP65" s="328"/>
      <c r="GQ65" s="328"/>
      <c r="GR65" s="328"/>
      <c r="GS65" s="328"/>
      <c r="GT65" s="328"/>
      <c r="GU65" s="328"/>
      <c r="GV65" s="328"/>
      <c r="GW65" s="328"/>
      <c r="GX65" s="328"/>
      <c r="GY65" s="328"/>
      <c r="GZ65" s="328"/>
      <c r="HA65" s="328"/>
      <c r="HB65" s="328"/>
      <c r="HC65" s="328"/>
      <c r="HD65" s="328"/>
      <c r="HE65" s="328"/>
      <c r="HF65" s="328"/>
      <c r="HG65" s="328"/>
      <c r="HH65" s="328"/>
      <c r="HI65" s="328"/>
      <c r="HJ65" s="328"/>
      <c r="HK65" s="328"/>
      <c r="HL65" s="328"/>
      <c r="HM65" s="328"/>
      <c r="HN65" s="328"/>
      <c r="HO65" s="328"/>
      <c r="HP65" s="328"/>
      <c r="HQ65" s="328"/>
      <c r="HR65" s="328"/>
      <c r="HS65" s="328"/>
      <c r="HT65" s="328"/>
      <c r="HU65" s="328"/>
      <c r="HV65" s="328"/>
      <c r="HW65" s="328"/>
      <c r="HX65" s="328"/>
      <c r="HY65" s="328"/>
      <c r="HZ65" s="328"/>
      <c r="IA65" s="328"/>
      <c r="IB65" s="328"/>
      <c r="IC65" s="328"/>
      <c r="ID65" s="328"/>
      <c r="IE65" s="328"/>
      <c r="IF65" s="328"/>
      <c r="IG65" s="328"/>
      <c r="IH65" s="328"/>
      <c r="II65" s="328"/>
      <c r="IJ65" s="328"/>
      <c r="IK65" s="328"/>
      <c r="IL65" s="328"/>
      <c r="IM65" s="328"/>
      <c r="IN65" s="328"/>
      <c r="IO65" s="328"/>
      <c r="IP65" s="328"/>
      <c r="IQ65" s="328"/>
      <c r="IR65" s="328"/>
      <c r="IS65" s="328"/>
      <c r="IT65" s="328"/>
      <c r="IU65" s="328"/>
      <c r="IV65" s="328"/>
      <c r="IW65" s="328"/>
    </row>
    <row r="66" customFormat="false" ht="12.75" hidden="false" customHeight="false" outlineLevel="0" collapsed="false">
      <c r="A66" s="356"/>
      <c r="B66" s="357"/>
      <c r="C66" s="328"/>
      <c r="D66" s="328"/>
      <c r="E66" s="326"/>
      <c r="F66" s="326"/>
      <c r="G66" s="326"/>
      <c r="H66" s="326"/>
      <c r="I66" s="326"/>
      <c r="J66" s="326"/>
      <c r="K66" s="326"/>
      <c r="L66" s="326"/>
      <c r="M66" s="326"/>
      <c r="N66" s="326"/>
      <c r="O66" s="326"/>
      <c r="P66" s="326"/>
      <c r="Q66" s="326"/>
      <c r="R66" s="326"/>
      <c r="S66" s="326"/>
      <c r="T66" s="326"/>
      <c r="U66" s="326"/>
      <c r="V66" s="326"/>
      <c r="W66" s="326"/>
      <c r="X66" s="326"/>
      <c r="Y66" s="326"/>
      <c r="Z66" s="330"/>
      <c r="AA66" s="328"/>
      <c r="AB66" s="300" t="n">
        <f aca="false">AB65+1</f>
        <v>60</v>
      </c>
      <c r="AC66" s="328"/>
      <c r="AD66" s="328"/>
      <c r="AE66" s="328"/>
      <c r="AF66" s="328"/>
      <c r="AG66" s="328"/>
      <c r="AH66" s="328"/>
      <c r="AI66" s="328"/>
      <c r="AJ66" s="328"/>
      <c r="AK66" s="328"/>
      <c r="AL66" s="328"/>
      <c r="AM66" s="328"/>
      <c r="AN66" s="328"/>
      <c r="AO66" s="328"/>
      <c r="AP66" s="328"/>
      <c r="AQ66" s="328"/>
      <c r="AR66" s="328"/>
      <c r="AS66" s="328"/>
      <c r="AT66" s="328"/>
      <c r="AU66" s="328"/>
      <c r="AV66" s="328"/>
      <c r="AW66" s="328"/>
      <c r="AX66" s="328"/>
      <c r="AY66" s="328"/>
      <c r="AZ66" s="328"/>
      <c r="BA66" s="328"/>
      <c r="BB66" s="328"/>
      <c r="BC66" s="328"/>
      <c r="BD66" s="328"/>
      <c r="BE66" s="328"/>
      <c r="BF66" s="328"/>
      <c r="BG66" s="328"/>
      <c r="BH66" s="328"/>
      <c r="BI66" s="328"/>
      <c r="BJ66" s="328"/>
      <c r="BK66" s="328"/>
      <c r="BL66" s="328"/>
      <c r="BM66" s="328"/>
      <c r="BN66" s="328"/>
      <c r="BO66" s="328"/>
      <c r="BP66" s="328"/>
      <c r="BQ66" s="328"/>
      <c r="BR66" s="328"/>
      <c r="BS66" s="328"/>
      <c r="BT66" s="328"/>
      <c r="BU66" s="328"/>
      <c r="BV66" s="328"/>
      <c r="BW66" s="328"/>
      <c r="BX66" s="328"/>
      <c r="BY66" s="328"/>
      <c r="BZ66" s="328"/>
      <c r="CA66" s="328"/>
      <c r="CB66" s="328"/>
      <c r="CC66" s="328"/>
      <c r="CD66" s="328"/>
      <c r="CE66" s="328"/>
      <c r="CF66" s="328"/>
      <c r="CG66" s="328"/>
      <c r="CH66" s="328"/>
      <c r="CI66" s="328"/>
      <c r="CJ66" s="328"/>
      <c r="CK66" s="328"/>
      <c r="CL66" s="328"/>
      <c r="CM66" s="328"/>
      <c r="CN66" s="328"/>
      <c r="CO66" s="328"/>
      <c r="CP66" s="328"/>
      <c r="CQ66" s="328"/>
      <c r="CR66" s="328"/>
      <c r="CS66" s="328"/>
      <c r="CT66" s="328"/>
      <c r="CU66" s="328"/>
      <c r="CV66" s="328"/>
      <c r="CW66" s="328"/>
      <c r="CX66" s="328"/>
      <c r="CY66" s="328"/>
      <c r="CZ66" s="328"/>
      <c r="DA66" s="328"/>
      <c r="DB66" s="328"/>
      <c r="DC66" s="328"/>
      <c r="DD66" s="328"/>
      <c r="DE66" s="328"/>
      <c r="DF66" s="328"/>
      <c r="DG66" s="328"/>
      <c r="DH66" s="328"/>
      <c r="DI66" s="328"/>
      <c r="DJ66" s="328"/>
      <c r="DK66" s="328"/>
      <c r="DL66" s="328"/>
      <c r="DM66" s="328"/>
      <c r="DN66" s="328"/>
      <c r="DO66" s="328"/>
      <c r="DP66" s="328"/>
      <c r="DQ66" s="328"/>
      <c r="DR66" s="328"/>
      <c r="DS66" s="328"/>
      <c r="DT66" s="328"/>
      <c r="DU66" s="328"/>
      <c r="DV66" s="328"/>
      <c r="DW66" s="328"/>
      <c r="DX66" s="328"/>
      <c r="DY66" s="328"/>
      <c r="DZ66" s="328"/>
      <c r="EA66" s="328"/>
      <c r="EB66" s="328"/>
      <c r="EC66" s="328"/>
      <c r="ED66" s="328"/>
      <c r="EE66" s="328"/>
      <c r="EF66" s="328"/>
      <c r="EG66" s="328"/>
      <c r="EH66" s="328"/>
      <c r="EI66" s="328"/>
      <c r="EJ66" s="328"/>
      <c r="EK66" s="328"/>
      <c r="EL66" s="328"/>
      <c r="EM66" s="328"/>
      <c r="EN66" s="328"/>
      <c r="EO66" s="328"/>
      <c r="EP66" s="328"/>
      <c r="EQ66" s="328"/>
      <c r="ER66" s="328"/>
      <c r="ES66" s="328"/>
      <c r="ET66" s="328"/>
      <c r="EU66" s="328"/>
      <c r="EV66" s="328"/>
      <c r="EW66" s="328"/>
      <c r="EX66" s="328"/>
      <c r="EY66" s="328"/>
      <c r="EZ66" s="328"/>
      <c r="FA66" s="328"/>
      <c r="FB66" s="328"/>
      <c r="FC66" s="328"/>
      <c r="FD66" s="328"/>
      <c r="FE66" s="328"/>
      <c r="FF66" s="328"/>
      <c r="FG66" s="328"/>
      <c r="FH66" s="328"/>
      <c r="FI66" s="328"/>
      <c r="FJ66" s="328"/>
      <c r="FK66" s="328"/>
      <c r="FL66" s="328"/>
      <c r="FM66" s="328"/>
      <c r="FN66" s="328"/>
      <c r="FO66" s="328"/>
      <c r="FP66" s="328"/>
      <c r="FQ66" s="328"/>
      <c r="FR66" s="328"/>
      <c r="FS66" s="328"/>
      <c r="FT66" s="328"/>
      <c r="FU66" s="328"/>
      <c r="FV66" s="328"/>
      <c r="FW66" s="328"/>
      <c r="FX66" s="328"/>
      <c r="FY66" s="328"/>
      <c r="FZ66" s="328"/>
      <c r="GA66" s="328"/>
      <c r="GB66" s="328"/>
      <c r="GC66" s="328"/>
      <c r="GD66" s="328"/>
      <c r="GE66" s="328"/>
      <c r="GF66" s="328"/>
      <c r="GG66" s="328"/>
      <c r="GH66" s="328"/>
      <c r="GI66" s="328"/>
      <c r="GJ66" s="328"/>
      <c r="GK66" s="328"/>
      <c r="GL66" s="328"/>
      <c r="GM66" s="328"/>
      <c r="GN66" s="328"/>
      <c r="GO66" s="328"/>
      <c r="GP66" s="328"/>
      <c r="GQ66" s="328"/>
      <c r="GR66" s="328"/>
      <c r="GS66" s="328"/>
      <c r="GT66" s="328"/>
      <c r="GU66" s="328"/>
      <c r="GV66" s="328"/>
      <c r="GW66" s="328"/>
      <c r="GX66" s="328"/>
      <c r="GY66" s="328"/>
      <c r="GZ66" s="328"/>
      <c r="HA66" s="328"/>
      <c r="HB66" s="328"/>
      <c r="HC66" s="328"/>
      <c r="HD66" s="328"/>
      <c r="HE66" s="328"/>
      <c r="HF66" s="328"/>
      <c r="HG66" s="328"/>
      <c r="HH66" s="328"/>
      <c r="HI66" s="328"/>
      <c r="HJ66" s="328"/>
      <c r="HK66" s="328"/>
      <c r="HL66" s="328"/>
      <c r="HM66" s="328"/>
      <c r="HN66" s="328"/>
      <c r="HO66" s="328"/>
      <c r="HP66" s="328"/>
      <c r="HQ66" s="328"/>
      <c r="HR66" s="328"/>
      <c r="HS66" s="328"/>
      <c r="HT66" s="328"/>
      <c r="HU66" s="328"/>
      <c r="HV66" s="328"/>
      <c r="HW66" s="328"/>
      <c r="HX66" s="328"/>
      <c r="HY66" s="328"/>
      <c r="HZ66" s="328"/>
      <c r="IA66" s="328"/>
      <c r="IB66" s="328"/>
      <c r="IC66" s="328"/>
      <c r="ID66" s="328"/>
      <c r="IE66" s="328"/>
      <c r="IF66" s="328"/>
      <c r="IG66" s="328"/>
      <c r="IH66" s="328"/>
      <c r="II66" s="328"/>
      <c r="IJ66" s="328"/>
      <c r="IK66" s="328"/>
      <c r="IL66" s="328"/>
      <c r="IM66" s="328"/>
      <c r="IN66" s="328"/>
      <c r="IO66" s="328"/>
      <c r="IP66" s="328"/>
      <c r="IQ66" s="328"/>
      <c r="IR66" s="328"/>
      <c r="IS66" s="328"/>
      <c r="IT66" s="328"/>
      <c r="IU66" s="328"/>
      <c r="IV66" s="328"/>
      <c r="IW66" s="328"/>
    </row>
    <row r="67" customFormat="false" ht="12.75" hidden="false" customHeight="false" outlineLevel="0" collapsed="false">
      <c r="A67" s="347" t="s">
        <v>358</v>
      </c>
      <c r="B67" s="348"/>
      <c r="C67" s="348"/>
      <c r="D67" s="348"/>
      <c r="E67" s="349" t="n">
        <f aca="false">SUM(E57:E66)</f>
        <v>0</v>
      </c>
      <c r="F67" s="349" t="n">
        <f aca="false">SUM(F57:F66)</f>
        <v>-13.2759999379246</v>
      </c>
      <c r="G67" s="349" t="n">
        <f aca="false">SUM(G57:G66)</f>
        <v>6028.02074865771</v>
      </c>
      <c r="H67" s="349" t="n">
        <f aca="false">SUM(H57:H66)</f>
        <v>5345.65242516422</v>
      </c>
      <c r="I67" s="349" t="n">
        <f aca="false">SUM(I57:I66)</f>
        <v>4005.45949892385</v>
      </c>
      <c r="J67" s="349" t="n">
        <f aca="false">SUM(J57:J66)</f>
        <v>5730.44364659384</v>
      </c>
      <c r="K67" s="349" t="n">
        <f aca="false">SUM(K57:K66)</f>
        <v>1893.3945164058</v>
      </c>
      <c r="L67" s="349" t="n">
        <f aca="false">SUM(L57:L66)</f>
        <v>5582.58067264734</v>
      </c>
      <c r="M67" s="349" t="n">
        <f aca="false">SUM(M57:M66)</f>
        <v>6910.52878380658</v>
      </c>
      <c r="N67" s="349" t="n">
        <f aca="false">SUM(N57:N66)</f>
        <v>10709.2197969578</v>
      </c>
      <c r="O67" s="349" t="n">
        <f aca="false">SUM(O57:O66)</f>
        <v>15303.8737764335</v>
      </c>
      <c r="P67" s="349" t="n">
        <f aca="false">SUM(P57:P66)</f>
        <v>16695.193618093</v>
      </c>
      <c r="Q67" s="349" t="n">
        <f aca="false">SUM(Q57:Q66)</f>
        <v>15715.4946749393</v>
      </c>
      <c r="R67" s="349" t="n">
        <f aca="false">SUM(R57:R66)</f>
        <v>11991.4769956191</v>
      </c>
      <c r="S67" s="349" t="n">
        <f aca="false">SUM(S57:S66)</f>
        <v>11530.6079280492</v>
      </c>
      <c r="T67" s="349" t="n">
        <f aca="false">SUM(T57:T66)</f>
        <v>13835.2787785957</v>
      </c>
      <c r="U67" s="349" t="n">
        <f aca="false">SUM(U57:U66)</f>
        <v>17425.4368103906</v>
      </c>
      <c r="V67" s="349" t="n">
        <f aca="false">SUM(V57:V66)</f>
        <v>24229.5621598008</v>
      </c>
      <c r="W67" s="349" t="n">
        <f aca="false">SUM(W57:W66)</f>
        <v>25036.3602077258</v>
      </c>
      <c r="X67" s="349" t="n">
        <f aca="false">SUM(X57:X66)</f>
        <v>25910.7780279207</v>
      </c>
      <c r="Y67" s="349" t="n">
        <f aca="false">SUM(Y57:Y66)</f>
        <v>8646.59396617151</v>
      </c>
      <c r="Z67" s="350" t="n">
        <f aca="false">SUM(E67:Y67)</f>
        <v>232512.681032958</v>
      </c>
      <c r="AA67" s="328"/>
      <c r="AB67" s="300" t="n">
        <f aca="false">AB66+1</f>
        <v>61</v>
      </c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28"/>
      <c r="AN67" s="328"/>
      <c r="AO67" s="328"/>
      <c r="AP67" s="328"/>
      <c r="AQ67" s="328"/>
      <c r="AR67" s="328"/>
      <c r="AS67" s="328"/>
      <c r="AT67" s="328"/>
      <c r="AU67" s="328"/>
      <c r="AV67" s="328"/>
      <c r="AW67" s="328"/>
      <c r="AX67" s="328"/>
      <c r="AY67" s="328"/>
      <c r="AZ67" s="328"/>
      <c r="BA67" s="328"/>
      <c r="BB67" s="328"/>
      <c r="BC67" s="328"/>
      <c r="BD67" s="328"/>
      <c r="BE67" s="328"/>
      <c r="BF67" s="328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  <c r="CF67" s="328"/>
      <c r="CG67" s="328"/>
      <c r="CH67" s="328"/>
      <c r="CI67" s="328"/>
      <c r="CJ67" s="328"/>
      <c r="CK67" s="328"/>
      <c r="CL67" s="328"/>
      <c r="CM67" s="328"/>
      <c r="CN67" s="328"/>
      <c r="CO67" s="328"/>
      <c r="CP67" s="328"/>
      <c r="CQ67" s="328"/>
      <c r="CR67" s="328"/>
      <c r="CS67" s="328"/>
      <c r="CT67" s="328"/>
      <c r="CU67" s="328"/>
      <c r="CV67" s="328"/>
      <c r="CW67" s="328"/>
      <c r="CX67" s="328"/>
      <c r="CY67" s="328"/>
      <c r="CZ67" s="328"/>
      <c r="DA67" s="328"/>
      <c r="DB67" s="328"/>
      <c r="DC67" s="328"/>
      <c r="DD67" s="328"/>
      <c r="DE67" s="328"/>
      <c r="DF67" s="328"/>
      <c r="DG67" s="328"/>
      <c r="DH67" s="328"/>
      <c r="DI67" s="328"/>
      <c r="DJ67" s="328"/>
      <c r="DK67" s="328"/>
      <c r="DL67" s="328"/>
      <c r="DM67" s="328"/>
      <c r="DN67" s="328"/>
      <c r="DO67" s="328"/>
      <c r="DP67" s="328"/>
      <c r="DQ67" s="328"/>
      <c r="DR67" s="328"/>
      <c r="DS67" s="328"/>
      <c r="DT67" s="328"/>
      <c r="DU67" s="328"/>
      <c r="DV67" s="328"/>
      <c r="DW67" s="328"/>
      <c r="DX67" s="328"/>
      <c r="DY67" s="328"/>
      <c r="DZ67" s="328"/>
      <c r="EA67" s="328"/>
      <c r="EB67" s="328"/>
      <c r="EC67" s="328"/>
      <c r="ED67" s="328"/>
      <c r="EE67" s="328"/>
      <c r="EF67" s="328"/>
      <c r="EG67" s="328"/>
      <c r="EH67" s="328"/>
      <c r="EI67" s="328"/>
      <c r="EJ67" s="328"/>
      <c r="EK67" s="328"/>
      <c r="EL67" s="328"/>
      <c r="EM67" s="328"/>
      <c r="EN67" s="328"/>
      <c r="EO67" s="328"/>
      <c r="EP67" s="328"/>
      <c r="EQ67" s="328"/>
      <c r="ER67" s="328"/>
      <c r="ES67" s="328"/>
      <c r="ET67" s="328"/>
      <c r="EU67" s="328"/>
      <c r="EV67" s="328"/>
      <c r="EW67" s="328"/>
      <c r="EX67" s="328"/>
      <c r="EY67" s="328"/>
      <c r="EZ67" s="328"/>
      <c r="FA67" s="328"/>
      <c r="FB67" s="328"/>
      <c r="FC67" s="328"/>
      <c r="FD67" s="328"/>
      <c r="FE67" s="328"/>
      <c r="FF67" s="328"/>
      <c r="FG67" s="328"/>
      <c r="FH67" s="328"/>
      <c r="FI67" s="328"/>
      <c r="FJ67" s="328"/>
      <c r="FK67" s="328"/>
      <c r="FL67" s="328"/>
      <c r="FM67" s="328"/>
      <c r="FN67" s="328"/>
      <c r="FO67" s="328"/>
      <c r="FP67" s="328"/>
      <c r="FQ67" s="328"/>
      <c r="FR67" s="328"/>
      <c r="FS67" s="328"/>
      <c r="FT67" s="328"/>
      <c r="FU67" s="328"/>
      <c r="FV67" s="328"/>
      <c r="FW67" s="328"/>
      <c r="FX67" s="328"/>
      <c r="FY67" s="328"/>
      <c r="FZ67" s="328"/>
      <c r="GA67" s="328"/>
      <c r="GB67" s="328"/>
      <c r="GC67" s="328"/>
      <c r="GD67" s="328"/>
      <c r="GE67" s="328"/>
      <c r="GF67" s="328"/>
      <c r="GG67" s="328"/>
      <c r="GH67" s="328"/>
      <c r="GI67" s="328"/>
      <c r="GJ67" s="328"/>
      <c r="GK67" s="328"/>
      <c r="GL67" s="328"/>
      <c r="GM67" s="328"/>
      <c r="GN67" s="328"/>
      <c r="GO67" s="328"/>
      <c r="GP67" s="328"/>
      <c r="GQ67" s="328"/>
      <c r="GR67" s="328"/>
      <c r="GS67" s="328"/>
      <c r="GT67" s="328"/>
      <c r="GU67" s="328"/>
      <c r="GV67" s="328"/>
      <c r="GW67" s="328"/>
      <c r="GX67" s="328"/>
      <c r="GY67" s="328"/>
      <c r="GZ67" s="328"/>
      <c r="HA67" s="328"/>
      <c r="HB67" s="328"/>
      <c r="HC67" s="328"/>
      <c r="HD67" s="328"/>
      <c r="HE67" s="328"/>
      <c r="HF67" s="328"/>
      <c r="HG67" s="328"/>
      <c r="HH67" s="328"/>
      <c r="HI67" s="328"/>
      <c r="HJ67" s="328"/>
      <c r="HK67" s="328"/>
      <c r="HL67" s="328"/>
      <c r="HM67" s="328"/>
      <c r="HN67" s="328"/>
      <c r="HO67" s="328"/>
      <c r="HP67" s="328"/>
      <c r="HQ67" s="328"/>
      <c r="HR67" s="328"/>
      <c r="HS67" s="328"/>
      <c r="HT67" s="328"/>
      <c r="HU67" s="328"/>
      <c r="HV67" s="328"/>
      <c r="HW67" s="328"/>
      <c r="HX67" s="328"/>
      <c r="HY67" s="328"/>
      <c r="HZ67" s="328"/>
      <c r="IA67" s="328"/>
      <c r="IB67" s="328"/>
      <c r="IC67" s="328"/>
      <c r="ID67" s="328"/>
      <c r="IE67" s="328"/>
      <c r="IF67" s="328"/>
      <c r="IG67" s="328"/>
      <c r="IH67" s="328"/>
      <c r="II67" s="328"/>
      <c r="IJ67" s="328"/>
      <c r="IK67" s="328"/>
      <c r="IL67" s="328"/>
      <c r="IM67" s="328"/>
      <c r="IN67" s="328"/>
      <c r="IO67" s="328"/>
      <c r="IP67" s="328"/>
      <c r="IQ67" s="328"/>
      <c r="IR67" s="328"/>
      <c r="IS67" s="328"/>
      <c r="IT67" s="328"/>
      <c r="IU67" s="328"/>
      <c r="IV67" s="328"/>
      <c r="IW67" s="328"/>
    </row>
    <row r="68" customFormat="false" ht="12.75" hidden="false" customHeight="false" outlineLevel="0" collapsed="false">
      <c r="A68" s="356"/>
      <c r="B68" s="357"/>
      <c r="C68" s="328"/>
      <c r="D68" s="328"/>
      <c r="E68" s="326"/>
      <c r="F68" s="326"/>
      <c r="G68" s="326"/>
      <c r="H68" s="326"/>
      <c r="I68" s="326"/>
      <c r="J68" s="326"/>
      <c r="K68" s="326"/>
      <c r="L68" s="326"/>
      <c r="M68" s="326"/>
      <c r="N68" s="326"/>
      <c r="O68" s="326"/>
      <c r="P68" s="326"/>
      <c r="Q68" s="326"/>
      <c r="R68" s="326"/>
      <c r="S68" s="326"/>
      <c r="T68" s="326"/>
      <c r="U68" s="326"/>
      <c r="V68" s="326"/>
      <c r="W68" s="326"/>
      <c r="X68" s="326"/>
      <c r="Y68" s="326"/>
      <c r="Z68" s="330"/>
      <c r="AA68" s="328"/>
      <c r="AB68" s="300" t="n">
        <f aca="false">AB67+1</f>
        <v>62</v>
      </c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  <c r="AR68" s="328"/>
      <c r="AS68" s="328"/>
      <c r="AT68" s="328"/>
      <c r="AU68" s="328"/>
      <c r="AV68" s="328"/>
      <c r="AW68" s="328"/>
      <c r="AX68" s="328"/>
      <c r="AY68" s="328"/>
      <c r="AZ68" s="328"/>
      <c r="BA68" s="328"/>
      <c r="BB68" s="328"/>
      <c r="BC68" s="328"/>
      <c r="BD68" s="328"/>
      <c r="BE68" s="328"/>
      <c r="BF68" s="328"/>
      <c r="BG68" s="328"/>
      <c r="BH68" s="328"/>
      <c r="BI68" s="328"/>
      <c r="BJ68" s="328"/>
      <c r="BK68" s="328"/>
      <c r="BL68" s="328"/>
      <c r="BM68" s="328"/>
      <c r="BN68" s="328"/>
      <c r="BO68" s="328"/>
      <c r="BP68" s="328"/>
      <c r="BQ68" s="328"/>
      <c r="BR68" s="328"/>
      <c r="BS68" s="328"/>
      <c r="BT68" s="328"/>
      <c r="BU68" s="328"/>
      <c r="BV68" s="328"/>
      <c r="BW68" s="328"/>
      <c r="BX68" s="328"/>
      <c r="BY68" s="328"/>
      <c r="BZ68" s="328"/>
      <c r="CA68" s="328"/>
      <c r="CB68" s="328"/>
      <c r="CC68" s="328"/>
      <c r="CD68" s="328"/>
      <c r="CE68" s="328"/>
      <c r="CF68" s="328"/>
      <c r="CG68" s="328"/>
      <c r="CH68" s="328"/>
      <c r="CI68" s="328"/>
      <c r="CJ68" s="328"/>
      <c r="CK68" s="328"/>
      <c r="CL68" s="328"/>
      <c r="CM68" s="328"/>
      <c r="CN68" s="328"/>
      <c r="CO68" s="328"/>
      <c r="CP68" s="328"/>
      <c r="CQ68" s="328"/>
      <c r="CR68" s="328"/>
      <c r="CS68" s="328"/>
      <c r="CT68" s="328"/>
      <c r="CU68" s="328"/>
      <c r="CV68" s="328"/>
      <c r="CW68" s="328"/>
      <c r="CX68" s="328"/>
      <c r="CY68" s="328"/>
      <c r="CZ68" s="328"/>
      <c r="DA68" s="328"/>
      <c r="DB68" s="328"/>
      <c r="DC68" s="328"/>
      <c r="DD68" s="328"/>
      <c r="DE68" s="328"/>
      <c r="DF68" s="328"/>
      <c r="DG68" s="328"/>
      <c r="DH68" s="328"/>
      <c r="DI68" s="328"/>
      <c r="DJ68" s="328"/>
      <c r="DK68" s="328"/>
      <c r="DL68" s="328"/>
      <c r="DM68" s="328"/>
      <c r="DN68" s="328"/>
      <c r="DO68" s="328"/>
      <c r="DP68" s="328"/>
      <c r="DQ68" s="328"/>
      <c r="DR68" s="328"/>
      <c r="DS68" s="328"/>
      <c r="DT68" s="328"/>
      <c r="DU68" s="328"/>
      <c r="DV68" s="328"/>
      <c r="DW68" s="328"/>
      <c r="DX68" s="328"/>
      <c r="DY68" s="328"/>
      <c r="DZ68" s="328"/>
      <c r="EA68" s="328"/>
      <c r="EB68" s="328"/>
      <c r="EC68" s="328"/>
      <c r="ED68" s="328"/>
      <c r="EE68" s="328"/>
      <c r="EF68" s="328"/>
      <c r="EG68" s="328"/>
      <c r="EH68" s="328"/>
      <c r="EI68" s="328"/>
      <c r="EJ68" s="328"/>
      <c r="EK68" s="328"/>
      <c r="EL68" s="328"/>
      <c r="EM68" s="328"/>
      <c r="EN68" s="328"/>
      <c r="EO68" s="328"/>
      <c r="EP68" s="328"/>
      <c r="EQ68" s="328"/>
      <c r="ER68" s="328"/>
      <c r="ES68" s="328"/>
      <c r="ET68" s="328"/>
      <c r="EU68" s="328"/>
      <c r="EV68" s="328"/>
      <c r="EW68" s="328"/>
      <c r="EX68" s="328"/>
      <c r="EY68" s="328"/>
      <c r="EZ68" s="328"/>
      <c r="FA68" s="328"/>
      <c r="FB68" s="328"/>
      <c r="FC68" s="328"/>
      <c r="FD68" s="328"/>
      <c r="FE68" s="328"/>
      <c r="FF68" s="328"/>
      <c r="FG68" s="328"/>
      <c r="FH68" s="328"/>
      <c r="FI68" s="328"/>
      <c r="FJ68" s="328"/>
      <c r="FK68" s="328"/>
      <c r="FL68" s="328"/>
      <c r="FM68" s="328"/>
      <c r="FN68" s="328"/>
      <c r="FO68" s="328"/>
      <c r="FP68" s="328"/>
      <c r="FQ68" s="328"/>
      <c r="FR68" s="328"/>
      <c r="FS68" s="328"/>
      <c r="FT68" s="328"/>
      <c r="FU68" s="328"/>
      <c r="FV68" s="328"/>
      <c r="FW68" s="328"/>
      <c r="FX68" s="328"/>
      <c r="FY68" s="328"/>
      <c r="FZ68" s="328"/>
      <c r="GA68" s="328"/>
      <c r="GB68" s="328"/>
      <c r="GC68" s="328"/>
      <c r="GD68" s="328"/>
      <c r="GE68" s="328"/>
      <c r="GF68" s="328"/>
      <c r="GG68" s="328"/>
      <c r="GH68" s="328"/>
      <c r="GI68" s="328"/>
      <c r="GJ68" s="328"/>
      <c r="GK68" s="328"/>
      <c r="GL68" s="328"/>
      <c r="GM68" s="328"/>
      <c r="GN68" s="328"/>
      <c r="GO68" s="328"/>
      <c r="GP68" s="328"/>
      <c r="GQ68" s="328"/>
      <c r="GR68" s="328"/>
      <c r="GS68" s="328"/>
      <c r="GT68" s="328"/>
      <c r="GU68" s="328"/>
      <c r="GV68" s="328"/>
      <c r="GW68" s="328"/>
      <c r="GX68" s="328"/>
      <c r="GY68" s="328"/>
      <c r="GZ68" s="328"/>
      <c r="HA68" s="328"/>
      <c r="HB68" s="328"/>
      <c r="HC68" s="328"/>
      <c r="HD68" s="328"/>
      <c r="HE68" s="328"/>
      <c r="HF68" s="328"/>
      <c r="HG68" s="328"/>
      <c r="HH68" s="328"/>
      <c r="HI68" s="328"/>
      <c r="HJ68" s="328"/>
      <c r="HK68" s="328"/>
      <c r="HL68" s="328"/>
      <c r="HM68" s="328"/>
      <c r="HN68" s="328"/>
      <c r="HO68" s="328"/>
      <c r="HP68" s="328"/>
      <c r="HQ68" s="328"/>
      <c r="HR68" s="328"/>
      <c r="HS68" s="328"/>
      <c r="HT68" s="328"/>
      <c r="HU68" s="328"/>
      <c r="HV68" s="328"/>
      <c r="HW68" s="328"/>
      <c r="HX68" s="328"/>
      <c r="HY68" s="328"/>
      <c r="HZ68" s="328"/>
      <c r="IA68" s="328"/>
      <c r="IB68" s="328"/>
      <c r="IC68" s="328"/>
      <c r="ID68" s="328"/>
      <c r="IE68" s="328"/>
      <c r="IF68" s="328"/>
      <c r="IG68" s="328"/>
      <c r="IH68" s="328"/>
      <c r="II68" s="328"/>
      <c r="IJ68" s="328"/>
      <c r="IK68" s="328"/>
      <c r="IL68" s="328"/>
      <c r="IM68" s="328"/>
      <c r="IN68" s="328"/>
      <c r="IO68" s="328"/>
      <c r="IP68" s="328"/>
      <c r="IQ68" s="328"/>
      <c r="IR68" s="328"/>
      <c r="IS68" s="328"/>
      <c r="IT68" s="328"/>
      <c r="IU68" s="328"/>
      <c r="IV68" s="328"/>
      <c r="IW68" s="328"/>
    </row>
    <row r="69" customFormat="false" ht="12.75" hidden="false" customHeight="false" outlineLevel="0" collapsed="false">
      <c r="A69" s="356"/>
      <c r="B69" s="357" t="s">
        <v>359</v>
      </c>
      <c r="C69" s="328"/>
      <c r="D69" s="328"/>
      <c r="E69" s="326" t="n">
        <f aca="false">-'Debt Amort'!E21</f>
        <v>-0</v>
      </c>
      <c r="F69" s="326" t="n">
        <f aca="false">-'Debt Amort'!F21</f>
        <v>-0</v>
      </c>
      <c r="G69" s="326" t="n">
        <f aca="false">-'Debt Amort'!G21</f>
        <v>-0</v>
      </c>
      <c r="H69" s="326" t="n">
        <f aca="false">-'Debt Amort'!H21</f>
        <v>-110.799981751606</v>
      </c>
      <c r="I69" s="326" t="n">
        <f aca="false">-'Debt Amort'!I21</f>
        <v>-125.672109302215</v>
      </c>
      <c r="J69" s="326" t="n">
        <f aca="false">-'Debt Amort'!J21</f>
        <v>-142.540448173305</v>
      </c>
      <c r="K69" s="326" t="n">
        <f aca="false">-'Debt Amort'!K21</f>
        <v>-161.672939829367</v>
      </c>
      <c r="L69" s="326" t="n">
        <f aca="false">-'Debt Amort'!L21</f>
        <v>-183.373490177963</v>
      </c>
      <c r="M69" s="326" t="n">
        <f aca="false">-'Debt Amort'!M21</f>
        <v>-207.986796897101</v>
      </c>
      <c r="N69" s="326" t="n">
        <f aca="false">-'Debt Amort'!N21</f>
        <v>-235.903824710614</v>
      </c>
      <c r="O69" s="326" t="n">
        <f aca="false">-'Debt Amort'!O21</f>
        <v>-267.568015582396</v>
      </c>
      <c r="P69" s="326" t="n">
        <f aca="false">-'Debt Amort'!P21</f>
        <v>-303.482332473943</v>
      </c>
      <c r="Q69" s="326" t="n">
        <f aca="false">-'Debt Amort'!Q21</f>
        <v>-344.217248550258</v>
      </c>
      <c r="R69" s="326" t="n">
        <f aca="false">-'Debt Amort'!R21</f>
        <v>-390.419808736917</v>
      </c>
      <c r="S69" s="326" t="n">
        <f aca="false">-'Debt Amort'!S21</f>
        <v>-0</v>
      </c>
      <c r="T69" s="326" t="n">
        <f aca="false">-'Debt Amort'!T21</f>
        <v>-0</v>
      </c>
      <c r="U69" s="326" t="n">
        <f aca="false">-'Debt Amort'!U21</f>
        <v>-0</v>
      </c>
      <c r="V69" s="326" t="n">
        <f aca="false">-'Debt Amort'!V21</f>
        <v>-0</v>
      </c>
      <c r="W69" s="326" t="n">
        <f aca="false">-'Debt Amort'!W21</f>
        <v>-0</v>
      </c>
      <c r="X69" s="326" t="n">
        <f aca="false">-'Debt Amort'!X21</f>
        <v>-0</v>
      </c>
      <c r="Y69" s="326" t="n">
        <f aca="false">-'Debt Amort'!Y21</f>
        <v>-0</v>
      </c>
      <c r="Z69" s="330" t="n">
        <f aca="false">SUM(E69:Y69)</f>
        <v>-2473.63699618568</v>
      </c>
      <c r="AA69" s="328"/>
      <c r="AB69" s="300" t="n">
        <f aca="false">AB68+1</f>
        <v>63</v>
      </c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28"/>
      <c r="AN69" s="328"/>
      <c r="AO69" s="328"/>
      <c r="AP69" s="328"/>
      <c r="AQ69" s="328"/>
      <c r="AR69" s="328"/>
      <c r="AS69" s="328"/>
      <c r="AT69" s="328"/>
      <c r="AU69" s="328"/>
      <c r="AV69" s="328"/>
      <c r="AW69" s="328"/>
      <c r="AX69" s="328"/>
      <c r="AY69" s="328"/>
      <c r="AZ69" s="328"/>
      <c r="BA69" s="328"/>
      <c r="BB69" s="328"/>
      <c r="BC69" s="328"/>
      <c r="BD69" s="328"/>
      <c r="BE69" s="328"/>
      <c r="BF69" s="328"/>
      <c r="BG69" s="328"/>
      <c r="BH69" s="328"/>
      <c r="BI69" s="328"/>
      <c r="BJ69" s="328"/>
      <c r="BK69" s="328"/>
      <c r="BL69" s="328"/>
      <c r="BM69" s="328"/>
      <c r="BN69" s="328"/>
      <c r="BO69" s="328"/>
      <c r="BP69" s="328"/>
      <c r="BQ69" s="328"/>
      <c r="BR69" s="328"/>
      <c r="BS69" s="328"/>
      <c r="BT69" s="328"/>
      <c r="BU69" s="328"/>
      <c r="BV69" s="328"/>
      <c r="BW69" s="328"/>
      <c r="BX69" s="328"/>
      <c r="BY69" s="328"/>
      <c r="BZ69" s="328"/>
      <c r="CA69" s="328"/>
      <c r="CB69" s="328"/>
      <c r="CC69" s="328"/>
      <c r="CD69" s="328"/>
      <c r="CE69" s="328"/>
      <c r="CF69" s="328"/>
      <c r="CG69" s="328"/>
      <c r="CH69" s="328"/>
      <c r="CI69" s="328"/>
      <c r="CJ69" s="328"/>
      <c r="CK69" s="328"/>
      <c r="CL69" s="328"/>
      <c r="CM69" s="328"/>
      <c r="CN69" s="328"/>
      <c r="CO69" s="328"/>
      <c r="CP69" s="328"/>
      <c r="CQ69" s="328"/>
      <c r="CR69" s="328"/>
      <c r="CS69" s="328"/>
      <c r="CT69" s="328"/>
      <c r="CU69" s="328"/>
      <c r="CV69" s="328"/>
      <c r="CW69" s="328"/>
      <c r="CX69" s="328"/>
      <c r="CY69" s="328"/>
      <c r="CZ69" s="328"/>
      <c r="DA69" s="328"/>
      <c r="DB69" s="328"/>
      <c r="DC69" s="328"/>
      <c r="DD69" s="328"/>
      <c r="DE69" s="328"/>
      <c r="DF69" s="328"/>
      <c r="DG69" s="328"/>
      <c r="DH69" s="328"/>
      <c r="DI69" s="328"/>
      <c r="DJ69" s="328"/>
      <c r="DK69" s="328"/>
      <c r="DL69" s="328"/>
      <c r="DM69" s="328"/>
      <c r="DN69" s="328"/>
      <c r="DO69" s="328"/>
      <c r="DP69" s="328"/>
      <c r="DQ69" s="328"/>
      <c r="DR69" s="328"/>
      <c r="DS69" s="328"/>
      <c r="DT69" s="328"/>
      <c r="DU69" s="328"/>
      <c r="DV69" s="328"/>
      <c r="DW69" s="328"/>
      <c r="DX69" s="328"/>
      <c r="DY69" s="328"/>
      <c r="DZ69" s="328"/>
      <c r="EA69" s="328"/>
      <c r="EB69" s="328"/>
      <c r="EC69" s="328"/>
      <c r="ED69" s="328"/>
      <c r="EE69" s="328"/>
      <c r="EF69" s="328"/>
      <c r="EG69" s="328"/>
      <c r="EH69" s="328"/>
      <c r="EI69" s="328"/>
      <c r="EJ69" s="328"/>
      <c r="EK69" s="328"/>
      <c r="EL69" s="328"/>
      <c r="EM69" s="328"/>
      <c r="EN69" s="328"/>
      <c r="EO69" s="328"/>
      <c r="EP69" s="328"/>
      <c r="EQ69" s="328"/>
      <c r="ER69" s="328"/>
      <c r="ES69" s="328"/>
      <c r="ET69" s="328"/>
      <c r="EU69" s="328"/>
      <c r="EV69" s="328"/>
      <c r="EW69" s="328"/>
      <c r="EX69" s="328"/>
      <c r="EY69" s="328"/>
      <c r="EZ69" s="328"/>
      <c r="FA69" s="328"/>
      <c r="FB69" s="328"/>
      <c r="FC69" s="328"/>
      <c r="FD69" s="328"/>
      <c r="FE69" s="328"/>
      <c r="FF69" s="328"/>
      <c r="FG69" s="328"/>
      <c r="FH69" s="328"/>
      <c r="FI69" s="328"/>
      <c r="FJ69" s="328"/>
      <c r="FK69" s="328"/>
      <c r="FL69" s="328"/>
      <c r="FM69" s="328"/>
      <c r="FN69" s="328"/>
      <c r="FO69" s="328"/>
      <c r="FP69" s="328"/>
      <c r="FQ69" s="328"/>
      <c r="FR69" s="328"/>
      <c r="FS69" s="328"/>
      <c r="FT69" s="328"/>
      <c r="FU69" s="328"/>
      <c r="FV69" s="328"/>
      <c r="FW69" s="328"/>
      <c r="FX69" s="328"/>
      <c r="FY69" s="328"/>
      <c r="FZ69" s="328"/>
      <c r="GA69" s="328"/>
      <c r="GB69" s="328"/>
      <c r="GC69" s="328"/>
      <c r="GD69" s="328"/>
      <c r="GE69" s="328"/>
      <c r="GF69" s="328"/>
      <c r="GG69" s="328"/>
      <c r="GH69" s="328"/>
      <c r="GI69" s="328"/>
      <c r="GJ69" s="328"/>
      <c r="GK69" s="328"/>
      <c r="GL69" s="328"/>
      <c r="GM69" s="328"/>
      <c r="GN69" s="328"/>
      <c r="GO69" s="328"/>
      <c r="GP69" s="328"/>
      <c r="GQ69" s="328"/>
      <c r="GR69" s="328"/>
      <c r="GS69" s="328"/>
      <c r="GT69" s="328"/>
      <c r="GU69" s="328"/>
      <c r="GV69" s="328"/>
      <c r="GW69" s="328"/>
      <c r="GX69" s="328"/>
      <c r="GY69" s="328"/>
      <c r="GZ69" s="328"/>
      <c r="HA69" s="328"/>
      <c r="HB69" s="328"/>
      <c r="HC69" s="328"/>
      <c r="HD69" s="328"/>
      <c r="HE69" s="328"/>
      <c r="HF69" s="328"/>
      <c r="HG69" s="328"/>
      <c r="HH69" s="328"/>
      <c r="HI69" s="328"/>
      <c r="HJ69" s="328"/>
      <c r="HK69" s="328"/>
      <c r="HL69" s="328"/>
      <c r="HM69" s="328"/>
      <c r="HN69" s="328"/>
      <c r="HO69" s="328"/>
      <c r="HP69" s="328"/>
      <c r="HQ69" s="328"/>
      <c r="HR69" s="328"/>
      <c r="HS69" s="328"/>
      <c r="HT69" s="328"/>
      <c r="HU69" s="328"/>
      <c r="HV69" s="328"/>
      <c r="HW69" s="328"/>
      <c r="HX69" s="328"/>
      <c r="HY69" s="328"/>
      <c r="HZ69" s="328"/>
      <c r="IA69" s="328"/>
      <c r="IB69" s="328"/>
      <c r="IC69" s="328"/>
      <c r="ID69" s="328"/>
      <c r="IE69" s="328"/>
      <c r="IF69" s="328"/>
      <c r="IG69" s="328"/>
      <c r="IH69" s="328"/>
      <c r="II69" s="328"/>
      <c r="IJ69" s="328"/>
      <c r="IK69" s="328"/>
      <c r="IL69" s="328"/>
      <c r="IM69" s="328"/>
      <c r="IN69" s="328"/>
      <c r="IO69" s="328"/>
      <c r="IP69" s="328"/>
      <c r="IQ69" s="328"/>
      <c r="IR69" s="328"/>
      <c r="IS69" s="328"/>
      <c r="IT69" s="328"/>
      <c r="IU69" s="328"/>
      <c r="IV69" s="328"/>
      <c r="IW69" s="328"/>
    </row>
    <row r="70" customFormat="false" ht="12.75" hidden="false" customHeight="false" outlineLevel="0" collapsed="false">
      <c r="A70" s="356"/>
      <c r="B70" s="357"/>
      <c r="C70" s="328"/>
      <c r="D70" s="328"/>
      <c r="E70" s="326"/>
      <c r="F70" s="326"/>
      <c r="G70" s="326"/>
      <c r="H70" s="326"/>
      <c r="I70" s="326"/>
      <c r="J70" s="326"/>
      <c r="K70" s="326"/>
      <c r="L70" s="326"/>
      <c r="M70" s="326"/>
      <c r="N70" s="326"/>
      <c r="O70" s="326"/>
      <c r="P70" s="326"/>
      <c r="Q70" s="326"/>
      <c r="R70" s="326"/>
      <c r="S70" s="326"/>
      <c r="T70" s="326"/>
      <c r="U70" s="326"/>
      <c r="V70" s="326"/>
      <c r="W70" s="326"/>
      <c r="X70" s="326"/>
      <c r="Y70" s="326"/>
      <c r="Z70" s="330"/>
      <c r="AA70" s="328"/>
      <c r="AB70" s="300" t="n">
        <f aca="false">AB69+1</f>
        <v>64</v>
      </c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28"/>
      <c r="AN70" s="328"/>
      <c r="AO70" s="328"/>
      <c r="AP70" s="328"/>
      <c r="AQ70" s="328"/>
      <c r="AR70" s="328"/>
      <c r="AS70" s="328"/>
      <c r="AT70" s="328"/>
      <c r="AU70" s="328"/>
      <c r="AV70" s="328"/>
      <c r="AW70" s="328"/>
      <c r="AX70" s="328"/>
      <c r="AY70" s="328"/>
      <c r="AZ70" s="328"/>
      <c r="BA70" s="328"/>
      <c r="BB70" s="328"/>
      <c r="BC70" s="328"/>
      <c r="BD70" s="328"/>
      <c r="BE70" s="328"/>
      <c r="BF70" s="328"/>
      <c r="BG70" s="328"/>
      <c r="BH70" s="328"/>
      <c r="BI70" s="328"/>
      <c r="BJ70" s="328"/>
      <c r="BK70" s="328"/>
      <c r="BL70" s="328"/>
      <c r="BM70" s="328"/>
      <c r="BN70" s="328"/>
      <c r="BO70" s="328"/>
      <c r="BP70" s="328"/>
      <c r="BQ70" s="328"/>
      <c r="BR70" s="328"/>
      <c r="BS70" s="328"/>
      <c r="BT70" s="328"/>
      <c r="BU70" s="328"/>
      <c r="BV70" s="328"/>
      <c r="BW70" s="328"/>
      <c r="BX70" s="328"/>
      <c r="BY70" s="328"/>
      <c r="BZ70" s="328"/>
      <c r="CA70" s="328"/>
      <c r="CB70" s="328"/>
      <c r="CC70" s="328"/>
      <c r="CD70" s="328"/>
      <c r="CE70" s="328"/>
      <c r="CF70" s="328"/>
      <c r="CG70" s="328"/>
      <c r="CH70" s="328"/>
      <c r="CI70" s="328"/>
      <c r="CJ70" s="328"/>
      <c r="CK70" s="328"/>
      <c r="CL70" s="328"/>
      <c r="CM70" s="328"/>
      <c r="CN70" s="328"/>
      <c r="CO70" s="328"/>
      <c r="CP70" s="328"/>
      <c r="CQ70" s="328"/>
      <c r="CR70" s="328"/>
      <c r="CS70" s="328"/>
      <c r="CT70" s="328"/>
      <c r="CU70" s="328"/>
      <c r="CV70" s="328"/>
      <c r="CW70" s="328"/>
      <c r="CX70" s="328"/>
      <c r="CY70" s="328"/>
      <c r="CZ70" s="328"/>
      <c r="DA70" s="328"/>
      <c r="DB70" s="328"/>
      <c r="DC70" s="328"/>
      <c r="DD70" s="328"/>
      <c r="DE70" s="328"/>
      <c r="DF70" s="328"/>
      <c r="DG70" s="328"/>
      <c r="DH70" s="328"/>
      <c r="DI70" s="328"/>
      <c r="DJ70" s="328"/>
      <c r="DK70" s="328"/>
      <c r="DL70" s="328"/>
      <c r="DM70" s="328"/>
      <c r="DN70" s="328"/>
      <c r="DO70" s="328"/>
      <c r="DP70" s="328"/>
      <c r="DQ70" s="328"/>
      <c r="DR70" s="328"/>
      <c r="DS70" s="328"/>
      <c r="DT70" s="328"/>
      <c r="DU70" s="328"/>
      <c r="DV70" s="328"/>
      <c r="DW70" s="328"/>
      <c r="DX70" s="328"/>
      <c r="DY70" s="328"/>
      <c r="DZ70" s="328"/>
      <c r="EA70" s="328"/>
      <c r="EB70" s="328"/>
      <c r="EC70" s="328"/>
      <c r="ED70" s="328"/>
      <c r="EE70" s="328"/>
      <c r="EF70" s="328"/>
      <c r="EG70" s="328"/>
      <c r="EH70" s="328"/>
      <c r="EI70" s="328"/>
      <c r="EJ70" s="328"/>
      <c r="EK70" s="328"/>
      <c r="EL70" s="328"/>
      <c r="EM70" s="328"/>
      <c r="EN70" s="328"/>
      <c r="EO70" s="328"/>
      <c r="EP70" s="328"/>
      <c r="EQ70" s="328"/>
      <c r="ER70" s="328"/>
      <c r="ES70" s="328"/>
      <c r="ET70" s="328"/>
      <c r="EU70" s="328"/>
      <c r="EV70" s="328"/>
      <c r="EW70" s="328"/>
      <c r="EX70" s="328"/>
      <c r="EY70" s="328"/>
      <c r="EZ70" s="328"/>
      <c r="FA70" s="328"/>
      <c r="FB70" s="328"/>
      <c r="FC70" s="328"/>
      <c r="FD70" s="328"/>
      <c r="FE70" s="328"/>
      <c r="FF70" s="328"/>
      <c r="FG70" s="328"/>
      <c r="FH70" s="328"/>
      <c r="FI70" s="328"/>
      <c r="FJ70" s="328"/>
      <c r="FK70" s="328"/>
      <c r="FL70" s="328"/>
      <c r="FM70" s="328"/>
      <c r="FN70" s="328"/>
      <c r="FO70" s="328"/>
      <c r="FP70" s="328"/>
      <c r="FQ70" s="328"/>
      <c r="FR70" s="328"/>
      <c r="FS70" s="328"/>
      <c r="FT70" s="328"/>
      <c r="FU70" s="328"/>
      <c r="FV70" s="328"/>
      <c r="FW70" s="328"/>
      <c r="FX70" s="328"/>
      <c r="FY70" s="328"/>
      <c r="FZ70" s="328"/>
      <c r="GA70" s="328"/>
      <c r="GB70" s="328"/>
      <c r="GC70" s="328"/>
      <c r="GD70" s="328"/>
      <c r="GE70" s="328"/>
      <c r="GF70" s="328"/>
      <c r="GG70" s="328"/>
      <c r="GH70" s="328"/>
      <c r="GI70" s="328"/>
      <c r="GJ70" s="328"/>
      <c r="GK70" s="328"/>
      <c r="GL70" s="328"/>
      <c r="GM70" s="328"/>
      <c r="GN70" s="328"/>
      <c r="GO70" s="328"/>
      <c r="GP70" s="328"/>
      <c r="GQ70" s="328"/>
      <c r="GR70" s="328"/>
      <c r="GS70" s="328"/>
      <c r="GT70" s="328"/>
      <c r="GU70" s="328"/>
      <c r="GV70" s="328"/>
      <c r="GW70" s="328"/>
      <c r="GX70" s="328"/>
      <c r="GY70" s="328"/>
      <c r="GZ70" s="328"/>
      <c r="HA70" s="328"/>
      <c r="HB70" s="328"/>
      <c r="HC70" s="328"/>
      <c r="HD70" s="328"/>
      <c r="HE70" s="328"/>
      <c r="HF70" s="328"/>
      <c r="HG70" s="328"/>
      <c r="HH70" s="328"/>
      <c r="HI70" s="328"/>
      <c r="HJ70" s="328"/>
      <c r="HK70" s="328"/>
      <c r="HL70" s="328"/>
      <c r="HM70" s="328"/>
      <c r="HN70" s="328"/>
      <c r="HO70" s="328"/>
      <c r="HP70" s="328"/>
      <c r="HQ70" s="328"/>
      <c r="HR70" s="328"/>
      <c r="HS70" s="328"/>
      <c r="HT70" s="328"/>
      <c r="HU70" s="328"/>
      <c r="HV70" s="328"/>
      <c r="HW70" s="328"/>
      <c r="HX70" s="328"/>
      <c r="HY70" s="328"/>
      <c r="HZ70" s="328"/>
      <c r="IA70" s="328"/>
      <c r="IB70" s="328"/>
      <c r="IC70" s="328"/>
      <c r="ID70" s="328"/>
      <c r="IE70" s="328"/>
      <c r="IF70" s="328"/>
      <c r="IG70" s="328"/>
      <c r="IH70" s="328"/>
      <c r="II70" s="328"/>
      <c r="IJ70" s="328"/>
      <c r="IK70" s="328"/>
      <c r="IL70" s="328"/>
      <c r="IM70" s="328"/>
      <c r="IN70" s="328"/>
      <c r="IO70" s="328"/>
      <c r="IP70" s="328"/>
      <c r="IQ70" s="328"/>
      <c r="IR70" s="328"/>
      <c r="IS70" s="328"/>
      <c r="IT70" s="328"/>
      <c r="IU70" s="328"/>
      <c r="IV70" s="328"/>
      <c r="IW70" s="328"/>
    </row>
    <row r="71" customFormat="false" ht="12.75" hidden="false" customHeight="false" outlineLevel="0" collapsed="false">
      <c r="A71" s="347" t="s">
        <v>360</v>
      </c>
      <c r="B71" s="348"/>
      <c r="C71" s="348"/>
      <c r="D71" s="348"/>
      <c r="E71" s="349" t="n">
        <f aca="false">SUM(E67:E70)</f>
        <v>0</v>
      </c>
      <c r="F71" s="349" t="n">
        <f aca="false">SUM(F67:F70)</f>
        <v>-13.2759999379246</v>
      </c>
      <c r="G71" s="349" t="n">
        <f aca="false">SUM(G67:G70)</f>
        <v>6028.02074865771</v>
      </c>
      <c r="H71" s="349" t="n">
        <f aca="false">SUM(H67:H70)</f>
        <v>5234.85244341261</v>
      </c>
      <c r="I71" s="349" t="n">
        <f aca="false">SUM(I67:I70)</f>
        <v>3879.78738962163</v>
      </c>
      <c r="J71" s="349" t="n">
        <f aca="false">SUM(J67:J70)</f>
        <v>5587.90319842053</v>
      </c>
      <c r="K71" s="349" t="n">
        <f aca="false">SUM(K67:K70)</f>
        <v>1731.72157657644</v>
      </c>
      <c r="L71" s="349" t="n">
        <f aca="false">SUM(L67:L70)</f>
        <v>5399.20718246938</v>
      </c>
      <c r="M71" s="349" t="n">
        <f aca="false">SUM(M67:M70)</f>
        <v>6702.54198690948</v>
      </c>
      <c r="N71" s="349" t="n">
        <f aca="false">SUM(N67:N70)</f>
        <v>10473.3159722472</v>
      </c>
      <c r="O71" s="349" t="n">
        <f aca="false">SUM(O67:O70)</f>
        <v>15036.3057608511</v>
      </c>
      <c r="P71" s="349" t="n">
        <f aca="false">SUM(P67:P70)</f>
        <v>16391.7112856191</v>
      </c>
      <c r="Q71" s="349" t="n">
        <f aca="false">SUM(Q67:Q70)</f>
        <v>15371.2774263891</v>
      </c>
      <c r="R71" s="349" t="n">
        <f aca="false">SUM(R67:R70)</f>
        <v>11601.0571868822</v>
      </c>
      <c r="S71" s="349" t="n">
        <f aca="false">SUM(S67:S70)</f>
        <v>11530.6079280492</v>
      </c>
      <c r="T71" s="349" t="n">
        <f aca="false">SUM(T67:T70)</f>
        <v>13835.2787785957</v>
      </c>
      <c r="U71" s="349" t="n">
        <f aca="false">SUM(U67:U70)</f>
        <v>17425.4368103906</v>
      </c>
      <c r="V71" s="349" t="n">
        <f aca="false">SUM(V67:V70)</f>
        <v>24229.5621598008</v>
      </c>
      <c r="W71" s="349" t="n">
        <f aca="false">SUM(W67:W70)</f>
        <v>25036.3602077258</v>
      </c>
      <c r="X71" s="349" t="n">
        <f aca="false">SUM(X67:X70)</f>
        <v>25910.7780279207</v>
      </c>
      <c r="Y71" s="349" t="n">
        <f aca="false">SUM(Y67:Y70)</f>
        <v>8646.59396617151</v>
      </c>
      <c r="Z71" s="350" t="n">
        <f aca="false">SUM(E71:Y71)</f>
        <v>230039.044036773</v>
      </c>
      <c r="AA71" s="328"/>
      <c r="AB71" s="300" t="n">
        <f aca="false">AB70+1</f>
        <v>65</v>
      </c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/>
      <c r="AN71" s="328"/>
      <c r="AO71" s="328"/>
      <c r="AP71" s="328"/>
      <c r="AQ71" s="328"/>
      <c r="AR71" s="328"/>
      <c r="AS71" s="328"/>
      <c r="AT71" s="328"/>
      <c r="AU71" s="328"/>
      <c r="AV71" s="328"/>
      <c r="AW71" s="328"/>
      <c r="AX71" s="328"/>
      <c r="AY71" s="328"/>
      <c r="AZ71" s="328"/>
      <c r="BA71" s="328"/>
      <c r="BB71" s="328"/>
      <c r="BC71" s="328"/>
      <c r="BD71" s="328"/>
      <c r="BE71" s="328"/>
      <c r="BF71" s="328"/>
      <c r="BG71" s="328"/>
      <c r="BH71" s="328"/>
      <c r="BI71" s="328"/>
      <c r="BJ71" s="328"/>
      <c r="BK71" s="328"/>
      <c r="BL71" s="328"/>
      <c r="BM71" s="328"/>
      <c r="BN71" s="328"/>
      <c r="BO71" s="328"/>
      <c r="BP71" s="328"/>
      <c r="BQ71" s="328"/>
      <c r="BR71" s="328"/>
      <c r="BS71" s="328"/>
      <c r="BT71" s="328"/>
      <c r="BU71" s="328"/>
      <c r="BV71" s="328"/>
      <c r="BW71" s="328"/>
      <c r="BX71" s="328"/>
      <c r="BY71" s="328"/>
      <c r="BZ71" s="328"/>
      <c r="CA71" s="328"/>
      <c r="CB71" s="328"/>
      <c r="CC71" s="328"/>
      <c r="CD71" s="328"/>
      <c r="CE71" s="328"/>
      <c r="CF71" s="328"/>
      <c r="CG71" s="328"/>
      <c r="CH71" s="328"/>
      <c r="CI71" s="328"/>
      <c r="CJ71" s="328"/>
      <c r="CK71" s="328"/>
      <c r="CL71" s="328"/>
      <c r="CM71" s="328"/>
      <c r="CN71" s="328"/>
      <c r="CO71" s="328"/>
      <c r="CP71" s="328"/>
      <c r="CQ71" s="328"/>
      <c r="CR71" s="328"/>
      <c r="CS71" s="328"/>
      <c r="CT71" s="328"/>
      <c r="CU71" s="328"/>
      <c r="CV71" s="328"/>
      <c r="CW71" s="328"/>
      <c r="CX71" s="328"/>
      <c r="CY71" s="328"/>
      <c r="CZ71" s="328"/>
      <c r="DA71" s="328"/>
      <c r="DB71" s="328"/>
      <c r="DC71" s="328"/>
      <c r="DD71" s="328"/>
      <c r="DE71" s="328"/>
      <c r="DF71" s="328"/>
      <c r="DG71" s="328"/>
      <c r="DH71" s="328"/>
      <c r="DI71" s="328"/>
      <c r="DJ71" s="328"/>
      <c r="DK71" s="328"/>
      <c r="DL71" s="328"/>
      <c r="DM71" s="328"/>
      <c r="DN71" s="328"/>
      <c r="DO71" s="328"/>
      <c r="DP71" s="328"/>
      <c r="DQ71" s="328"/>
      <c r="DR71" s="328"/>
      <c r="DS71" s="328"/>
      <c r="DT71" s="328"/>
      <c r="DU71" s="328"/>
      <c r="DV71" s="328"/>
      <c r="DW71" s="328"/>
      <c r="DX71" s="328"/>
      <c r="DY71" s="328"/>
      <c r="DZ71" s="328"/>
      <c r="EA71" s="328"/>
      <c r="EB71" s="328"/>
      <c r="EC71" s="328"/>
      <c r="ED71" s="328"/>
      <c r="EE71" s="328"/>
      <c r="EF71" s="328"/>
      <c r="EG71" s="328"/>
      <c r="EH71" s="328"/>
      <c r="EI71" s="328"/>
      <c r="EJ71" s="328"/>
      <c r="EK71" s="328"/>
      <c r="EL71" s="328"/>
      <c r="EM71" s="328"/>
      <c r="EN71" s="328"/>
      <c r="EO71" s="328"/>
      <c r="EP71" s="328"/>
      <c r="EQ71" s="328"/>
      <c r="ER71" s="328"/>
      <c r="ES71" s="328"/>
      <c r="ET71" s="328"/>
      <c r="EU71" s="328"/>
      <c r="EV71" s="328"/>
      <c r="EW71" s="328"/>
      <c r="EX71" s="328"/>
      <c r="EY71" s="328"/>
      <c r="EZ71" s="328"/>
      <c r="FA71" s="328"/>
      <c r="FB71" s="328"/>
      <c r="FC71" s="328"/>
      <c r="FD71" s="328"/>
      <c r="FE71" s="328"/>
      <c r="FF71" s="328"/>
      <c r="FG71" s="328"/>
      <c r="FH71" s="328"/>
      <c r="FI71" s="328"/>
      <c r="FJ71" s="328"/>
      <c r="FK71" s="328"/>
      <c r="FL71" s="328"/>
      <c r="FM71" s="328"/>
      <c r="FN71" s="328"/>
      <c r="FO71" s="328"/>
      <c r="FP71" s="328"/>
      <c r="FQ71" s="328"/>
      <c r="FR71" s="328"/>
      <c r="FS71" s="328"/>
      <c r="FT71" s="328"/>
      <c r="FU71" s="328"/>
      <c r="FV71" s="328"/>
      <c r="FW71" s="328"/>
      <c r="FX71" s="328"/>
      <c r="FY71" s="328"/>
      <c r="FZ71" s="328"/>
      <c r="GA71" s="328"/>
      <c r="GB71" s="328"/>
      <c r="GC71" s="328"/>
      <c r="GD71" s="328"/>
      <c r="GE71" s="328"/>
      <c r="GF71" s="328"/>
      <c r="GG71" s="328"/>
      <c r="GH71" s="328"/>
      <c r="GI71" s="328"/>
      <c r="GJ71" s="328"/>
      <c r="GK71" s="328"/>
      <c r="GL71" s="328"/>
      <c r="GM71" s="328"/>
      <c r="GN71" s="328"/>
      <c r="GO71" s="328"/>
      <c r="GP71" s="328"/>
      <c r="GQ71" s="328"/>
      <c r="GR71" s="328"/>
      <c r="GS71" s="328"/>
      <c r="GT71" s="328"/>
      <c r="GU71" s="328"/>
      <c r="GV71" s="328"/>
      <c r="GW71" s="328"/>
      <c r="GX71" s="328"/>
      <c r="GY71" s="328"/>
      <c r="GZ71" s="328"/>
      <c r="HA71" s="328"/>
      <c r="HB71" s="328"/>
      <c r="HC71" s="328"/>
      <c r="HD71" s="328"/>
      <c r="HE71" s="328"/>
      <c r="HF71" s="328"/>
      <c r="HG71" s="328"/>
      <c r="HH71" s="328"/>
      <c r="HI71" s="328"/>
      <c r="HJ71" s="328"/>
      <c r="HK71" s="328"/>
      <c r="HL71" s="328"/>
      <c r="HM71" s="328"/>
      <c r="HN71" s="328"/>
      <c r="HO71" s="328"/>
      <c r="HP71" s="328"/>
      <c r="HQ71" s="328"/>
      <c r="HR71" s="328"/>
      <c r="HS71" s="328"/>
      <c r="HT71" s="328"/>
      <c r="HU71" s="328"/>
      <c r="HV71" s="328"/>
      <c r="HW71" s="328"/>
      <c r="HX71" s="328"/>
      <c r="HY71" s="328"/>
      <c r="HZ71" s="328"/>
      <c r="IA71" s="328"/>
      <c r="IB71" s="328"/>
      <c r="IC71" s="328"/>
      <c r="ID71" s="328"/>
      <c r="IE71" s="328"/>
      <c r="IF71" s="328"/>
      <c r="IG71" s="328"/>
      <c r="IH71" s="328"/>
      <c r="II71" s="328"/>
      <c r="IJ71" s="328"/>
      <c r="IK71" s="328"/>
      <c r="IL71" s="328"/>
      <c r="IM71" s="328"/>
      <c r="IN71" s="328"/>
      <c r="IO71" s="328"/>
      <c r="IP71" s="328"/>
      <c r="IQ71" s="328"/>
      <c r="IR71" s="328"/>
      <c r="IS71" s="328"/>
      <c r="IT71" s="328"/>
      <c r="IU71" s="328"/>
      <c r="IV71" s="328"/>
      <c r="IW71" s="328"/>
    </row>
    <row r="72" customFormat="false" ht="12.75" hidden="false" customHeight="false" outlineLevel="0" collapsed="false">
      <c r="A72" s="359"/>
      <c r="B72" s="360"/>
      <c r="C72" s="341"/>
      <c r="D72" s="341"/>
      <c r="E72" s="361"/>
      <c r="F72" s="361"/>
      <c r="G72" s="361"/>
      <c r="H72" s="361"/>
      <c r="I72" s="361"/>
      <c r="J72" s="361"/>
      <c r="K72" s="361"/>
      <c r="L72" s="361"/>
      <c r="M72" s="361"/>
      <c r="N72" s="361"/>
      <c r="O72" s="361"/>
      <c r="P72" s="361"/>
      <c r="Q72" s="361"/>
      <c r="R72" s="361"/>
      <c r="S72" s="361"/>
      <c r="T72" s="361"/>
      <c r="U72" s="361"/>
      <c r="V72" s="361"/>
      <c r="W72" s="361"/>
      <c r="X72" s="361"/>
      <c r="Y72" s="361"/>
      <c r="Z72" s="344"/>
      <c r="AA72" s="328"/>
      <c r="AB72" s="300" t="n">
        <f aca="false">AB71+1</f>
        <v>66</v>
      </c>
      <c r="AC72" s="328"/>
      <c r="AD72" s="328"/>
      <c r="AE72" s="328"/>
      <c r="AF72" s="328"/>
      <c r="AG72" s="328"/>
      <c r="AH72" s="328"/>
      <c r="AI72" s="328"/>
      <c r="AJ72" s="328"/>
      <c r="AK72" s="328"/>
      <c r="AL72" s="328"/>
      <c r="AM72" s="328"/>
      <c r="AN72" s="328"/>
      <c r="AO72" s="328"/>
      <c r="AP72" s="328"/>
      <c r="AQ72" s="328"/>
      <c r="AR72" s="328"/>
      <c r="AS72" s="328"/>
      <c r="AT72" s="328"/>
      <c r="AU72" s="328"/>
      <c r="AV72" s="328"/>
      <c r="AW72" s="328"/>
      <c r="AX72" s="328"/>
      <c r="AY72" s="328"/>
      <c r="AZ72" s="328"/>
      <c r="BA72" s="328"/>
      <c r="BB72" s="328"/>
      <c r="BC72" s="328"/>
      <c r="BD72" s="328"/>
      <c r="BE72" s="328"/>
      <c r="BF72" s="328"/>
      <c r="BG72" s="328"/>
      <c r="BH72" s="328"/>
      <c r="BI72" s="328"/>
      <c r="BJ72" s="328"/>
      <c r="BK72" s="328"/>
      <c r="BL72" s="328"/>
      <c r="BM72" s="328"/>
      <c r="BN72" s="328"/>
      <c r="BO72" s="328"/>
      <c r="BP72" s="328"/>
      <c r="BQ72" s="328"/>
      <c r="BR72" s="328"/>
      <c r="BS72" s="328"/>
      <c r="BT72" s="328"/>
      <c r="BU72" s="328"/>
      <c r="BV72" s="328"/>
      <c r="BW72" s="328"/>
      <c r="BX72" s="328"/>
      <c r="BY72" s="328"/>
      <c r="BZ72" s="328"/>
      <c r="CA72" s="328"/>
      <c r="CB72" s="328"/>
      <c r="CC72" s="328"/>
      <c r="CD72" s="328"/>
      <c r="CE72" s="328"/>
      <c r="CF72" s="328"/>
      <c r="CG72" s="328"/>
      <c r="CH72" s="328"/>
      <c r="CI72" s="328"/>
      <c r="CJ72" s="328"/>
      <c r="CK72" s="328"/>
      <c r="CL72" s="328"/>
      <c r="CM72" s="328"/>
      <c r="CN72" s="328"/>
      <c r="CO72" s="328"/>
      <c r="CP72" s="328"/>
      <c r="CQ72" s="328"/>
      <c r="CR72" s="328"/>
      <c r="CS72" s="328"/>
      <c r="CT72" s="328"/>
      <c r="CU72" s="328"/>
      <c r="CV72" s="328"/>
      <c r="CW72" s="328"/>
      <c r="CX72" s="328"/>
      <c r="CY72" s="328"/>
      <c r="CZ72" s="328"/>
      <c r="DA72" s="328"/>
      <c r="DB72" s="328"/>
      <c r="DC72" s="328"/>
      <c r="DD72" s="328"/>
      <c r="DE72" s="328"/>
      <c r="DF72" s="328"/>
      <c r="DG72" s="328"/>
      <c r="DH72" s="328"/>
      <c r="DI72" s="328"/>
      <c r="DJ72" s="328"/>
      <c r="DK72" s="328"/>
      <c r="DL72" s="328"/>
      <c r="DM72" s="328"/>
      <c r="DN72" s="328"/>
      <c r="DO72" s="328"/>
      <c r="DP72" s="328"/>
      <c r="DQ72" s="328"/>
      <c r="DR72" s="328"/>
      <c r="DS72" s="328"/>
      <c r="DT72" s="328"/>
      <c r="DU72" s="328"/>
      <c r="DV72" s="328"/>
      <c r="DW72" s="328"/>
      <c r="DX72" s="328"/>
      <c r="DY72" s="328"/>
      <c r="DZ72" s="328"/>
      <c r="EA72" s="328"/>
      <c r="EB72" s="328"/>
      <c r="EC72" s="328"/>
      <c r="ED72" s="328"/>
      <c r="EE72" s="328"/>
      <c r="EF72" s="328"/>
      <c r="EG72" s="328"/>
      <c r="EH72" s="328"/>
      <c r="EI72" s="328"/>
      <c r="EJ72" s="328"/>
      <c r="EK72" s="328"/>
      <c r="EL72" s="328"/>
      <c r="EM72" s="328"/>
      <c r="EN72" s="328"/>
      <c r="EO72" s="328"/>
      <c r="EP72" s="328"/>
      <c r="EQ72" s="328"/>
      <c r="ER72" s="328"/>
      <c r="ES72" s="328"/>
      <c r="ET72" s="328"/>
      <c r="EU72" s="328"/>
      <c r="EV72" s="328"/>
      <c r="EW72" s="328"/>
      <c r="EX72" s="328"/>
      <c r="EY72" s="328"/>
      <c r="EZ72" s="328"/>
      <c r="FA72" s="328"/>
      <c r="FB72" s="328"/>
      <c r="FC72" s="328"/>
      <c r="FD72" s="328"/>
      <c r="FE72" s="328"/>
      <c r="FF72" s="328"/>
      <c r="FG72" s="328"/>
      <c r="FH72" s="328"/>
      <c r="FI72" s="328"/>
      <c r="FJ72" s="328"/>
      <c r="FK72" s="328"/>
      <c r="FL72" s="328"/>
      <c r="FM72" s="328"/>
      <c r="FN72" s="328"/>
      <c r="FO72" s="328"/>
      <c r="FP72" s="328"/>
      <c r="FQ72" s="328"/>
      <c r="FR72" s="328"/>
      <c r="FS72" s="328"/>
      <c r="FT72" s="328"/>
      <c r="FU72" s="328"/>
      <c r="FV72" s="328"/>
      <c r="FW72" s="328"/>
      <c r="FX72" s="328"/>
      <c r="FY72" s="328"/>
      <c r="FZ72" s="328"/>
      <c r="GA72" s="328"/>
      <c r="GB72" s="328"/>
      <c r="GC72" s="328"/>
      <c r="GD72" s="328"/>
      <c r="GE72" s="328"/>
      <c r="GF72" s="328"/>
      <c r="GG72" s="328"/>
      <c r="GH72" s="328"/>
      <c r="GI72" s="328"/>
      <c r="GJ72" s="328"/>
      <c r="GK72" s="328"/>
      <c r="GL72" s="328"/>
      <c r="GM72" s="328"/>
      <c r="GN72" s="328"/>
      <c r="GO72" s="328"/>
      <c r="GP72" s="328"/>
      <c r="GQ72" s="328"/>
      <c r="GR72" s="328"/>
      <c r="GS72" s="328"/>
      <c r="GT72" s="328"/>
      <c r="GU72" s="328"/>
      <c r="GV72" s="328"/>
      <c r="GW72" s="328"/>
      <c r="GX72" s="328"/>
      <c r="GY72" s="328"/>
      <c r="GZ72" s="328"/>
      <c r="HA72" s="328"/>
      <c r="HB72" s="328"/>
      <c r="HC72" s="328"/>
      <c r="HD72" s="328"/>
      <c r="HE72" s="328"/>
      <c r="HF72" s="328"/>
      <c r="HG72" s="328"/>
      <c r="HH72" s="328"/>
      <c r="HI72" s="328"/>
      <c r="HJ72" s="328"/>
      <c r="HK72" s="328"/>
      <c r="HL72" s="328"/>
      <c r="HM72" s="328"/>
      <c r="HN72" s="328"/>
      <c r="HO72" s="328"/>
      <c r="HP72" s="328"/>
      <c r="HQ72" s="328"/>
      <c r="HR72" s="328"/>
      <c r="HS72" s="328"/>
      <c r="HT72" s="328"/>
      <c r="HU72" s="328"/>
      <c r="HV72" s="328"/>
      <c r="HW72" s="328"/>
      <c r="HX72" s="328"/>
      <c r="HY72" s="328"/>
      <c r="HZ72" s="328"/>
      <c r="IA72" s="328"/>
      <c r="IB72" s="328"/>
      <c r="IC72" s="328"/>
      <c r="ID72" s="328"/>
      <c r="IE72" s="328"/>
      <c r="IF72" s="328"/>
      <c r="IG72" s="328"/>
      <c r="IH72" s="328"/>
      <c r="II72" s="328"/>
      <c r="IJ72" s="328"/>
      <c r="IK72" s="328"/>
      <c r="IL72" s="328"/>
      <c r="IM72" s="328"/>
      <c r="IN72" s="328"/>
      <c r="IO72" s="328"/>
      <c r="IP72" s="328"/>
      <c r="IQ72" s="328"/>
      <c r="IR72" s="328"/>
      <c r="IS72" s="328"/>
      <c r="IT72" s="328"/>
      <c r="IU72" s="328"/>
      <c r="IV72" s="328"/>
      <c r="IW72" s="328"/>
    </row>
    <row r="73" customFormat="false" ht="12.75" hidden="false" customHeight="false" outlineLevel="0" collapsed="false">
      <c r="A73" s="356"/>
      <c r="B73" s="357" t="s">
        <v>361</v>
      </c>
      <c r="C73" s="328"/>
      <c r="D73" s="328"/>
      <c r="E73" s="326" t="n">
        <f aca="false">-Trapped!F30</f>
        <v>-0</v>
      </c>
      <c r="F73" s="326" t="n">
        <f aca="false">-Trapped!G30</f>
        <v>-0</v>
      </c>
      <c r="G73" s="326" t="n">
        <f aca="false">-Trapped!H30</f>
        <v>-6028.02074865771</v>
      </c>
      <c r="H73" s="326" t="n">
        <f aca="false">-Trapped!I30</f>
        <v>-5234.85244341261</v>
      </c>
      <c r="I73" s="326" t="n">
        <f aca="false">-Trapped!J30</f>
        <v>-3879.78738962163</v>
      </c>
      <c r="J73" s="326" t="n">
        <f aca="false">-Trapped!K30</f>
        <v>-5587.90319842053</v>
      </c>
      <c r="K73" s="326" t="n">
        <f aca="false">-Trapped!L30</f>
        <v>-1731.72157657644</v>
      </c>
      <c r="L73" s="326" t="n">
        <f aca="false">-Trapped!M30</f>
        <v>-3476.89377051009</v>
      </c>
      <c r="M73" s="326" t="n">
        <f aca="false">-Trapped!N30</f>
        <v>-0</v>
      </c>
      <c r="N73" s="326" t="n">
        <f aca="false">-Trapped!O30</f>
        <v>-2396.6431084536</v>
      </c>
      <c r="O73" s="326" t="n">
        <f aca="false">-Trapped!P30</f>
        <v>-5461.98934472067</v>
      </c>
      <c r="P73" s="326" t="n">
        <f aca="false">-Trapped!Q30</f>
        <v>-5826.07948230625</v>
      </c>
      <c r="Q73" s="326" t="n">
        <f aca="false">-Trapped!R30</f>
        <v>-3586.24380559618</v>
      </c>
      <c r="R73" s="326" t="n">
        <f aca="false">-Trapped!S30</f>
        <v>-0</v>
      </c>
      <c r="S73" s="326" t="n">
        <f aca="false">-Trapped!T30</f>
        <v>-0</v>
      </c>
      <c r="T73" s="326" t="n">
        <f aca="false">-Trapped!U30</f>
        <v>-0</v>
      </c>
      <c r="U73" s="326" t="n">
        <f aca="false">-Trapped!V30</f>
        <v>-435.876627349615</v>
      </c>
      <c r="V73" s="326" t="n">
        <f aca="false">-Trapped!W30</f>
        <v>-6348.95889830674</v>
      </c>
      <c r="W73" s="326" t="n">
        <f aca="false">-Trapped!X30</f>
        <v>-6389.29880070299</v>
      </c>
      <c r="X73" s="326" t="n">
        <f aca="false">-Trapped!Y30</f>
        <v>-6433.01969171273</v>
      </c>
      <c r="Y73" s="326" t="n">
        <f aca="false">-Trapped!Z30</f>
        <v>-0</v>
      </c>
      <c r="Z73" s="330" t="n">
        <f aca="false">SUM(E73:Y73)</f>
        <v>-62817.2888863478</v>
      </c>
      <c r="AA73" s="328"/>
      <c r="AB73" s="300" t="n">
        <f aca="false">AB72+1</f>
        <v>67</v>
      </c>
      <c r="AC73" s="328"/>
      <c r="AD73" s="328"/>
      <c r="AE73" s="328"/>
      <c r="AF73" s="328"/>
      <c r="AG73" s="328"/>
      <c r="AH73" s="328"/>
      <c r="AI73" s="328"/>
      <c r="AJ73" s="328"/>
      <c r="AK73" s="328"/>
      <c r="AL73" s="328"/>
      <c r="AM73" s="328"/>
      <c r="AN73" s="328"/>
      <c r="AO73" s="328"/>
      <c r="AP73" s="328"/>
      <c r="AQ73" s="328"/>
      <c r="AR73" s="328"/>
      <c r="AS73" s="328"/>
      <c r="AT73" s="328"/>
      <c r="AU73" s="328"/>
      <c r="AV73" s="328"/>
      <c r="AW73" s="328"/>
      <c r="AX73" s="328"/>
      <c r="AY73" s="328"/>
      <c r="AZ73" s="328"/>
      <c r="BA73" s="328"/>
      <c r="BB73" s="328"/>
      <c r="BC73" s="328"/>
      <c r="BD73" s="328"/>
      <c r="BE73" s="328"/>
      <c r="BF73" s="328"/>
      <c r="BG73" s="328"/>
      <c r="BH73" s="328"/>
      <c r="BI73" s="328"/>
      <c r="BJ73" s="328"/>
      <c r="BK73" s="328"/>
      <c r="BL73" s="328"/>
      <c r="BM73" s="328"/>
      <c r="BN73" s="328"/>
      <c r="BO73" s="328"/>
      <c r="BP73" s="328"/>
      <c r="BQ73" s="328"/>
      <c r="BR73" s="328"/>
      <c r="BS73" s="328"/>
      <c r="BT73" s="328"/>
      <c r="BU73" s="328"/>
      <c r="BV73" s="328"/>
      <c r="BW73" s="328"/>
      <c r="BX73" s="328"/>
      <c r="BY73" s="328"/>
      <c r="BZ73" s="328"/>
      <c r="CA73" s="328"/>
      <c r="CB73" s="328"/>
      <c r="CC73" s="328"/>
      <c r="CD73" s="328"/>
      <c r="CE73" s="328"/>
      <c r="CF73" s="328"/>
      <c r="CG73" s="328"/>
      <c r="CH73" s="328"/>
      <c r="CI73" s="328"/>
      <c r="CJ73" s="328"/>
      <c r="CK73" s="328"/>
      <c r="CL73" s="328"/>
      <c r="CM73" s="328"/>
      <c r="CN73" s="328"/>
      <c r="CO73" s="328"/>
      <c r="CP73" s="328"/>
      <c r="CQ73" s="328"/>
      <c r="CR73" s="328"/>
      <c r="CS73" s="328"/>
      <c r="CT73" s="328"/>
      <c r="CU73" s="328"/>
      <c r="CV73" s="328"/>
      <c r="CW73" s="328"/>
      <c r="CX73" s="328"/>
      <c r="CY73" s="328"/>
      <c r="CZ73" s="328"/>
      <c r="DA73" s="328"/>
      <c r="DB73" s="328"/>
      <c r="DC73" s="328"/>
      <c r="DD73" s="328"/>
      <c r="DE73" s="328"/>
      <c r="DF73" s="328"/>
      <c r="DG73" s="328"/>
      <c r="DH73" s="328"/>
      <c r="DI73" s="328"/>
      <c r="DJ73" s="328"/>
      <c r="DK73" s="328"/>
      <c r="DL73" s="328"/>
      <c r="DM73" s="328"/>
      <c r="DN73" s="328"/>
      <c r="DO73" s="328"/>
      <c r="DP73" s="328"/>
      <c r="DQ73" s="328"/>
      <c r="DR73" s="328"/>
      <c r="DS73" s="328"/>
      <c r="DT73" s="328"/>
      <c r="DU73" s="328"/>
      <c r="DV73" s="328"/>
      <c r="DW73" s="328"/>
      <c r="DX73" s="328"/>
      <c r="DY73" s="328"/>
      <c r="DZ73" s="328"/>
      <c r="EA73" s="328"/>
      <c r="EB73" s="328"/>
      <c r="EC73" s="328"/>
      <c r="ED73" s="328"/>
      <c r="EE73" s="328"/>
      <c r="EF73" s="328"/>
      <c r="EG73" s="328"/>
      <c r="EH73" s="328"/>
      <c r="EI73" s="328"/>
      <c r="EJ73" s="328"/>
      <c r="EK73" s="328"/>
      <c r="EL73" s="328"/>
      <c r="EM73" s="328"/>
      <c r="EN73" s="328"/>
      <c r="EO73" s="328"/>
      <c r="EP73" s="328"/>
      <c r="EQ73" s="328"/>
      <c r="ER73" s="328"/>
      <c r="ES73" s="328"/>
      <c r="ET73" s="328"/>
      <c r="EU73" s="328"/>
      <c r="EV73" s="328"/>
      <c r="EW73" s="328"/>
      <c r="EX73" s="328"/>
      <c r="EY73" s="328"/>
      <c r="EZ73" s="328"/>
      <c r="FA73" s="328"/>
      <c r="FB73" s="328"/>
      <c r="FC73" s="328"/>
      <c r="FD73" s="328"/>
      <c r="FE73" s="328"/>
      <c r="FF73" s="328"/>
      <c r="FG73" s="328"/>
      <c r="FH73" s="328"/>
      <c r="FI73" s="328"/>
      <c r="FJ73" s="328"/>
      <c r="FK73" s="328"/>
      <c r="FL73" s="328"/>
      <c r="FM73" s="328"/>
      <c r="FN73" s="328"/>
      <c r="FO73" s="328"/>
      <c r="FP73" s="328"/>
      <c r="FQ73" s="328"/>
      <c r="FR73" s="328"/>
      <c r="FS73" s="328"/>
      <c r="FT73" s="328"/>
      <c r="FU73" s="328"/>
      <c r="FV73" s="328"/>
      <c r="FW73" s="328"/>
      <c r="FX73" s="328"/>
      <c r="FY73" s="328"/>
      <c r="FZ73" s="328"/>
      <c r="GA73" s="328"/>
      <c r="GB73" s="328"/>
      <c r="GC73" s="328"/>
      <c r="GD73" s="328"/>
      <c r="GE73" s="328"/>
      <c r="GF73" s="328"/>
      <c r="GG73" s="328"/>
      <c r="GH73" s="328"/>
      <c r="GI73" s="328"/>
      <c r="GJ73" s="328"/>
      <c r="GK73" s="328"/>
      <c r="GL73" s="328"/>
      <c r="GM73" s="328"/>
      <c r="GN73" s="328"/>
      <c r="GO73" s="328"/>
      <c r="GP73" s="328"/>
      <c r="GQ73" s="328"/>
      <c r="GR73" s="328"/>
      <c r="GS73" s="328"/>
      <c r="GT73" s="328"/>
      <c r="GU73" s="328"/>
      <c r="GV73" s="328"/>
      <c r="GW73" s="328"/>
      <c r="GX73" s="328"/>
      <c r="GY73" s="328"/>
      <c r="GZ73" s="328"/>
      <c r="HA73" s="328"/>
      <c r="HB73" s="328"/>
      <c r="HC73" s="328"/>
      <c r="HD73" s="328"/>
      <c r="HE73" s="328"/>
      <c r="HF73" s="328"/>
      <c r="HG73" s="328"/>
      <c r="HH73" s="328"/>
      <c r="HI73" s="328"/>
      <c r="HJ73" s="328"/>
      <c r="HK73" s="328"/>
      <c r="HL73" s="328"/>
      <c r="HM73" s="328"/>
      <c r="HN73" s="328"/>
      <c r="HO73" s="328"/>
      <c r="HP73" s="328"/>
      <c r="HQ73" s="328"/>
      <c r="HR73" s="328"/>
      <c r="HS73" s="328"/>
      <c r="HT73" s="328"/>
      <c r="HU73" s="328"/>
      <c r="HV73" s="328"/>
      <c r="HW73" s="328"/>
      <c r="HX73" s="328"/>
      <c r="HY73" s="328"/>
      <c r="HZ73" s="328"/>
      <c r="IA73" s="328"/>
      <c r="IB73" s="328"/>
      <c r="IC73" s="328"/>
      <c r="ID73" s="328"/>
      <c r="IE73" s="328"/>
      <c r="IF73" s="328"/>
      <c r="IG73" s="328"/>
      <c r="IH73" s="328"/>
      <c r="II73" s="328"/>
      <c r="IJ73" s="328"/>
      <c r="IK73" s="328"/>
      <c r="IL73" s="328"/>
      <c r="IM73" s="328"/>
      <c r="IN73" s="328"/>
      <c r="IO73" s="328"/>
      <c r="IP73" s="328"/>
      <c r="IQ73" s="328"/>
      <c r="IR73" s="328"/>
      <c r="IS73" s="328"/>
      <c r="IT73" s="328"/>
      <c r="IU73" s="328"/>
      <c r="IV73" s="328"/>
      <c r="IW73" s="328"/>
    </row>
    <row r="74" customFormat="false" ht="12.75" hidden="false" customHeight="false" outlineLevel="0" collapsed="false">
      <c r="A74" s="356"/>
      <c r="B74" s="357" t="s">
        <v>362</v>
      </c>
      <c r="C74" s="328"/>
      <c r="D74" s="328"/>
      <c r="E74" s="326" t="n">
        <f aca="false">-Trapped!F31</f>
        <v>-0</v>
      </c>
      <c r="F74" s="326" t="n">
        <f aca="false">-Trapped!G31</f>
        <v>13.2759999379246</v>
      </c>
      <c r="G74" s="326" t="n">
        <f aca="false">-Trapped!H31</f>
        <v>-0</v>
      </c>
      <c r="H74" s="326" t="n">
        <f aca="false">-Trapped!I31</f>
        <v>-0</v>
      </c>
      <c r="I74" s="326" t="n">
        <f aca="false">-Trapped!J31</f>
        <v>-0</v>
      </c>
      <c r="J74" s="326" t="n">
        <f aca="false">-Trapped!K31</f>
        <v>-0</v>
      </c>
      <c r="K74" s="326" t="n">
        <f aca="false">-Trapped!L31</f>
        <v>-0</v>
      </c>
      <c r="L74" s="326" t="n">
        <f aca="false">-Trapped!M31</f>
        <v>-0</v>
      </c>
      <c r="M74" s="326" t="n">
        <f aca="false">-Trapped!N31</f>
        <v>443.610938053462</v>
      </c>
      <c r="N74" s="326" t="n">
        <f aca="false">-Trapped!O31</f>
        <v>-0</v>
      </c>
      <c r="O74" s="326" t="n">
        <f aca="false">-Trapped!P31</f>
        <v>-0</v>
      </c>
      <c r="P74" s="326" t="n">
        <f aca="false">-Trapped!Q31</f>
        <v>-0</v>
      </c>
      <c r="Q74" s="326" t="n">
        <f aca="false">-Trapped!R31</f>
        <v>-0</v>
      </c>
      <c r="R74" s="326" t="n">
        <f aca="false">-Trapped!S31</f>
        <v>2107.61341663642</v>
      </c>
      <c r="S74" s="326" t="n">
        <f aca="false">-Trapped!T31</f>
        <v>1731.10154498464</v>
      </c>
      <c r="T74" s="326" t="n">
        <f aca="false">-Trapped!U31</f>
        <v>1882.94280065876</v>
      </c>
      <c r="U74" s="326" t="n">
        <f aca="false">-Trapped!V31</f>
        <v>-0</v>
      </c>
      <c r="V74" s="326" t="n">
        <f aca="false">-Trapped!W31</f>
        <v>-0</v>
      </c>
      <c r="W74" s="326" t="n">
        <f aca="false">-Trapped!X31</f>
        <v>-0</v>
      </c>
      <c r="X74" s="326" t="n">
        <f aca="false">-Trapped!Y31</f>
        <v>-0</v>
      </c>
      <c r="Y74" s="326" t="n">
        <f aca="false">-Trapped!Z31</f>
        <v>56638.7441860766</v>
      </c>
      <c r="Z74" s="330" t="n">
        <f aca="false">SUM(E74:Y74)</f>
        <v>62817.2888863478</v>
      </c>
      <c r="AA74" s="328"/>
      <c r="AB74" s="300" t="n">
        <f aca="false">AB73+1</f>
        <v>68</v>
      </c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328"/>
      <c r="AP74" s="328"/>
      <c r="AQ74" s="328"/>
      <c r="AR74" s="328"/>
      <c r="AS74" s="328"/>
      <c r="AT74" s="328"/>
      <c r="AU74" s="328"/>
      <c r="AV74" s="328"/>
      <c r="AW74" s="328"/>
      <c r="AX74" s="328"/>
      <c r="AY74" s="328"/>
      <c r="AZ74" s="328"/>
      <c r="BA74" s="328"/>
      <c r="BB74" s="328"/>
      <c r="BC74" s="328"/>
      <c r="BD74" s="328"/>
      <c r="BE74" s="328"/>
      <c r="BF74" s="328"/>
      <c r="BG74" s="328"/>
      <c r="BH74" s="328"/>
      <c r="BI74" s="328"/>
      <c r="BJ74" s="328"/>
      <c r="BK74" s="328"/>
      <c r="BL74" s="328"/>
      <c r="BM74" s="328"/>
      <c r="BN74" s="328"/>
      <c r="BO74" s="328"/>
      <c r="BP74" s="328"/>
      <c r="BQ74" s="328"/>
      <c r="BR74" s="328"/>
      <c r="BS74" s="328"/>
      <c r="BT74" s="328"/>
      <c r="BU74" s="328"/>
      <c r="BV74" s="328"/>
      <c r="BW74" s="328"/>
      <c r="BX74" s="328"/>
      <c r="BY74" s="328"/>
      <c r="BZ74" s="328"/>
      <c r="CA74" s="328"/>
      <c r="CB74" s="328"/>
      <c r="CC74" s="328"/>
      <c r="CD74" s="328"/>
      <c r="CE74" s="328"/>
      <c r="CF74" s="328"/>
      <c r="CG74" s="328"/>
      <c r="CH74" s="328"/>
      <c r="CI74" s="328"/>
      <c r="CJ74" s="328"/>
      <c r="CK74" s="328"/>
      <c r="CL74" s="328"/>
      <c r="CM74" s="328"/>
      <c r="CN74" s="328"/>
      <c r="CO74" s="328"/>
      <c r="CP74" s="328"/>
      <c r="CQ74" s="328"/>
      <c r="CR74" s="328"/>
      <c r="CS74" s="328"/>
      <c r="CT74" s="328"/>
      <c r="CU74" s="328"/>
      <c r="CV74" s="328"/>
      <c r="CW74" s="328"/>
      <c r="CX74" s="328"/>
      <c r="CY74" s="328"/>
      <c r="CZ74" s="328"/>
      <c r="DA74" s="328"/>
      <c r="DB74" s="328"/>
      <c r="DC74" s="328"/>
      <c r="DD74" s="328"/>
      <c r="DE74" s="328"/>
      <c r="DF74" s="328"/>
      <c r="DG74" s="328"/>
      <c r="DH74" s="328"/>
      <c r="DI74" s="328"/>
      <c r="DJ74" s="328"/>
      <c r="DK74" s="328"/>
      <c r="DL74" s="328"/>
      <c r="DM74" s="328"/>
      <c r="DN74" s="328"/>
      <c r="DO74" s="328"/>
      <c r="DP74" s="328"/>
      <c r="DQ74" s="328"/>
      <c r="DR74" s="328"/>
      <c r="DS74" s="328"/>
      <c r="DT74" s="328"/>
      <c r="DU74" s="328"/>
      <c r="DV74" s="328"/>
      <c r="DW74" s="328"/>
      <c r="DX74" s="328"/>
      <c r="DY74" s="328"/>
      <c r="DZ74" s="328"/>
      <c r="EA74" s="328"/>
      <c r="EB74" s="328"/>
      <c r="EC74" s="328"/>
      <c r="ED74" s="328"/>
      <c r="EE74" s="328"/>
      <c r="EF74" s="328"/>
      <c r="EG74" s="328"/>
      <c r="EH74" s="328"/>
      <c r="EI74" s="328"/>
      <c r="EJ74" s="328"/>
      <c r="EK74" s="328"/>
      <c r="EL74" s="328"/>
      <c r="EM74" s="328"/>
      <c r="EN74" s="328"/>
      <c r="EO74" s="328"/>
      <c r="EP74" s="328"/>
      <c r="EQ74" s="328"/>
      <c r="ER74" s="328"/>
      <c r="ES74" s="328"/>
      <c r="ET74" s="328"/>
      <c r="EU74" s="328"/>
      <c r="EV74" s="328"/>
      <c r="EW74" s="328"/>
      <c r="EX74" s="328"/>
      <c r="EY74" s="328"/>
      <c r="EZ74" s="328"/>
      <c r="FA74" s="328"/>
      <c r="FB74" s="328"/>
      <c r="FC74" s="328"/>
      <c r="FD74" s="328"/>
      <c r="FE74" s="328"/>
      <c r="FF74" s="328"/>
      <c r="FG74" s="328"/>
      <c r="FH74" s="328"/>
      <c r="FI74" s="328"/>
      <c r="FJ74" s="328"/>
      <c r="FK74" s="328"/>
      <c r="FL74" s="328"/>
      <c r="FM74" s="328"/>
      <c r="FN74" s="328"/>
      <c r="FO74" s="328"/>
      <c r="FP74" s="328"/>
      <c r="FQ74" s="328"/>
      <c r="FR74" s="328"/>
      <c r="FS74" s="328"/>
      <c r="FT74" s="328"/>
      <c r="FU74" s="328"/>
      <c r="FV74" s="328"/>
      <c r="FW74" s="328"/>
      <c r="FX74" s="328"/>
      <c r="FY74" s="328"/>
      <c r="FZ74" s="328"/>
      <c r="GA74" s="328"/>
      <c r="GB74" s="328"/>
      <c r="GC74" s="328"/>
      <c r="GD74" s="328"/>
      <c r="GE74" s="328"/>
      <c r="GF74" s="328"/>
      <c r="GG74" s="328"/>
      <c r="GH74" s="328"/>
      <c r="GI74" s="328"/>
      <c r="GJ74" s="328"/>
      <c r="GK74" s="328"/>
      <c r="GL74" s="328"/>
      <c r="GM74" s="328"/>
      <c r="GN74" s="328"/>
      <c r="GO74" s="328"/>
      <c r="GP74" s="328"/>
      <c r="GQ74" s="328"/>
      <c r="GR74" s="328"/>
      <c r="GS74" s="328"/>
      <c r="GT74" s="328"/>
      <c r="GU74" s="328"/>
      <c r="GV74" s="328"/>
      <c r="GW74" s="328"/>
      <c r="GX74" s="328"/>
      <c r="GY74" s="328"/>
      <c r="GZ74" s="328"/>
      <c r="HA74" s="328"/>
      <c r="HB74" s="328"/>
      <c r="HC74" s="328"/>
      <c r="HD74" s="328"/>
      <c r="HE74" s="328"/>
      <c r="HF74" s="328"/>
      <c r="HG74" s="328"/>
      <c r="HH74" s="328"/>
      <c r="HI74" s="328"/>
      <c r="HJ74" s="328"/>
      <c r="HK74" s="328"/>
      <c r="HL74" s="328"/>
      <c r="HM74" s="328"/>
      <c r="HN74" s="328"/>
      <c r="HO74" s="328"/>
      <c r="HP74" s="328"/>
      <c r="HQ74" s="328"/>
      <c r="HR74" s="328"/>
      <c r="HS74" s="328"/>
      <c r="HT74" s="328"/>
      <c r="HU74" s="328"/>
      <c r="HV74" s="328"/>
      <c r="HW74" s="328"/>
      <c r="HX74" s="328"/>
      <c r="HY74" s="328"/>
      <c r="HZ74" s="328"/>
      <c r="IA74" s="328"/>
      <c r="IB74" s="328"/>
      <c r="IC74" s="328"/>
      <c r="ID74" s="328"/>
      <c r="IE74" s="328"/>
      <c r="IF74" s="328"/>
      <c r="IG74" s="328"/>
      <c r="IH74" s="328"/>
      <c r="II74" s="328"/>
      <c r="IJ74" s="328"/>
      <c r="IK74" s="328"/>
      <c r="IL74" s="328"/>
      <c r="IM74" s="328"/>
      <c r="IN74" s="328"/>
      <c r="IO74" s="328"/>
      <c r="IP74" s="328"/>
      <c r="IQ74" s="328"/>
      <c r="IR74" s="328"/>
      <c r="IS74" s="328"/>
      <c r="IT74" s="328"/>
      <c r="IU74" s="328"/>
      <c r="IV74" s="328"/>
      <c r="IW74" s="328"/>
    </row>
    <row r="75" customFormat="false" ht="12.75" hidden="false" customHeight="false" outlineLevel="0" collapsed="false">
      <c r="A75" s="356"/>
      <c r="B75" s="357"/>
      <c r="C75" s="328"/>
      <c r="D75" s="328"/>
      <c r="E75" s="326"/>
      <c r="F75" s="326"/>
      <c r="G75" s="326"/>
      <c r="H75" s="326"/>
      <c r="I75" s="326"/>
      <c r="J75" s="326"/>
      <c r="K75" s="326"/>
      <c r="L75" s="326"/>
      <c r="M75" s="326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30"/>
      <c r="AA75" s="328"/>
      <c r="AB75" s="300" t="n">
        <f aca="false">AB74+1</f>
        <v>69</v>
      </c>
      <c r="AC75" s="328"/>
      <c r="AD75" s="328"/>
      <c r="AE75" s="328"/>
      <c r="AF75" s="328"/>
      <c r="AG75" s="328"/>
      <c r="AH75" s="328"/>
      <c r="AI75" s="328"/>
      <c r="AJ75" s="328"/>
      <c r="AK75" s="328"/>
      <c r="AL75" s="328"/>
      <c r="AM75" s="328"/>
      <c r="AN75" s="328"/>
      <c r="AO75" s="328"/>
      <c r="AP75" s="328"/>
      <c r="AQ75" s="328"/>
      <c r="AR75" s="328"/>
      <c r="AS75" s="328"/>
      <c r="AT75" s="328"/>
      <c r="AU75" s="328"/>
      <c r="AV75" s="328"/>
      <c r="AW75" s="328"/>
      <c r="AX75" s="328"/>
      <c r="AY75" s="328"/>
      <c r="AZ75" s="328"/>
      <c r="BA75" s="328"/>
      <c r="BB75" s="328"/>
      <c r="BC75" s="328"/>
      <c r="BD75" s="328"/>
      <c r="BE75" s="328"/>
      <c r="BF75" s="328"/>
      <c r="BG75" s="328"/>
      <c r="BH75" s="328"/>
      <c r="BI75" s="328"/>
      <c r="BJ75" s="328"/>
      <c r="BK75" s="328"/>
      <c r="BL75" s="328"/>
      <c r="BM75" s="328"/>
      <c r="BN75" s="328"/>
      <c r="BO75" s="328"/>
      <c r="BP75" s="328"/>
      <c r="BQ75" s="328"/>
      <c r="BR75" s="328"/>
      <c r="BS75" s="328"/>
      <c r="BT75" s="328"/>
      <c r="BU75" s="328"/>
      <c r="BV75" s="328"/>
      <c r="BW75" s="328"/>
      <c r="BX75" s="328"/>
      <c r="BY75" s="328"/>
      <c r="BZ75" s="328"/>
      <c r="CA75" s="328"/>
      <c r="CB75" s="328"/>
      <c r="CC75" s="328"/>
      <c r="CD75" s="328"/>
      <c r="CE75" s="328"/>
      <c r="CF75" s="328"/>
      <c r="CG75" s="328"/>
      <c r="CH75" s="328"/>
      <c r="CI75" s="328"/>
      <c r="CJ75" s="328"/>
      <c r="CK75" s="328"/>
      <c r="CL75" s="328"/>
      <c r="CM75" s="328"/>
      <c r="CN75" s="328"/>
      <c r="CO75" s="328"/>
      <c r="CP75" s="328"/>
      <c r="CQ75" s="328"/>
      <c r="CR75" s="328"/>
      <c r="CS75" s="328"/>
      <c r="CT75" s="328"/>
      <c r="CU75" s="328"/>
      <c r="CV75" s="328"/>
      <c r="CW75" s="328"/>
      <c r="CX75" s="328"/>
      <c r="CY75" s="328"/>
      <c r="CZ75" s="328"/>
      <c r="DA75" s="328"/>
      <c r="DB75" s="328"/>
      <c r="DC75" s="328"/>
      <c r="DD75" s="328"/>
      <c r="DE75" s="328"/>
      <c r="DF75" s="328"/>
      <c r="DG75" s="328"/>
      <c r="DH75" s="328"/>
      <c r="DI75" s="328"/>
      <c r="DJ75" s="328"/>
      <c r="DK75" s="328"/>
      <c r="DL75" s="328"/>
      <c r="DM75" s="328"/>
      <c r="DN75" s="328"/>
      <c r="DO75" s="328"/>
      <c r="DP75" s="328"/>
      <c r="DQ75" s="328"/>
      <c r="DR75" s="328"/>
      <c r="DS75" s="328"/>
      <c r="DT75" s="328"/>
      <c r="DU75" s="328"/>
      <c r="DV75" s="328"/>
      <c r="DW75" s="328"/>
      <c r="DX75" s="328"/>
      <c r="DY75" s="328"/>
      <c r="DZ75" s="328"/>
      <c r="EA75" s="328"/>
      <c r="EB75" s="328"/>
      <c r="EC75" s="328"/>
      <c r="ED75" s="328"/>
      <c r="EE75" s="328"/>
      <c r="EF75" s="328"/>
      <c r="EG75" s="328"/>
      <c r="EH75" s="328"/>
      <c r="EI75" s="328"/>
      <c r="EJ75" s="328"/>
      <c r="EK75" s="328"/>
      <c r="EL75" s="328"/>
      <c r="EM75" s="328"/>
      <c r="EN75" s="328"/>
      <c r="EO75" s="328"/>
      <c r="EP75" s="328"/>
      <c r="EQ75" s="328"/>
      <c r="ER75" s="328"/>
      <c r="ES75" s="328"/>
      <c r="ET75" s="328"/>
      <c r="EU75" s="328"/>
      <c r="EV75" s="328"/>
      <c r="EW75" s="328"/>
      <c r="EX75" s="328"/>
      <c r="EY75" s="328"/>
      <c r="EZ75" s="328"/>
      <c r="FA75" s="328"/>
      <c r="FB75" s="328"/>
      <c r="FC75" s="328"/>
      <c r="FD75" s="328"/>
      <c r="FE75" s="328"/>
      <c r="FF75" s="328"/>
      <c r="FG75" s="328"/>
      <c r="FH75" s="328"/>
      <c r="FI75" s="328"/>
      <c r="FJ75" s="328"/>
      <c r="FK75" s="328"/>
      <c r="FL75" s="328"/>
      <c r="FM75" s="328"/>
      <c r="FN75" s="328"/>
      <c r="FO75" s="328"/>
      <c r="FP75" s="328"/>
      <c r="FQ75" s="328"/>
      <c r="FR75" s="328"/>
      <c r="FS75" s="328"/>
      <c r="FT75" s="328"/>
      <c r="FU75" s="328"/>
      <c r="FV75" s="328"/>
      <c r="FW75" s="328"/>
      <c r="FX75" s="328"/>
      <c r="FY75" s="328"/>
      <c r="FZ75" s="328"/>
      <c r="GA75" s="328"/>
      <c r="GB75" s="328"/>
      <c r="GC75" s="328"/>
      <c r="GD75" s="328"/>
      <c r="GE75" s="328"/>
      <c r="GF75" s="328"/>
      <c r="GG75" s="328"/>
      <c r="GH75" s="328"/>
      <c r="GI75" s="328"/>
      <c r="GJ75" s="328"/>
      <c r="GK75" s="328"/>
      <c r="GL75" s="328"/>
      <c r="GM75" s="328"/>
      <c r="GN75" s="328"/>
      <c r="GO75" s="328"/>
      <c r="GP75" s="328"/>
      <c r="GQ75" s="328"/>
      <c r="GR75" s="328"/>
      <c r="GS75" s="328"/>
      <c r="GT75" s="328"/>
      <c r="GU75" s="328"/>
      <c r="GV75" s="328"/>
      <c r="GW75" s="328"/>
      <c r="GX75" s="328"/>
      <c r="GY75" s="328"/>
      <c r="GZ75" s="328"/>
      <c r="HA75" s="328"/>
      <c r="HB75" s="328"/>
      <c r="HC75" s="328"/>
      <c r="HD75" s="328"/>
      <c r="HE75" s="328"/>
      <c r="HF75" s="328"/>
      <c r="HG75" s="328"/>
      <c r="HH75" s="328"/>
      <c r="HI75" s="328"/>
      <c r="HJ75" s="328"/>
      <c r="HK75" s="328"/>
      <c r="HL75" s="328"/>
      <c r="HM75" s="328"/>
      <c r="HN75" s="328"/>
      <c r="HO75" s="328"/>
      <c r="HP75" s="328"/>
      <c r="HQ75" s="328"/>
      <c r="HR75" s="328"/>
      <c r="HS75" s="328"/>
      <c r="HT75" s="328"/>
      <c r="HU75" s="328"/>
      <c r="HV75" s="328"/>
      <c r="HW75" s="328"/>
      <c r="HX75" s="328"/>
      <c r="HY75" s="328"/>
      <c r="HZ75" s="328"/>
      <c r="IA75" s="328"/>
      <c r="IB75" s="328"/>
      <c r="IC75" s="328"/>
      <c r="ID75" s="328"/>
      <c r="IE75" s="328"/>
      <c r="IF75" s="328"/>
      <c r="IG75" s="328"/>
      <c r="IH75" s="328"/>
      <c r="II75" s="328"/>
      <c r="IJ75" s="328"/>
      <c r="IK75" s="328"/>
      <c r="IL75" s="328"/>
      <c r="IM75" s="328"/>
      <c r="IN75" s="328"/>
      <c r="IO75" s="328"/>
      <c r="IP75" s="328"/>
      <c r="IQ75" s="328"/>
      <c r="IR75" s="328"/>
      <c r="IS75" s="328"/>
      <c r="IT75" s="328"/>
      <c r="IU75" s="328"/>
      <c r="IV75" s="328"/>
      <c r="IW75" s="328"/>
    </row>
    <row r="76" customFormat="false" ht="12.75" hidden="false" customHeight="false" outlineLevel="0" collapsed="false">
      <c r="A76" s="347" t="s">
        <v>363</v>
      </c>
      <c r="B76" s="348"/>
      <c r="C76" s="348"/>
      <c r="D76" s="348"/>
      <c r="E76" s="349" t="n">
        <f aca="false">SUM(E71:E75)</f>
        <v>0</v>
      </c>
      <c r="F76" s="349" t="n">
        <f aca="false">SUM(F71:F75)</f>
        <v>0</v>
      </c>
      <c r="G76" s="349" t="n">
        <f aca="false">SUM(G71:G75)</f>
        <v>0</v>
      </c>
      <c r="H76" s="349" t="n">
        <f aca="false">SUM(H71:H75)</f>
        <v>0</v>
      </c>
      <c r="I76" s="349" t="n">
        <f aca="false">SUM(I71:I75)</f>
        <v>0</v>
      </c>
      <c r="J76" s="349" t="n">
        <f aca="false">SUM(J71:J75)</f>
        <v>0</v>
      </c>
      <c r="K76" s="349" t="n">
        <f aca="false">SUM(K71:K75)</f>
        <v>0</v>
      </c>
      <c r="L76" s="349" t="n">
        <f aca="false">SUM(L71:L75)</f>
        <v>1922.31341195928</v>
      </c>
      <c r="M76" s="349" t="n">
        <f aca="false">SUM(M71:M75)</f>
        <v>7146.15292496294</v>
      </c>
      <c r="N76" s="349" t="n">
        <f aca="false">SUM(N71:N75)</f>
        <v>8076.67286379359</v>
      </c>
      <c r="O76" s="349" t="n">
        <f aca="false">SUM(O71:O75)</f>
        <v>9574.3164161304</v>
      </c>
      <c r="P76" s="349" t="n">
        <f aca="false">SUM(P71:P75)</f>
        <v>10565.6318033128</v>
      </c>
      <c r="Q76" s="349" t="n">
        <f aca="false">SUM(Q71:Q75)</f>
        <v>11785.0336207929</v>
      </c>
      <c r="R76" s="349" t="n">
        <f aca="false">SUM(R71:R75)</f>
        <v>13708.6706035186</v>
      </c>
      <c r="S76" s="349" t="n">
        <f aca="false">SUM(S71:S75)</f>
        <v>13261.7094730338</v>
      </c>
      <c r="T76" s="349" t="n">
        <f aca="false">SUM(T71:T75)</f>
        <v>15718.2215792545</v>
      </c>
      <c r="U76" s="349" t="n">
        <f aca="false">SUM(U71:U75)</f>
        <v>16989.560183041</v>
      </c>
      <c r="V76" s="349" t="n">
        <f aca="false">SUM(V71:V75)</f>
        <v>17880.603261494</v>
      </c>
      <c r="W76" s="349" t="n">
        <f aca="false">SUM(W71:W75)</f>
        <v>18647.0614070228</v>
      </c>
      <c r="X76" s="349" t="n">
        <f aca="false">SUM(X71:X75)</f>
        <v>19477.758336208</v>
      </c>
      <c r="Y76" s="349" t="n">
        <f aca="false">SUM(Y71:Y75)</f>
        <v>65285.3381522481</v>
      </c>
      <c r="Z76" s="350" t="n">
        <f aca="false">SUM(E76:Y76)</f>
        <v>230039.044036773</v>
      </c>
      <c r="AA76" s="328"/>
      <c r="AB76" s="300" t="n">
        <f aca="false">AB75+1</f>
        <v>70</v>
      </c>
      <c r="AC76" s="328"/>
      <c r="AD76" s="328"/>
      <c r="AE76" s="328"/>
      <c r="AF76" s="328"/>
      <c r="AG76" s="328"/>
      <c r="AH76" s="328"/>
      <c r="AI76" s="328"/>
      <c r="AJ76" s="328"/>
      <c r="AK76" s="328"/>
      <c r="AL76" s="328"/>
      <c r="AM76" s="328"/>
      <c r="AN76" s="328"/>
      <c r="AO76" s="328"/>
      <c r="AP76" s="328"/>
      <c r="AQ76" s="328"/>
      <c r="AR76" s="328"/>
      <c r="AS76" s="328"/>
      <c r="AT76" s="328"/>
      <c r="AU76" s="328"/>
      <c r="AV76" s="328"/>
      <c r="AW76" s="328"/>
      <c r="AX76" s="328"/>
      <c r="AY76" s="328"/>
      <c r="AZ76" s="328"/>
      <c r="BA76" s="328"/>
      <c r="BB76" s="328"/>
      <c r="BC76" s="328"/>
      <c r="BD76" s="328"/>
      <c r="BE76" s="328"/>
      <c r="BF76" s="328"/>
      <c r="BG76" s="328"/>
      <c r="BH76" s="328"/>
      <c r="BI76" s="328"/>
      <c r="BJ76" s="328"/>
      <c r="BK76" s="328"/>
      <c r="BL76" s="328"/>
      <c r="BM76" s="328"/>
      <c r="BN76" s="328"/>
      <c r="BO76" s="328"/>
      <c r="BP76" s="328"/>
      <c r="BQ76" s="328"/>
      <c r="BR76" s="328"/>
      <c r="BS76" s="328"/>
      <c r="BT76" s="328"/>
      <c r="BU76" s="328"/>
      <c r="BV76" s="328"/>
      <c r="BW76" s="328"/>
      <c r="BX76" s="328"/>
      <c r="BY76" s="328"/>
      <c r="BZ76" s="328"/>
      <c r="CA76" s="328"/>
      <c r="CB76" s="328"/>
      <c r="CC76" s="328"/>
      <c r="CD76" s="328"/>
      <c r="CE76" s="328"/>
      <c r="CF76" s="328"/>
      <c r="CG76" s="328"/>
      <c r="CH76" s="328"/>
      <c r="CI76" s="328"/>
      <c r="CJ76" s="328"/>
      <c r="CK76" s="328"/>
      <c r="CL76" s="328"/>
      <c r="CM76" s="328"/>
      <c r="CN76" s="328"/>
      <c r="CO76" s="328"/>
      <c r="CP76" s="328"/>
      <c r="CQ76" s="328"/>
      <c r="CR76" s="328"/>
      <c r="CS76" s="328"/>
      <c r="CT76" s="328"/>
      <c r="CU76" s="328"/>
      <c r="CV76" s="328"/>
      <c r="CW76" s="328"/>
      <c r="CX76" s="328"/>
      <c r="CY76" s="328"/>
      <c r="CZ76" s="328"/>
      <c r="DA76" s="328"/>
      <c r="DB76" s="328"/>
      <c r="DC76" s="328"/>
      <c r="DD76" s="328"/>
      <c r="DE76" s="328"/>
      <c r="DF76" s="328"/>
      <c r="DG76" s="328"/>
      <c r="DH76" s="328"/>
      <c r="DI76" s="328"/>
      <c r="DJ76" s="328"/>
      <c r="DK76" s="328"/>
      <c r="DL76" s="328"/>
      <c r="DM76" s="328"/>
      <c r="DN76" s="328"/>
      <c r="DO76" s="328"/>
      <c r="DP76" s="328"/>
      <c r="DQ76" s="328"/>
      <c r="DR76" s="328"/>
      <c r="DS76" s="328"/>
      <c r="DT76" s="328"/>
      <c r="DU76" s="328"/>
      <c r="DV76" s="328"/>
      <c r="DW76" s="328"/>
      <c r="DX76" s="328"/>
      <c r="DY76" s="328"/>
      <c r="DZ76" s="328"/>
      <c r="EA76" s="328"/>
      <c r="EB76" s="328"/>
      <c r="EC76" s="328"/>
      <c r="ED76" s="328"/>
      <c r="EE76" s="328"/>
      <c r="EF76" s="328"/>
      <c r="EG76" s="328"/>
      <c r="EH76" s="328"/>
      <c r="EI76" s="328"/>
      <c r="EJ76" s="328"/>
      <c r="EK76" s="328"/>
      <c r="EL76" s="328"/>
      <c r="EM76" s="328"/>
      <c r="EN76" s="328"/>
      <c r="EO76" s="328"/>
      <c r="EP76" s="328"/>
      <c r="EQ76" s="328"/>
      <c r="ER76" s="328"/>
      <c r="ES76" s="328"/>
      <c r="ET76" s="328"/>
      <c r="EU76" s="328"/>
      <c r="EV76" s="328"/>
      <c r="EW76" s="328"/>
      <c r="EX76" s="328"/>
      <c r="EY76" s="328"/>
      <c r="EZ76" s="328"/>
      <c r="FA76" s="328"/>
      <c r="FB76" s="328"/>
      <c r="FC76" s="328"/>
      <c r="FD76" s="328"/>
      <c r="FE76" s="328"/>
      <c r="FF76" s="328"/>
      <c r="FG76" s="328"/>
      <c r="FH76" s="328"/>
      <c r="FI76" s="328"/>
      <c r="FJ76" s="328"/>
      <c r="FK76" s="328"/>
      <c r="FL76" s="328"/>
      <c r="FM76" s="328"/>
      <c r="FN76" s="328"/>
      <c r="FO76" s="328"/>
      <c r="FP76" s="328"/>
      <c r="FQ76" s="328"/>
      <c r="FR76" s="328"/>
      <c r="FS76" s="328"/>
      <c r="FT76" s="328"/>
      <c r="FU76" s="328"/>
      <c r="FV76" s="328"/>
      <c r="FW76" s="328"/>
      <c r="FX76" s="328"/>
      <c r="FY76" s="328"/>
      <c r="FZ76" s="328"/>
      <c r="GA76" s="328"/>
      <c r="GB76" s="328"/>
      <c r="GC76" s="328"/>
      <c r="GD76" s="328"/>
      <c r="GE76" s="328"/>
      <c r="GF76" s="328"/>
      <c r="GG76" s="328"/>
      <c r="GH76" s="328"/>
      <c r="GI76" s="328"/>
      <c r="GJ76" s="328"/>
      <c r="GK76" s="328"/>
      <c r="GL76" s="328"/>
      <c r="GM76" s="328"/>
      <c r="GN76" s="328"/>
      <c r="GO76" s="328"/>
      <c r="GP76" s="328"/>
      <c r="GQ76" s="328"/>
      <c r="GR76" s="328"/>
      <c r="GS76" s="328"/>
      <c r="GT76" s="328"/>
      <c r="GU76" s="328"/>
      <c r="GV76" s="328"/>
      <c r="GW76" s="328"/>
      <c r="GX76" s="328"/>
      <c r="GY76" s="328"/>
      <c r="GZ76" s="328"/>
      <c r="HA76" s="328"/>
      <c r="HB76" s="328"/>
      <c r="HC76" s="328"/>
      <c r="HD76" s="328"/>
      <c r="HE76" s="328"/>
      <c r="HF76" s="328"/>
      <c r="HG76" s="328"/>
      <c r="HH76" s="328"/>
      <c r="HI76" s="328"/>
      <c r="HJ76" s="328"/>
      <c r="HK76" s="328"/>
      <c r="HL76" s="328"/>
      <c r="HM76" s="328"/>
      <c r="HN76" s="328"/>
      <c r="HO76" s="328"/>
      <c r="HP76" s="328"/>
      <c r="HQ76" s="328"/>
      <c r="HR76" s="328"/>
      <c r="HS76" s="328"/>
      <c r="HT76" s="328"/>
      <c r="HU76" s="328"/>
      <c r="HV76" s="328"/>
      <c r="HW76" s="328"/>
      <c r="HX76" s="328"/>
      <c r="HY76" s="328"/>
      <c r="HZ76" s="328"/>
      <c r="IA76" s="328"/>
      <c r="IB76" s="328"/>
      <c r="IC76" s="328"/>
      <c r="ID76" s="328"/>
      <c r="IE76" s="328"/>
      <c r="IF76" s="328"/>
      <c r="IG76" s="328"/>
      <c r="IH76" s="328"/>
      <c r="II76" s="328"/>
      <c r="IJ76" s="328"/>
      <c r="IK76" s="328"/>
      <c r="IL76" s="328"/>
      <c r="IM76" s="328"/>
      <c r="IN76" s="328"/>
      <c r="IO76" s="328"/>
      <c r="IP76" s="328"/>
      <c r="IQ76" s="328"/>
      <c r="IR76" s="328"/>
      <c r="IS76" s="328"/>
      <c r="IT76" s="328"/>
      <c r="IU76" s="328"/>
      <c r="IV76" s="328"/>
      <c r="IW76" s="328"/>
    </row>
    <row r="77" customFormat="false" ht="13.5" hidden="false" customHeight="false" outlineLevel="0" collapsed="false">
      <c r="A77" s="49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362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328"/>
      <c r="AP77" s="328"/>
      <c r="AQ77" s="328"/>
      <c r="AR77" s="328"/>
      <c r="AS77" s="328"/>
      <c r="AT77" s="328"/>
      <c r="AU77" s="328"/>
      <c r="AV77" s="328"/>
      <c r="AW77" s="328"/>
      <c r="AX77" s="328"/>
      <c r="AY77" s="328"/>
      <c r="AZ77" s="328"/>
      <c r="BA77" s="328"/>
      <c r="BB77" s="328"/>
      <c r="BC77" s="328"/>
      <c r="BD77" s="328"/>
      <c r="BE77" s="328"/>
      <c r="BF77" s="328"/>
      <c r="BG77" s="328"/>
      <c r="BH77" s="328"/>
      <c r="BI77" s="328"/>
      <c r="BJ77" s="328"/>
      <c r="BK77" s="328"/>
      <c r="BL77" s="328"/>
      <c r="BM77" s="328"/>
      <c r="BN77" s="328"/>
      <c r="BO77" s="328"/>
      <c r="BP77" s="328"/>
      <c r="BQ77" s="328"/>
      <c r="BR77" s="328"/>
      <c r="BS77" s="328"/>
      <c r="BT77" s="328"/>
      <c r="BU77" s="328"/>
      <c r="BV77" s="328"/>
      <c r="BW77" s="328"/>
      <c r="BX77" s="328"/>
      <c r="BY77" s="328"/>
      <c r="BZ77" s="328"/>
      <c r="CA77" s="328"/>
      <c r="CB77" s="328"/>
      <c r="CC77" s="328"/>
      <c r="CD77" s="328"/>
      <c r="CE77" s="328"/>
      <c r="CF77" s="328"/>
      <c r="CG77" s="328"/>
      <c r="CH77" s="328"/>
      <c r="CI77" s="328"/>
      <c r="CJ77" s="328"/>
      <c r="CK77" s="328"/>
      <c r="CL77" s="328"/>
      <c r="CM77" s="328"/>
      <c r="CN77" s="328"/>
      <c r="CO77" s="328"/>
      <c r="CP77" s="328"/>
      <c r="CQ77" s="328"/>
      <c r="CR77" s="328"/>
      <c r="CS77" s="328"/>
      <c r="CT77" s="328"/>
      <c r="CU77" s="328"/>
      <c r="CV77" s="328"/>
      <c r="CW77" s="328"/>
      <c r="CX77" s="328"/>
      <c r="CY77" s="328"/>
      <c r="CZ77" s="328"/>
      <c r="DA77" s="328"/>
      <c r="DB77" s="328"/>
      <c r="DC77" s="328"/>
      <c r="DD77" s="328"/>
      <c r="DE77" s="328"/>
      <c r="DF77" s="328"/>
      <c r="DG77" s="328"/>
      <c r="DH77" s="328"/>
      <c r="DI77" s="328"/>
      <c r="DJ77" s="328"/>
      <c r="DK77" s="328"/>
      <c r="DL77" s="328"/>
      <c r="DM77" s="328"/>
      <c r="DN77" s="328"/>
      <c r="DO77" s="328"/>
      <c r="DP77" s="328"/>
      <c r="DQ77" s="328"/>
      <c r="DR77" s="328"/>
      <c r="DS77" s="328"/>
      <c r="DT77" s="328"/>
      <c r="DU77" s="328"/>
      <c r="DV77" s="328"/>
      <c r="DW77" s="328"/>
      <c r="DX77" s="328"/>
      <c r="DY77" s="328"/>
      <c r="DZ77" s="328"/>
      <c r="EA77" s="328"/>
      <c r="EB77" s="328"/>
      <c r="EC77" s="328"/>
      <c r="ED77" s="328"/>
      <c r="EE77" s="328"/>
      <c r="EF77" s="328"/>
      <c r="EG77" s="328"/>
      <c r="EH77" s="328"/>
      <c r="EI77" s="328"/>
      <c r="EJ77" s="328"/>
      <c r="EK77" s="328"/>
      <c r="EL77" s="328"/>
      <c r="EM77" s="328"/>
      <c r="EN77" s="328"/>
      <c r="EO77" s="328"/>
      <c r="EP77" s="328"/>
      <c r="EQ77" s="328"/>
      <c r="ER77" s="328"/>
      <c r="ES77" s="328"/>
      <c r="ET77" s="328"/>
      <c r="EU77" s="328"/>
      <c r="EV77" s="328"/>
      <c r="EW77" s="328"/>
      <c r="EX77" s="328"/>
      <c r="EY77" s="328"/>
      <c r="EZ77" s="328"/>
      <c r="FA77" s="328"/>
      <c r="FB77" s="328"/>
      <c r="FC77" s="328"/>
      <c r="FD77" s="328"/>
      <c r="FE77" s="328"/>
      <c r="FF77" s="328"/>
      <c r="FG77" s="328"/>
      <c r="FH77" s="328"/>
      <c r="FI77" s="328"/>
      <c r="FJ77" s="328"/>
      <c r="FK77" s="328"/>
      <c r="FL77" s="328"/>
      <c r="FM77" s="328"/>
      <c r="FN77" s="328"/>
      <c r="FO77" s="328"/>
      <c r="FP77" s="328"/>
      <c r="FQ77" s="328"/>
      <c r="FR77" s="328"/>
      <c r="FS77" s="328"/>
      <c r="FT77" s="328"/>
      <c r="FU77" s="328"/>
      <c r="FV77" s="328"/>
      <c r="FW77" s="328"/>
      <c r="FX77" s="328"/>
      <c r="FY77" s="328"/>
      <c r="FZ77" s="328"/>
      <c r="GA77" s="328"/>
      <c r="GB77" s="328"/>
      <c r="GC77" s="328"/>
      <c r="GD77" s="328"/>
      <c r="GE77" s="328"/>
      <c r="GF77" s="328"/>
      <c r="GG77" s="328"/>
      <c r="GH77" s="328"/>
      <c r="GI77" s="328"/>
      <c r="GJ77" s="328"/>
      <c r="GK77" s="328"/>
      <c r="GL77" s="328"/>
      <c r="GM77" s="328"/>
      <c r="GN77" s="328"/>
      <c r="GO77" s="328"/>
      <c r="GP77" s="328"/>
      <c r="GQ77" s="328"/>
      <c r="GR77" s="328"/>
      <c r="GS77" s="328"/>
      <c r="GT77" s="328"/>
      <c r="GU77" s="328"/>
      <c r="GV77" s="328"/>
      <c r="GW77" s="328"/>
      <c r="GX77" s="328"/>
      <c r="GY77" s="328"/>
      <c r="GZ77" s="328"/>
      <c r="HA77" s="328"/>
      <c r="HB77" s="328"/>
      <c r="HC77" s="328"/>
      <c r="HD77" s="328"/>
      <c r="HE77" s="328"/>
      <c r="HF77" s="328"/>
      <c r="HG77" s="328"/>
      <c r="HH77" s="328"/>
      <c r="HI77" s="328"/>
      <c r="HJ77" s="328"/>
      <c r="HK77" s="328"/>
      <c r="HL77" s="328"/>
      <c r="HM77" s="328"/>
      <c r="HN77" s="328"/>
      <c r="HO77" s="328"/>
      <c r="HP77" s="328"/>
      <c r="HQ77" s="328"/>
      <c r="HR77" s="328"/>
      <c r="HS77" s="328"/>
      <c r="HT77" s="328"/>
      <c r="HU77" s="328"/>
      <c r="HV77" s="328"/>
      <c r="HW77" s="328"/>
      <c r="HX77" s="328"/>
      <c r="HY77" s="328"/>
      <c r="HZ77" s="328"/>
      <c r="IA77" s="328"/>
      <c r="IB77" s="328"/>
      <c r="IC77" s="328"/>
      <c r="ID77" s="328"/>
      <c r="IE77" s="328"/>
      <c r="IF77" s="328"/>
      <c r="IG77" s="328"/>
      <c r="IH77" s="328"/>
      <c r="II77" s="328"/>
      <c r="IJ77" s="328"/>
      <c r="IK77" s="328"/>
      <c r="IL77" s="328"/>
      <c r="IM77" s="328"/>
      <c r="IN77" s="328"/>
      <c r="IO77" s="328"/>
      <c r="IP77" s="328"/>
      <c r="IQ77" s="328"/>
      <c r="IR77" s="328"/>
      <c r="IS77" s="328"/>
      <c r="IT77" s="328"/>
      <c r="IU77" s="328"/>
      <c r="IV77" s="328"/>
      <c r="IW77" s="328"/>
    </row>
    <row r="78" customFormat="false" ht="12.75" hidden="false" customHeight="false" outlineLevel="0" collapsed="false"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AA78" s="328"/>
      <c r="AB78" s="328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28"/>
      <c r="AN78" s="328"/>
      <c r="AO78" s="328"/>
      <c r="AP78" s="328"/>
      <c r="AQ78" s="328"/>
      <c r="AR78" s="328"/>
      <c r="AS78" s="328"/>
      <c r="AT78" s="328"/>
      <c r="AU78" s="328"/>
      <c r="AV78" s="328"/>
      <c r="AW78" s="328"/>
      <c r="AX78" s="328"/>
      <c r="AY78" s="328"/>
      <c r="AZ78" s="328"/>
      <c r="BA78" s="328"/>
      <c r="BB78" s="328"/>
      <c r="BC78" s="328"/>
      <c r="BD78" s="328"/>
      <c r="BE78" s="328"/>
      <c r="BF78" s="328"/>
      <c r="BG78" s="328"/>
      <c r="BH78" s="328"/>
      <c r="BI78" s="328"/>
      <c r="BJ78" s="328"/>
      <c r="BK78" s="328"/>
      <c r="BL78" s="328"/>
      <c r="BM78" s="328"/>
      <c r="BN78" s="328"/>
      <c r="BO78" s="328"/>
      <c r="BP78" s="328"/>
      <c r="BQ78" s="328"/>
      <c r="BR78" s="328"/>
      <c r="BS78" s="328"/>
      <c r="BT78" s="328"/>
      <c r="BU78" s="328"/>
      <c r="BV78" s="328"/>
      <c r="BW78" s="328"/>
      <c r="BX78" s="328"/>
      <c r="BY78" s="328"/>
      <c r="BZ78" s="328"/>
      <c r="CA78" s="328"/>
      <c r="CB78" s="328"/>
      <c r="CC78" s="328"/>
      <c r="CD78" s="328"/>
      <c r="CE78" s="328"/>
      <c r="CF78" s="328"/>
      <c r="CG78" s="328"/>
      <c r="CH78" s="328"/>
      <c r="CI78" s="328"/>
      <c r="CJ78" s="328"/>
      <c r="CK78" s="328"/>
      <c r="CL78" s="328"/>
      <c r="CM78" s="328"/>
      <c r="CN78" s="328"/>
      <c r="CO78" s="328"/>
      <c r="CP78" s="328"/>
      <c r="CQ78" s="328"/>
      <c r="CR78" s="328"/>
      <c r="CS78" s="328"/>
      <c r="CT78" s="328"/>
      <c r="CU78" s="328"/>
      <c r="CV78" s="328"/>
      <c r="CW78" s="328"/>
      <c r="CX78" s="328"/>
      <c r="CY78" s="328"/>
      <c r="CZ78" s="328"/>
      <c r="DA78" s="328"/>
      <c r="DB78" s="328"/>
      <c r="DC78" s="328"/>
      <c r="DD78" s="328"/>
      <c r="DE78" s="328"/>
      <c r="DF78" s="328"/>
      <c r="DG78" s="328"/>
      <c r="DH78" s="328"/>
      <c r="DI78" s="328"/>
      <c r="DJ78" s="328"/>
      <c r="DK78" s="328"/>
      <c r="DL78" s="328"/>
      <c r="DM78" s="328"/>
      <c r="DN78" s="328"/>
      <c r="DO78" s="328"/>
      <c r="DP78" s="328"/>
      <c r="DQ78" s="328"/>
      <c r="DR78" s="328"/>
      <c r="DS78" s="328"/>
      <c r="DT78" s="328"/>
      <c r="DU78" s="328"/>
      <c r="DV78" s="328"/>
      <c r="DW78" s="328"/>
      <c r="DX78" s="328"/>
      <c r="DY78" s="328"/>
      <c r="DZ78" s="328"/>
      <c r="EA78" s="328"/>
      <c r="EB78" s="328"/>
      <c r="EC78" s="328"/>
      <c r="ED78" s="328"/>
      <c r="EE78" s="328"/>
      <c r="EF78" s="328"/>
      <c r="EG78" s="328"/>
      <c r="EH78" s="328"/>
      <c r="EI78" s="328"/>
      <c r="EJ78" s="328"/>
      <c r="EK78" s="328"/>
      <c r="EL78" s="328"/>
      <c r="EM78" s="328"/>
      <c r="EN78" s="328"/>
      <c r="EO78" s="328"/>
      <c r="EP78" s="328"/>
      <c r="EQ78" s="328"/>
      <c r="ER78" s="328"/>
      <c r="ES78" s="328"/>
      <c r="ET78" s="328"/>
      <c r="EU78" s="328"/>
      <c r="EV78" s="328"/>
      <c r="EW78" s="328"/>
      <c r="EX78" s="328"/>
      <c r="EY78" s="328"/>
      <c r="EZ78" s="328"/>
      <c r="FA78" s="328"/>
      <c r="FB78" s="328"/>
      <c r="FC78" s="328"/>
      <c r="FD78" s="328"/>
      <c r="FE78" s="328"/>
      <c r="FF78" s="328"/>
      <c r="FG78" s="328"/>
      <c r="FH78" s="328"/>
      <c r="FI78" s="328"/>
      <c r="FJ78" s="328"/>
      <c r="FK78" s="328"/>
      <c r="FL78" s="328"/>
      <c r="FM78" s="328"/>
      <c r="FN78" s="328"/>
      <c r="FO78" s="328"/>
      <c r="FP78" s="328"/>
      <c r="FQ78" s="328"/>
      <c r="FR78" s="328"/>
      <c r="FS78" s="328"/>
      <c r="FT78" s="328"/>
      <c r="FU78" s="328"/>
      <c r="FV78" s="328"/>
      <c r="FW78" s="328"/>
      <c r="FX78" s="328"/>
      <c r="FY78" s="328"/>
      <c r="FZ78" s="328"/>
      <c r="GA78" s="328"/>
      <c r="GB78" s="328"/>
      <c r="GC78" s="328"/>
      <c r="GD78" s="328"/>
      <c r="GE78" s="328"/>
      <c r="GF78" s="328"/>
      <c r="GG78" s="328"/>
      <c r="GH78" s="328"/>
      <c r="GI78" s="328"/>
      <c r="GJ78" s="328"/>
      <c r="GK78" s="328"/>
      <c r="GL78" s="328"/>
      <c r="GM78" s="328"/>
      <c r="GN78" s="328"/>
      <c r="GO78" s="328"/>
      <c r="GP78" s="328"/>
      <c r="GQ78" s="328"/>
      <c r="GR78" s="328"/>
      <c r="GS78" s="328"/>
      <c r="GT78" s="328"/>
      <c r="GU78" s="328"/>
      <c r="GV78" s="328"/>
      <c r="GW78" s="328"/>
      <c r="GX78" s="328"/>
      <c r="GY78" s="328"/>
      <c r="GZ78" s="328"/>
      <c r="HA78" s="328"/>
      <c r="HB78" s="328"/>
      <c r="HC78" s="328"/>
      <c r="HD78" s="328"/>
      <c r="HE78" s="328"/>
      <c r="HF78" s="328"/>
      <c r="HG78" s="328"/>
      <c r="HH78" s="328"/>
      <c r="HI78" s="328"/>
      <c r="HJ78" s="328"/>
      <c r="HK78" s="328"/>
      <c r="HL78" s="328"/>
      <c r="HM78" s="328"/>
      <c r="HN78" s="328"/>
      <c r="HO78" s="328"/>
      <c r="HP78" s="328"/>
      <c r="HQ78" s="328"/>
      <c r="HR78" s="328"/>
      <c r="HS78" s="328"/>
      <c r="HT78" s="328"/>
      <c r="HU78" s="328"/>
      <c r="HV78" s="328"/>
      <c r="HW78" s="328"/>
      <c r="HX78" s="328"/>
      <c r="HY78" s="328"/>
      <c r="HZ78" s="328"/>
      <c r="IA78" s="328"/>
      <c r="IB78" s="328"/>
      <c r="IC78" s="328"/>
      <c r="ID78" s="328"/>
      <c r="IE78" s="328"/>
      <c r="IF78" s="328"/>
      <c r="IG78" s="328"/>
      <c r="IH78" s="328"/>
      <c r="II78" s="328"/>
      <c r="IJ78" s="328"/>
      <c r="IK78" s="328"/>
      <c r="IL78" s="328"/>
      <c r="IM78" s="328"/>
      <c r="IN78" s="328"/>
      <c r="IO78" s="328"/>
      <c r="IP78" s="328"/>
      <c r="IQ78" s="328"/>
      <c r="IR78" s="328"/>
      <c r="IS78" s="328"/>
      <c r="IT78" s="328"/>
      <c r="IU78" s="328"/>
      <c r="IV78" s="328"/>
      <c r="IW78" s="328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N12" activeCellId="0" sqref="N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42"/>
    <col collapsed="false" customWidth="true" hidden="false" outlineLevel="0" max="4" min="2" style="0" width="10.13"/>
    <col collapsed="false" customWidth="true" hidden="false" outlineLevel="0" max="10" min="10" style="0" width="11.56"/>
  </cols>
  <sheetData>
    <row r="1" customFormat="false" ht="12.75" hidden="false" customHeight="false" outlineLevel="0" collapsed="false">
      <c r="A1" s="0" t="s">
        <v>364</v>
      </c>
    </row>
    <row r="3" customFormat="false" ht="12.75" hidden="false" customHeight="false" outlineLevel="0" collapsed="false">
      <c r="A3" s="363" t="s">
        <v>365</v>
      </c>
      <c r="B3" s="364" t="n">
        <v>36160</v>
      </c>
      <c r="C3" s="364" t="n">
        <v>36525</v>
      </c>
      <c r="D3" s="365" t="n">
        <v>36891</v>
      </c>
      <c r="E3" s="365" t="n">
        <v>37256</v>
      </c>
      <c r="F3" s="365" t="n">
        <v>37621</v>
      </c>
      <c r="G3" s="365" t="n">
        <v>37986</v>
      </c>
      <c r="H3" s="365" t="n">
        <v>38352</v>
      </c>
      <c r="I3" s="365" t="n">
        <v>38717</v>
      </c>
      <c r="J3" s="365" t="n">
        <v>39082</v>
      </c>
      <c r="K3" s="365" t="n">
        <v>39447</v>
      </c>
      <c r="L3" s="365" t="n">
        <v>39813</v>
      </c>
      <c r="M3" s="365" t="n">
        <v>40178</v>
      </c>
      <c r="N3" s="365" t="n">
        <v>40543</v>
      </c>
      <c r="O3" s="365" t="n">
        <v>40908</v>
      </c>
      <c r="P3" s="365" t="n">
        <v>41274</v>
      </c>
      <c r="Q3" s="365" t="n">
        <v>41639</v>
      </c>
      <c r="R3" s="365" t="n">
        <v>42004</v>
      </c>
      <c r="S3" s="365" t="n">
        <v>42369</v>
      </c>
      <c r="T3" s="365" t="n">
        <v>42735</v>
      </c>
      <c r="U3" s="365" t="n">
        <v>43100</v>
      </c>
      <c r="V3" s="365" t="n">
        <v>43465</v>
      </c>
      <c r="W3" s="365" t="n">
        <v>43830</v>
      </c>
      <c r="X3" s="366"/>
    </row>
    <row r="4" customFormat="false" ht="12.75" hidden="false" customHeight="false" outlineLevel="0" collapsed="false">
      <c r="A4" s="363" t="s">
        <v>366</v>
      </c>
      <c r="B4" s="364" t="n">
        <f aca="false">+IF(B3&lt;$B$12,$B$12,B3)</f>
        <v>36663</v>
      </c>
      <c r="C4" s="364" t="n">
        <f aca="false">+IF(C3&lt;$B$12,$B$12,C3)</f>
        <v>36663</v>
      </c>
      <c r="D4" s="365" t="n">
        <f aca="false">+IF(D3&lt;$B$12,$B$12,D3)</f>
        <v>36891</v>
      </c>
      <c r="E4" s="365" t="n">
        <f aca="false">+IF(E3&lt;$B$12,$B$12,E3)</f>
        <v>37256</v>
      </c>
      <c r="F4" s="365" t="n">
        <f aca="false">+IF(F3&lt;$B$12,$B$12,F3)</f>
        <v>37621</v>
      </c>
      <c r="G4" s="365" t="n">
        <f aca="false">+IF(G3&lt;$B$12,$B$12,G3)</f>
        <v>37986</v>
      </c>
      <c r="H4" s="365" t="n">
        <f aca="false">+IF(H3&lt;$B$12,$B$12,H3)</f>
        <v>38352</v>
      </c>
      <c r="I4" s="365" t="n">
        <f aca="false">+IF(I3&lt;$B$12,$B$12,I3)</f>
        <v>38717</v>
      </c>
      <c r="J4" s="365" t="n">
        <f aca="false">+IF(J3&lt;$B$12,$B$12,J3)</f>
        <v>39082</v>
      </c>
      <c r="K4" s="365" t="n">
        <f aca="false">+IF(K3&lt;$B$12,$B$12,K3)</f>
        <v>39447</v>
      </c>
      <c r="L4" s="365" t="n">
        <f aca="false">+IF(L3&lt;$B$12,$B$12,L3)</f>
        <v>39813</v>
      </c>
      <c r="M4" s="365" t="n">
        <f aca="false">+IF(M3&lt;$B$12,$B$12,M3)</f>
        <v>40178</v>
      </c>
      <c r="N4" s="365" t="n">
        <f aca="false">+IF(N3&lt;$B$12,$B$12,N3)</f>
        <v>40543</v>
      </c>
      <c r="O4" s="365" t="n">
        <f aca="false">+IF(O3&lt;$B$12,$B$12,O3)</f>
        <v>40908</v>
      </c>
      <c r="P4" s="365" t="n">
        <f aca="false">+IF(P3&lt;$B$12,$B$12,P3)</f>
        <v>41274</v>
      </c>
      <c r="Q4" s="365" t="n">
        <f aca="false">+IF(Q3&lt;$B$12,$B$12,Q3)</f>
        <v>41639</v>
      </c>
      <c r="R4" s="365" t="n">
        <f aca="false">+IF(R3&lt;$B$12,$B$12,R3)</f>
        <v>42004</v>
      </c>
      <c r="S4" s="365" t="n">
        <f aca="false">+IF(S3&lt;$B$12,$B$12,S3)</f>
        <v>42369</v>
      </c>
      <c r="T4" s="365" t="n">
        <f aca="false">+IF(T3&lt;$B$12,$B$12,T3)</f>
        <v>42735</v>
      </c>
      <c r="U4" s="365" t="n">
        <f aca="false">+IF(U3&lt;$B$12,$B$12,U3)</f>
        <v>43100</v>
      </c>
      <c r="V4" s="365" t="n">
        <f aca="false">+IF(V3&lt;$B$12,$B$12,V3)</f>
        <v>43465</v>
      </c>
      <c r="W4" s="365" t="n">
        <f aca="false">+IF(W3&lt;$B$12,$B$12,W3)</f>
        <v>43830</v>
      </c>
      <c r="X4" s="366"/>
    </row>
    <row r="6" customFormat="false" ht="12.75" hidden="false" customHeight="false" outlineLevel="0" collapsed="false">
      <c r="A6" s="0" t="s">
        <v>367</v>
      </c>
      <c r="B6" s="367" t="n">
        <f aca="false">+Returns!E24</f>
        <v>-3111.700911</v>
      </c>
      <c r="C6" s="367" t="n">
        <f aca="false">+Returns!F24</f>
        <v>-8888.299092</v>
      </c>
      <c r="D6" s="367" t="n">
        <f aca="false">+Returns!G24</f>
        <v>-6000</v>
      </c>
      <c r="E6" s="367" t="n">
        <f aca="false">+Returns!H24</f>
        <v>-0</v>
      </c>
      <c r="F6" s="367" t="n">
        <f aca="false">+Returns!I24</f>
        <v>-0</v>
      </c>
      <c r="G6" s="367" t="n">
        <f aca="false">+Returns!J24</f>
        <v>-0</v>
      </c>
      <c r="H6" s="367" t="n">
        <f aca="false">+Returns!K24</f>
        <v>-0</v>
      </c>
      <c r="I6" s="367" t="n">
        <f aca="false">+Returns!L24</f>
        <v>-0</v>
      </c>
      <c r="J6" s="367" t="n">
        <f aca="false">+Returns!M24</f>
        <v>-0</v>
      </c>
      <c r="K6" s="367" t="n">
        <f aca="false">+Returns!N24</f>
        <v>-0</v>
      </c>
      <c r="L6" s="367" t="n">
        <f aca="false">+Returns!O24</f>
        <v>-0</v>
      </c>
      <c r="M6" s="367" t="n">
        <f aca="false">+Returns!P24</f>
        <v>-0</v>
      </c>
      <c r="N6" s="367" t="n">
        <f aca="false">+Returns!Q24</f>
        <v>-0</v>
      </c>
      <c r="O6" s="367" t="n">
        <f aca="false">+Returns!R24</f>
        <v>-0</v>
      </c>
      <c r="P6" s="367" t="n">
        <f aca="false">+Returns!S24</f>
        <v>-0</v>
      </c>
      <c r="Q6" s="367" t="n">
        <f aca="false">+Returns!T24</f>
        <v>-0</v>
      </c>
      <c r="R6" s="367" t="n">
        <f aca="false">+Returns!U24</f>
        <v>-0</v>
      </c>
      <c r="S6" s="367" t="n">
        <f aca="false">+Returns!V24</f>
        <v>-0</v>
      </c>
      <c r="T6" s="367" t="n">
        <f aca="false">+Returns!W24</f>
        <v>-0</v>
      </c>
      <c r="U6" s="367" t="n">
        <f aca="false">+Returns!X24</f>
        <v>-0</v>
      </c>
      <c r="V6" s="367" t="n">
        <f aca="false">+Returns!Y24</f>
        <v>-0</v>
      </c>
      <c r="W6" s="367" t="n">
        <f aca="false">+Returns!Z24</f>
        <v>-0</v>
      </c>
      <c r="X6" s="368"/>
    </row>
    <row r="7" customFormat="false" ht="12.75" hidden="false" customHeight="false" outlineLevel="0" collapsed="false">
      <c r="A7" s="0" t="s">
        <v>368</v>
      </c>
      <c r="B7" s="367" t="n">
        <f aca="false">+Returns!E31+Returns!E32+Returns!E33+Returns!E35+Returns!E36</f>
        <v>935.890289844761</v>
      </c>
      <c r="C7" s="367" t="n">
        <f aca="false">+Returns!F31+Returns!F32+Returns!F33+Returns!F35+Returns!F36</f>
        <v>3956.35943296387</v>
      </c>
      <c r="D7" s="367" t="n">
        <f aca="false">+Returns!G31+Returns!G32+Returns!G33+Returns!G35+Returns!G36</f>
        <v>559.579527191373</v>
      </c>
      <c r="E7" s="367" t="n">
        <f aca="false">+Returns!H31+Returns!H32+Returns!H33+Returns!H35+Returns!H36</f>
        <v>-160.444559155393</v>
      </c>
      <c r="F7" s="367" t="n">
        <f aca="false">+Returns!I31+Returns!I32+Returns!I33+Returns!I35+Returns!I36</f>
        <v>9.25641687434958</v>
      </c>
      <c r="G7" s="367" t="n">
        <f aca="false">+Returns!J31+Returns!J32+Returns!J33+Returns!J35+Returns!J36</f>
        <v>9.25641687434958</v>
      </c>
      <c r="H7" s="367" t="n">
        <f aca="false">+Returns!K31+Returns!K32+Returns!K33+Returns!K35+Returns!K36</f>
        <v>9.25641687434958</v>
      </c>
      <c r="I7" s="367" t="n">
        <f aca="false">+Returns!L31+Returns!L32+Returns!L33+Returns!L35+Returns!L36</f>
        <v>9.25641687434958</v>
      </c>
      <c r="J7" s="367" t="n">
        <f aca="false">+Returns!M31+Returns!M32+Returns!M33+Returns!M35+Returns!M36</f>
        <v>9.25641687434958</v>
      </c>
      <c r="K7" s="367" t="n">
        <f aca="false">+Returns!N31+Returns!N32+Returns!N33+Returns!N35+Returns!N36</f>
        <v>9.25641687434958</v>
      </c>
      <c r="L7" s="367" t="n">
        <f aca="false">+Returns!O31+Returns!O32+Returns!O33+Returns!O35+Returns!O36</f>
        <v>9.25641687434958</v>
      </c>
      <c r="M7" s="367" t="n">
        <f aca="false">+Returns!P31+Returns!P32+Returns!P33+Returns!P35+Returns!P36</f>
        <v>9.25641687434958</v>
      </c>
      <c r="N7" s="367" t="n">
        <f aca="false">+Returns!Q31+Returns!Q32+Returns!Q33+Returns!Q35+Returns!Q36</f>
        <v>9.25641687434958</v>
      </c>
      <c r="O7" s="367" t="n">
        <f aca="false">+Returns!R31+Returns!R32+Returns!R33+Returns!R35+Returns!R36</f>
        <v>9.25641687434958</v>
      </c>
      <c r="P7" s="367" t="n">
        <f aca="false">+Returns!S31+Returns!S32+Returns!S33+Returns!S35+Returns!S36</f>
        <v>9.25641687434958</v>
      </c>
      <c r="Q7" s="367" t="n">
        <f aca="false">+Returns!T31+Returns!T32+Returns!T33+Returns!T35+Returns!T36</f>
        <v>9.25641687434958</v>
      </c>
      <c r="R7" s="367" t="n">
        <f aca="false">+Returns!U31+Returns!U32+Returns!U33+Returns!U35+Returns!U36</f>
        <v>9.25641687434958</v>
      </c>
      <c r="S7" s="367" t="n">
        <f aca="false">+Returns!V31+Returns!V32+Returns!V33+Returns!V35+Returns!V36</f>
        <v>9.25641687434958</v>
      </c>
      <c r="T7" s="367" t="n">
        <f aca="false">+Returns!W31+Returns!W32+Returns!W33+Returns!W35+Returns!W36</f>
        <v>9.25641687434958</v>
      </c>
      <c r="U7" s="367" t="n">
        <f aca="false">+Returns!X31+Returns!X32+Returns!X33+Returns!X35+Returns!X36</f>
        <v>9.25641687434958</v>
      </c>
      <c r="V7" s="367" t="n">
        <f aca="false">+Returns!Y31+Returns!Y32+Returns!Y33+Returns!Y35+Returns!Y36</f>
        <v>9.25641687434958</v>
      </c>
      <c r="W7" s="367" t="n">
        <f aca="false">+Returns!Z31+Returns!Z32+Returns!Z33+Returns!Z35+Returns!Z36</f>
        <v>3.08547229144986</v>
      </c>
      <c r="X7" s="368"/>
    </row>
    <row r="8" customFormat="false" ht="12.75" hidden="false" customHeight="false" outlineLevel="0" collapsed="false">
      <c r="A8" s="0" t="s">
        <v>369</v>
      </c>
      <c r="B8" s="367" t="n">
        <f aca="false">+Returns!E25+Returns!E26+Returns!E28+Returns!E29+Returns!E30+Returns!E37+Returns!E34</f>
        <v>-359.348551068762</v>
      </c>
      <c r="C8" s="367" t="n">
        <f aca="false">+Returns!F25+Returns!F26+Returns!F28+Returns!F29+Returns!F30+Returns!F37+Returns!F34</f>
        <v>-1520.78756212233</v>
      </c>
      <c r="D8" s="367" t="n">
        <f aca="false">+Returns!G25+Returns!G26+Returns!G28+Returns!G29+Returns!G30+Returns!G37+Returns!G34</f>
        <v>-307.844425079708</v>
      </c>
      <c r="E8" s="367" t="n">
        <f aca="false">+Returns!H25+Returns!H26+Returns!H28+Returns!H29+Returns!H30+Returns!H37+Returns!H34</f>
        <v>1347.98192010585</v>
      </c>
      <c r="F8" s="367" t="n">
        <f aca="false">+Returns!I25+Returns!I26+Returns!I28+Returns!I29+Returns!I30+Returns!I37+Returns!I34</f>
        <v>1426.03618921714</v>
      </c>
      <c r="G8" s="367" t="n">
        <f aca="false">+Returns!J25+Returns!J26+Returns!J28+Returns!J29+Returns!J30+Returns!J37+Returns!J34</f>
        <v>977.114793383816</v>
      </c>
      <c r="H8" s="367" t="n">
        <f aca="false">+Returns!K25+Returns!K26+Returns!K28+Returns!K29+Returns!K30+Returns!K37+Returns!K34</f>
        <v>1455.60568245649</v>
      </c>
      <c r="I8" s="367" t="n">
        <f aca="false">+Returns!L25+Returns!L26+Returns!L28+Returns!L29+Returns!L30+Returns!L37+Returns!L34</f>
        <v>241.026692013142</v>
      </c>
      <c r="J8" s="367" t="n">
        <f aca="false">+Returns!M25+Returns!M26+Returns!M28+Returns!M29+Returns!M30+Returns!M37+Returns!M34</f>
        <v>1244.35862797857</v>
      </c>
      <c r="K8" s="367" t="n">
        <f aca="false">+Returns!N25+Returns!N26+Returns!N28+Returns!N29+Returns!N30+Returns!N37+Returns!N34</f>
        <v>1402.83602093104</v>
      </c>
      <c r="L8" s="367" t="n">
        <f aca="false">+Returns!O25+Returns!O26+Returns!O28+Returns!O29+Returns!O30+Returns!O37+Returns!O34</f>
        <v>2498.40115650246</v>
      </c>
      <c r="M8" s="367" t="n">
        <f aca="false">+Returns!P25+Returns!P26+Returns!P28+Returns!P29+Returns!P30+Returns!P37+Returns!P34</f>
        <v>3791.77757204027</v>
      </c>
      <c r="N8" s="367" t="n">
        <f aca="false">+Returns!Q25+Returns!Q26+Returns!Q28+Returns!Q29+Returns!Q30+Returns!Q37+Returns!Q34</f>
        <v>4108.59097075349</v>
      </c>
      <c r="O8" s="367" t="n">
        <f aca="false">+Returns!R25+Returns!R26+Returns!R28+Returns!R29+Returns!R30+Returns!R37+Returns!R34</f>
        <v>3700.54492580549</v>
      </c>
      <c r="P8" s="367" t="n">
        <f aca="false">+Returns!S25+Returns!S26+Returns!S28+Returns!S29+Returns!S30+Returns!S37+Returns!S34</f>
        <v>2462.15259492035</v>
      </c>
      <c r="Q8" s="367" t="n">
        <f aca="false">+Returns!T25+Returns!T26+Returns!T28+Returns!T29+Returns!T30+Returns!T37+Returns!T34</f>
        <v>2456.44484827331</v>
      </c>
      <c r="R8" s="367" t="n">
        <f aca="false">+Returns!U25+Returns!U26+Returns!U28+Returns!U29+Returns!U30+Returns!U37+Returns!U34</f>
        <v>3074.16174960132</v>
      </c>
      <c r="S8" s="367" t="n">
        <f aca="false">+Returns!V25+Returns!V26+Returns!V28+Returns!V29+Returns!V30+Returns!V37+Returns!V34</f>
        <v>4118.24501186496</v>
      </c>
      <c r="T8" s="367" t="n">
        <f aca="false">+Returns!W25+Returns!W26+Returns!W28+Returns!W29+Returns!W30+Returns!W37+Returns!W34</f>
        <v>6137.99417221407</v>
      </c>
      <c r="U8" s="367" t="n">
        <f aca="false">+Returns!X25+Returns!X26+Returns!X28+Returns!X29+Returns!X30+Returns!X37+Returns!X34</f>
        <v>6289.46426678591</v>
      </c>
      <c r="V8" s="367" t="n">
        <f aca="false">+Returns!Y25+Returns!Y26+Returns!Y28+Returns!Y29+Returns!Y30+Returns!Y37+Returns!Y34</f>
        <v>6458.34962411277</v>
      </c>
      <c r="W8" s="367" t="n">
        <f aca="false">+Returns!Z25+Returns!Z26+Returns!Z28+Returns!Z29+Returns!Z30+Returns!Z37+Returns!Z34</f>
        <v>-119.877177092559</v>
      </c>
      <c r="X8" s="368"/>
    </row>
    <row r="9" customFormat="false" ht="12.75" hidden="false" customHeight="false" outlineLevel="0" collapsed="false">
      <c r="A9" s="0" t="s">
        <v>293</v>
      </c>
      <c r="B9" s="367" t="n">
        <f aca="false">+Returns!E27</f>
        <v>0</v>
      </c>
      <c r="C9" s="367" t="n">
        <f aca="false">+Returns!F27</f>
        <v>0</v>
      </c>
      <c r="D9" s="367" t="n">
        <f aca="false">+Returns!G27</f>
        <v>0</v>
      </c>
      <c r="E9" s="367" t="n">
        <f aca="false">+Returns!H27</f>
        <v>0</v>
      </c>
      <c r="F9" s="367" t="n">
        <f aca="false">+Returns!I27</f>
        <v>0</v>
      </c>
      <c r="G9" s="367" t="n">
        <f aca="false">+Returns!J27</f>
        <v>0</v>
      </c>
      <c r="H9" s="367" t="n">
        <f aca="false">+Returns!K27</f>
        <v>0</v>
      </c>
      <c r="I9" s="367" t="n">
        <f aca="false">+Returns!L27</f>
        <v>0</v>
      </c>
      <c r="J9" s="367" t="n">
        <f aca="false">+Returns!M27</f>
        <v>0</v>
      </c>
      <c r="K9" s="367" t="n">
        <f aca="false">+Returns!N27</f>
        <v>0</v>
      </c>
      <c r="L9" s="367" t="n">
        <f aca="false">+Returns!O27</f>
        <v>0</v>
      </c>
      <c r="M9" s="367" t="n">
        <f aca="false">+Returns!P27</f>
        <v>0</v>
      </c>
      <c r="N9" s="367" t="n">
        <f aca="false">+Returns!Q27</f>
        <v>0</v>
      </c>
      <c r="O9" s="367" t="n">
        <f aca="false">+Returns!R27</f>
        <v>0</v>
      </c>
      <c r="P9" s="367" t="n">
        <f aca="false">+Returns!S27</f>
        <v>0</v>
      </c>
      <c r="Q9" s="367" t="n">
        <f aca="false">+Returns!T27</f>
        <v>0</v>
      </c>
      <c r="R9" s="367" t="n">
        <f aca="false">+Returns!U27</f>
        <v>0</v>
      </c>
      <c r="S9" s="367" t="n">
        <f aca="false">+Returns!V27</f>
        <v>0</v>
      </c>
      <c r="T9" s="367" t="n">
        <f aca="false">+Returns!W27</f>
        <v>0</v>
      </c>
      <c r="U9" s="367" t="n">
        <f aca="false">+Returns!X27</f>
        <v>0</v>
      </c>
      <c r="V9" s="367" t="n">
        <f aca="false">+Returns!Y27</f>
        <v>0</v>
      </c>
      <c r="W9" s="367" t="n">
        <f aca="false">+Returns!Z27</f>
        <v>103759.127594058</v>
      </c>
    </row>
    <row r="10" customFormat="false" ht="13.5" hidden="false" customHeight="false" outlineLevel="0" collapsed="false">
      <c r="A10" s="369" t="s">
        <v>370</v>
      </c>
      <c r="B10" s="370" t="n">
        <f aca="false">+SUM(B6:B9)</f>
        <v>-2535.159172224</v>
      </c>
      <c r="C10" s="370" t="n">
        <f aca="false">+SUM(C6:C9)</f>
        <v>-6452.72722115846</v>
      </c>
      <c r="D10" s="370" t="n">
        <f aca="false">+SUM(D6:D9)</f>
        <v>-5748.26489788833</v>
      </c>
      <c r="E10" s="370" t="n">
        <f aca="false">+SUM(E6:E9)</f>
        <v>1187.53736095046</v>
      </c>
      <c r="F10" s="370" t="n">
        <f aca="false">+SUM(F6:F9)</f>
        <v>1435.29260609149</v>
      </c>
      <c r="G10" s="370" t="n">
        <f aca="false">+SUM(G6:G9)</f>
        <v>986.371210258166</v>
      </c>
      <c r="H10" s="370" t="n">
        <f aca="false">+SUM(H6:H9)</f>
        <v>1464.86209933084</v>
      </c>
      <c r="I10" s="370" t="n">
        <f aca="false">+SUM(I6:I9)</f>
        <v>250.283108887491</v>
      </c>
      <c r="J10" s="370" t="n">
        <f aca="false">+SUM(J6:J9)</f>
        <v>1253.61504485292</v>
      </c>
      <c r="K10" s="370" t="n">
        <f aca="false">+SUM(K6:K9)</f>
        <v>1412.09243780539</v>
      </c>
      <c r="L10" s="370" t="n">
        <f aca="false">+SUM(L6:L9)</f>
        <v>2507.65757337681</v>
      </c>
      <c r="M10" s="370" t="n">
        <f aca="false">+SUM(M6:M9)</f>
        <v>3801.03398891462</v>
      </c>
      <c r="N10" s="370" t="n">
        <f aca="false">+SUM(N6:N9)</f>
        <v>4117.84738762784</v>
      </c>
      <c r="O10" s="370" t="n">
        <f aca="false">+SUM(O6:O9)</f>
        <v>3709.80134267984</v>
      </c>
      <c r="P10" s="370" t="n">
        <f aca="false">+SUM(P6:P9)</f>
        <v>2471.4090117947</v>
      </c>
      <c r="Q10" s="370" t="n">
        <f aca="false">+SUM(Q6:Q9)</f>
        <v>2465.70126514766</v>
      </c>
      <c r="R10" s="370" t="n">
        <f aca="false">+SUM(R6:R9)</f>
        <v>3083.41816647567</v>
      </c>
      <c r="S10" s="370" t="n">
        <f aca="false">+SUM(S6:S9)</f>
        <v>4127.50142873931</v>
      </c>
      <c r="T10" s="370" t="n">
        <f aca="false">+SUM(T6:T9)</f>
        <v>6147.25058908842</v>
      </c>
      <c r="U10" s="370" t="n">
        <f aca="false">+SUM(U6:U9)</f>
        <v>6298.72068366026</v>
      </c>
      <c r="V10" s="370" t="n">
        <f aca="false">+SUM(V6:V9)</f>
        <v>6467.60604098712</v>
      </c>
      <c r="W10" s="370" t="n">
        <f aca="false">+SUM(W6:W9)</f>
        <v>103642.335889257</v>
      </c>
    </row>
    <row r="11" customFormat="false" ht="13.5" hidden="false" customHeight="false" outlineLevel="0" collapsed="false"/>
    <row r="12" customFormat="false" ht="12.75" hidden="false" customHeight="false" outlineLevel="0" collapsed="false">
      <c r="A12" s="0" t="s">
        <v>371</v>
      </c>
      <c r="B12" s="371" t="n">
        <v>36663</v>
      </c>
      <c r="D12" s="0" t="s">
        <v>372</v>
      </c>
      <c r="F12" s="372" t="n">
        <v>0.3</v>
      </c>
      <c r="H12" s="0" t="s">
        <v>373</v>
      </c>
      <c r="J12" s="366" t="n">
        <v>36951</v>
      </c>
      <c r="L12" s="0" t="s">
        <v>374</v>
      </c>
      <c r="N12" s="373" t="n">
        <v>0</v>
      </c>
    </row>
    <row r="13" customFormat="false" ht="12.75" hidden="false" customHeight="false" outlineLevel="0" collapsed="false">
      <c r="A13" s="0" t="s">
        <v>375</v>
      </c>
      <c r="B13" s="374" t="n">
        <f aca="false">[1]!GasBol_Disc</f>
        <v>0.19</v>
      </c>
      <c r="D13" s="0" t="s">
        <v>376</v>
      </c>
      <c r="F13" s="372" t="n">
        <v>0.3</v>
      </c>
      <c r="H13" s="0" t="s">
        <v>377</v>
      </c>
      <c r="J13" s="366" t="n">
        <v>37104</v>
      </c>
    </row>
    <row r="14" customFormat="false" ht="12.75" hidden="false" customHeight="false" outlineLevel="0" collapsed="false">
      <c r="A14" s="0" t="s">
        <v>213</v>
      </c>
      <c r="B14" s="367" t="n">
        <f aca="false">+XNPV(B13,B10:W10,B4:W4)</f>
        <v>-2576.18263572444</v>
      </c>
      <c r="D14" s="0" t="s">
        <v>378</v>
      </c>
      <c r="F14" s="372" t="n">
        <v>0.4</v>
      </c>
      <c r="H14" s="0" t="s">
        <v>379</v>
      </c>
      <c r="J14" s="375" t="n">
        <v>0.11</v>
      </c>
    </row>
    <row r="15" customFormat="false" ht="12.75" hidden="false" customHeight="false" outlineLevel="0" collapsed="false">
      <c r="A15" s="0" t="s">
        <v>212</v>
      </c>
      <c r="B15" s="376" t="n">
        <f aca="false">XIRR(B10:W10,B4:W4)</f>
        <v>0.170045325232117</v>
      </c>
      <c r="D15" s="0" t="s">
        <v>380</v>
      </c>
      <c r="F15" s="367" t="n">
        <v>1</v>
      </c>
      <c r="H15" s="0" t="s">
        <v>381</v>
      </c>
      <c r="J15" s="0" t="n">
        <v>0</v>
      </c>
    </row>
    <row r="17" customFormat="false" ht="13.5" hidden="false" customHeight="false" outlineLevel="0" collapsed="false">
      <c r="A17" s="369" t="s">
        <v>382</v>
      </c>
      <c r="B17" s="370" t="n">
        <f aca="false">+XNPV(B13,C17:W17,C4:W4)</f>
        <v>85963.7102480425</v>
      </c>
      <c r="C17" s="370" t="n">
        <f aca="false">+CF!E46</f>
        <v>0</v>
      </c>
      <c r="D17" s="370" t="n">
        <f aca="false">+CF!F46</f>
        <v>-13.2759999379246</v>
      </c>
      <c r="E17" s="370" t="n">
        <f aca="false">+CF!G46</f>
        <v>8604.19629805644</v>
      </c>
      <c r="F17" s="370" t="n">
        <f aca="false">+CF!H46</f>
        <v>14220.938045162</v>
      </c>
      <c r="G17" s="370" t="n">
        <f aca="false">+CF!I46</f>
        <v>13565.6409996427</v>
      </c>
      <c r="H17" s="370" t="n">
        <f aca="false">+CF!J46</f>
        <v>19099.4312530243</v>
      </c>
      <c r="I17" s="370" t="n">
        <f aca="false">+CF!K46</f>
        <v>19379.6148479407</v>
      </c>
      <c r="J17" s="370" t="n">
        <f aca="false">+CF!L46</f>
        <v>23437.1491854552</v>
      </c>
      <c r="K17" s="370" t="n">
        <f aca="false">+CF!M46</f>
        <v>24344.7076671009</v>
      </c>
      <c r="L17" s="370" t="n">
        <f aca="false">+CF!N46</f>
        <v>24485.4880924593</v>
      </c>
      <c r="M17" s="370" t="n">
        <f aca="false">+CF!O46</f>
        <v>25830.1534150317</v>
      </c>
      <c r="N17" s="370" t="n">
        <f aca="false">+CF!P46</f>
        <v>26597.1556216309</v>
      </c>
      <c r="O17" s="370" t="n">
        <f aca="false">+CF!Q46</f>
        <v>27679.4585347262</v>
      </c>
      <c r="P17" s="370" t="n">
        <f aca="false">+CF!R46</f>
        <v>29538.859488661</v>
      </c>
      <c r="Q17" s="370" t="n">
        <f aca="false">+CF!S46</f>
        <v>28010.2309087519</v>
      </c>
      <c r="R17" s="370" t="n">
        <f aca="false">+CF!T46</f>
        <v>30595.1178173838</v>
      </c>
      <c r="S17" s="370" t="n">
        <f aca="false">+CF!U46</f>
        <v>31458.5672626128</v>
      </c>
      <c r="T17" s="370" t="n">
        <f aca="false">+CF!V46</f>
        <v>32306.0828797343</v>
      </c>
      <c r="U17" s="370" t="n">
        <f aca="false">+CF!W46</f>
        <v>33381.8136103011</v>
      </c>
      <c r="V17" s="370" t="n">
        <f aca="false">+CF!X46</f>
        <v>34547.7040372276</v>
      </c>
      <c r="W17" s="370" t="n">
        <f aca="false">+CF!Y46</f>
        <v>11528.7919548953</v>
      </c>
      <c r="X17" s="368"/>
    </row>
    <row r="18" customFormat="false" ht="13.5" hidden="false" customHeight="false" outlineLevel="0" collapsed="false">
      <c r="C18" s="377"/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</row>
    <row r="19" customFormat="false" ht="13.5" hidden="false" customHeight="false" outlineLevel="0" collapsed="false">
      <c r="A19" s="369" t="s">
        <v>383</v>
      </c>
      <c r="B19" s="378" t="n">
        <f aca="false">+BS_IS!F35</f>
        <v>0</v>
      </c>
      <c r="C19" s="378" t="n">
        <f aca="false">+BS_IS!G35</f>
        <v>0</v>
      </c>
      <c r="D19" s="378" t="n">
        <f aca="false">+BS_IS!H35</f>
        <v>0</v>
      </c>
      <c r="E19" s="378" t="n">
        <f aca="false">+BS_IS!I35</f>
        <v>0</v>
      </c>
      <c r="F19" s="378" t="n">
        <f aca="false">+BS_IS!J35</f>
        <v>0</v>
      </c>
      <c r="G19" s="378" t="n">
        <f aca="false">+BS_IS!K35</f>
        <v>0</v>
      </c>
      <c r="H19" s="378" t="n">
        <f aca="false">+BS_IS!L35</f>
        <v>0</v>
      </c>
      <c r="I19" s="378" t="n">
        <f aca="false">+BS_IS!M35</f>
        <v>0</v>
      </c>
      <c r="J19" s="378" t="n">
        <f aca="false">+BS_IS!N35</f>
        <v>0</v>
      </c>
      <c r="K19" s="378" t="n">
        <f aca="false">+BS_IS!O35</f>
        <v>0</v>
      </c>
      <c r="L19" s="378" t="n">
        <f aca="false">+BS_IS!P35</f>
        <v>0</v>
      </c>
      <c r="M19" s="378" t="n">
        <f aca="false">+BS_IS!Q35</f>
        <v>0</v>
      </c>
      <c r="N19" s="378" t="n">
        <f aca="false">+BS_IS!R35</f>
        <v>0</v>
      </c>
      <c r="O19" s="378" t="n">
        <f aca="false">+BS_IS!S35</f>
        <v>0</v>
      </c>
      <c r="P19" s="378" t="n">
        <f aca="false">+BS_IS!T35</f>
        <v>0</v>
      </c>
      <c r="Q19" s="378" t="n">
        <f aca="false">+BS_IS!U35</f>
        <v>0</v>
      </c>
      <c r="R19" s="378" t="n">
        <f aca="false">+BS_IS!V35</f>
        <v>0</v>
      </c>
      <c r="S19" s="378" t="n">
        <f aca="false">+BS_IS!W35</f>
        <v>0</v>
      </c>
      <c r="T19" s="378" t="n">
        <f aca="false">+BS_IS!X35</f>
        <v>0</v>
      </c>
      <c r="U19" s="378" t="n">
        <f aca="false">+BS_IS!Y35</f>
        <v>0</v>
      </c>
      <c r="V19" s="378" t="n">
        <f aca="false">+BS_IS!Z35</f>
        <v>0</v>
      </c>
      <c r="W19" s="378" t="n">
        <f aca="false">+BS_IS!AA35</f>
        <v>0</v>
      </c>
    </row>
    <row r="20" customFormat="false" ht="13.5" hidden="false" customHeight="false" outlineLevel="0" collapsed="false"/>
    <row r="28" customFormat="false" ht="12.75" hidden="false" customHeight="false" outlineLevel="0" collapsed="false">
      <c r="A28" s="366"/>
    </row>
    <row r="30" customFormat="false" ht="12.75" hidden="false" customHeight="false" outlineLevel="0" collapsed="false">
      <c r="A30" s="324" t="s">
        <v>384</v>
      </c>
    </row>
    <row r="32" customFormat="false" ht="12.75" hidden="false" customHeight="false" outlineLevel="0" collapsed="false">
      <c r="A32" s="0" t="s">
        <v>385</v>
      </c>
      <c r="D32" s="377"/>
      <c r="F32" s="0" t="s">
        <v>379</v>
      </c>
      <c r="J32" s="0" t="s">
        <v>374</v>
      </c>
    </row>
    <row r="33" customFormat="false" ht="12.75" hidden="false" customHeight="false" outlineLevel="0" collapsed="false">
      <c r="A33" s="377"/>
      <c r="B33" s="0" t="s">
        <v>386</v>
      </c>
      <c r="C33" s="0" t="s">
        <v>387</v>
      </c>
      <c r="D33" s="366"/>
      <c r="F33" s="377"/>
      <c r="G33" s="0" t="s">
        <v>386</v>
      </c>
      <c r="J33" s="377"/>
      <c r="K33" s="0" t="s">
        <v>386</v>
      </c>
    </row>
    <row r="34" customFormat="false" ht="12.75" hidden="false" customHeight="false" outlineLevel="0" collapsed="false">
      <c r="A34" s="366" t="n">
        <v>36951</v>
      </c>
      <c r="B34" s="379" t="n">
        <v>6288.87937654694</v>
      </c>
      <c r="C34" s="379" t="n">
        <v>123315.910041563</v>
      </c>
      <c r="D34" s="366"/>
      <c r="F34" s="375" t="n">
        <v>0.1</v>
      </c>
      <c r="G34" s="379" t="n">
        <v>6865.39484267021</v>
      </c>
      <c r="J34" s="375" t="n">
        <v>-0.2</v>
      </c>
      <c r="K34" s="379" t="n">
        <v>360.447616223781</v>
      </c>
    </row>
    <row r="35" customFormat="false" ht="12.75" hidden="false" customHeight="false" outlineLevel="0" collapsed="false">
      <c r="A35" s="366" t="n">
        <v>36982</v>
      </c>
      <c r="B35" s="379" t="n">
        <v>6093.26423214685</v>
      </c>
      <c r="C35" s="379" t="n">
        <v>122072.564110946</v>
      </c>
      <c r="D35" s="366"/>
      <c r="F35" s="380" t="n">
        <v>0.105</v>
      </c>
      <c r="G35" s="379" t="n">
        <v>6576.84534060557</v>
      </c>
      <c r="J35" s="375" t="n">
        <v>-0.1</v>
      </c>
      <c r="K35" s="379" t="n">
        <v>3374.81299769582</v>
      </c>
    </row>
    <row r="36" customFormat="false" ht="12.75" hidden="false" customHeight="false" outlineLevel="0" collapsed="false">
      <c r="A36" s="366" t="n">
        <v>37012</v>
      </c>
      <c r="B36" s="379" t="n">
        <v>5896.83186887352</v>
      </c>
      <c r="C36" s="379" t="n">
        <v>120811.174274705</v>
      </c>
      <c r="D36" s="366"/>
      <c r="F36" s="375" t="n">
        <v>0.11</v>
      </c>
      <c r="G36" s="379" t="n">
        <v>6288.87937654694</v>
      </c>
      <c r="J36" s="375" t="n">
        <v>0</v>
      </c>
      <c r="K36" s="379" t="n">
        <v>6288.87937654694</v>
      </c>
    </row>
    <row r="37" customFormat="false" ht="12.75" hidden="false" customHeight="false" outlineLevel="0" collapsed="false">
      <c r="A37" s="366" t="n">
        <v>37043</v>
      </c>
      <c r="B37" s="379" t="n">
        <v>5781.0587193042</v>
      </c>
      <c r="C37" s="379" t="n">
        <v>120076.953708292</v>
      </c>
      <c r="D37" s="366"/>
      <c r="F37" s="380" t="n">
        <v>0.115</v>
      </c>
      <c r="G37" s="379" t="n">
        <v>5999.26352730886</v>
      </c>
      <c r="H37" s="379" t="n">
        <f aca="false">+G36-G37</f>
        <v>289.615849238081</v>
      </c>
      <c r="J37" s="375" t="n">
        <v>0.1</v>
      </c>
      <c r="K37" s="379" t="n">
        <v>9122.08876255857</v>
      </c>
    </row>
    <row r="38" customFormat="false" ht="12.75" hidden="false" customHeight="false" outlineLevel="0" collapsed="false">
      <c r="A38" s="366" t="n">
        <v>37073</v>
      </c>
      <c r="B38" s="379" t="n">
        <v>5735.7559408121</v>
      </c>
      <c r="C38" s="379" t="n">
        <v>119820.072968917</v>
      </c>
      <c r="F38" s="375" t="n">
        <v>0.12</v>
      </c>
      <c r="G38" s="379" t="n">
        <v>5709.09688915224</v>
      </c>
      <c r="J38" s="375" t="n">
        <v>0.2</v>
      </c>
      <c r="K38" s="379" t="n">
        <v>11871.2008259192</v>
      </c>
    </row>
    <row r="40" customFormat="false" ht="12.75" hidden="false" customHeight="false" outlineLevel="0" collapsed="false">
      <c r="A40" s="0" t="s">
        <v>388</v>
      </c>
      <c r="F40" s="0" t="s">
        <v>389</v>
      </c>
    </row>
    <row r="41" customFormat="false" ht="12.75" hidden="false" customHeight="false" outlineLevel="0" collapsed="false">
      <c r="A41" s="377"/>
      <c r="B41" s="0" t="s">
        <v>386</v>
      </c>
      <c r="C41" s="0" t="s">
        <v>387</v>
      </c>
      <c r="F41" s="377"/>
      <c r="G41" s="0" t="s">
        <v>386</v>
      </c>
    </row>
    <row r="42" customFormat="false" ht="12.75" hidden="false" customHeight="false" outlineLevel="0" collapsed="false">
      <c r="A42" s="366" t="n">
        <v>37104</v>
      </c>
      <c r="B42" s="379" t="n">
        <v>6288.87937654694</v>
      </c>
      <c r="C42" s="379" t="n">
        <v>123315.910041563</v>
      </c>
      <c r="F42" s="379" t="n">
        <v>2500</v>
      </c>
      <c r="G42" s="379" t="n">
        <v>5988.46532595393</v>
      </c>
    </row>
    <row r="43" customFormat="false" ht="12.75" hidden="false" customHeight="false" outlineLevel="0" collapsed="false">
      <c r="A43" s="366" t="n">
        <v>37591</v>
      </c>
      <c r="B43" s="379" t="n">
        <v>7464.82637712031</v>
      </c>
      <c r="C43" s="379" t="n">
        <v>117704.904573325</v>
      </c>
      <c r="F43" s="379" t="n">
        <v>5000</v>
      </c>
      <c r="G43" s="379" t="n">
        <v>5684.85689658581</v>
      </c>
    </row>
    <row r="44" customFormat="false" ht="12.75" hidden="false" customHeight="false" outlineLevel="0" collapsed="false">
      <c r="A44" s="366" t="n">
        <v>37316</v>
      </c>
      <c r="B44" s="379" t="n">
        <v>6928.8232560153</v>
      </c>
      <c r="C44" s="379" t="n">
        <v>121113.787051771</v>
      </c>
      <c r="F44" s="379" t="n">
        <v>7500</v>
      </c>
      <c r="G44" s="379" t="n">
        <v>5361.97380967267</v>
      </c>
    </row>
    <row r="45" customFormat="false" ht="12.75" hidden="false" customHeight="false" outlineLevel="0" collapsed="false">
      <c r="A45" s="366" t="n">
        <v>37408</v>
      </c>
      <c r="B45" s="379" t="n">
        <v>7086.5858246135</v>
      </c>
      <c r="C45" s="379" t="n">
        <v>119908.883534317</v>
      </c>
      <c r="F45" s="379" t="n">
        <v>10000</v>
      </c>
      <c r="G45" s="379" t="n">
        <v>5053.55116768768</v>
      </c>
    </row>
    <row r="46" customFormat="false" ht="12.75" hidden="false" customHeight="false" outlineLevel="0" collapsed="false">
      <c r="A46" s="366" t="n">
        <v>37500</v>
      </c>
      <c r="B46" s="379" t="n">
        <v>7313.97332637243</v>
      </c>
      <c r="C46" s="379" t="n">
        <v>119007.43893471</v>
      </c>
      <c r="F46" s="379" t="n">
        <v>12500</v>
      </c>
      <c r="G46" s="379" t="n">
        <v>4745.4896187755</v>
      </c>
    </row>
    <row r="48" customFormat="false" ht="12.75" hidden="false" customHeight="false" outlineLevel="0" collapsed="false">
      <c r="A48" s="0" t="s">
        <v>390</v>
      </c>
    </row>
    <row r="50" customFormat="false" ht="25.5" hidden="false" customHeight="false" outlineLevel="0" collapsed="false">
      <c r="A50" s="381"/>
      <c r="B50" s="382"/>
      <c r="C50" s="383" t="s">
        <v>391</v>
      </c>
      <c r="D50" s="383" t="s">
        <v>392</v>
      </c>
      <c r="E50" s="383" t="s">
        <v>393</v>
      </c>
      <c r="F50" s="383" t="s">
        <v>394</v>
      </c>
      <c r="G50" s="383" t="s">
        <v>395</v>
      </c>
    </row>
    <row r="51" customFormat="false" ht="13.5" hidden="false" customHeight="false" outlineLevel="0" collapsed="false">
      <c r="A51" s="384"/>
      <c r="B51" s="384"/>
      <c r="C51" s="385" t="s">
        <v>396</v>
      </c>
      <c r="D51" s="385" t="s">
        <v>397</v>
      </c>
      <c r="E51" s="385" t="s">
        <v>396</v>
      </c>
      <c r="F51" s="385" t="s">
        <v>396</v>
      </c>
      <c r="G51" s="385" t="s">
        <v>398</v>
      </c>
    </row>
    <row r="52" customFormat="false" ht="12.75" hidden="false" customHeight="false" outlineLevel="0" collapsed="false">
      <c r="A52" s="0" t="s">
        <v>399</v>
      </c>
      <c r="C52" s="386" t="n">
        <f aca="false">300/430</f>
        <v>0.697674418604651</v>
      </c>
      <c r="D52" s="386" t="n">
        <f aca="false">234/319</f>
        <v>0.733542319749216</v>
      </c>
      <c r="E52" s="386" t="n">
        <f aca="false">118.5/305</f>
        <v>0.388524590163934</v>
      </c>
      <c r="F52" s="386" t="n">
        <f aca="false">188.1/312.6</f>
        <v>0.601727447216891</v>
      </c>
      <c r="G52" s="375" t="n">
        <f aca="false">+AVERAGE(CommonSize!I33:AA33)</f>
        <v>0.840637940015544</v>
      </c>
    </row>
    <row r="53" customFormat="false" ht="12.75" hidden="false" customHeight="false" outlineLevel="0" collapsed="false">
      <c r="A53" s="0" t="s">
        <v>400</v>
      </c>
      <c r="C53" s="386" t="n">
        <f aca="false">146/430</f>
        <v>0.33953488372093</v>
      </c>
      <c r="D53" s="386" t="n">
        <v>0.2536</v>
      </c>
      <c r="E53" s="386" t="n">
        <v>0.25</v>
      </c>
      <c r="F53" s="386" t="n">
        <v>0.2518</v>
      </c>
      <c r="G53" s="375" t="n">
        <f aca="false">+AVERAGE(CommonSize!I42:AA42)</f>
        <v>0.306086546332002</v>
      </c>
    </row>
    <row r="54" customFormat="false" ht="12.75" hidden="false" customHeight="false" outlineLevel="0" collapsed="false">
      <c r="A54" s="387" t="s">
        <v>401</v>
      </c>
      <c r="B54" s="387"/>
      <c r="C54" s="388" t="n">
        <v>1.15</v>
      </c>
      <c r="D54" s="388" t="n">
        <f aca="false">173/19</f>
        <v>9.10526315789474</v>
      </c>
      <c r="E54" s="388" t="n">
        <f aca="false">91.5/46.5</f>
        <v>1.96774193548387</v>
      </c>
      <c r="F54" s="388" t="n">
        <f aca="false">101/-11</f>
        <v>-9.18181818181818</v>
      </c>
      <c r="G54" s="388" t="n">
        <f aca="false">+AVERAGE(CommonSize!I56:AA56)</f>
        <v>1.37576598851612</v>
      </c>
    </row>
    <row r="55" customFormat="false" ht="12.75" hidden="false" customHeight="false" outlineLevel="0" collapsed="false">
      <c r="A55" s="0" t="s">
        <v>402</v>
      </c>
      <c r="C55" s="380" t="n">
        <v>0.1652</v>
      </c>
      <c r="D55" s="380" t="n">
        <v>0.1584</v>
      </c>
      <c r="E55" s="380" t="n">
        <v>0.2479</v>
      </c>
      <c r="F55" s="380" t="n">
        <v>0.1456</v>
      </c>
      <c r="G55" s="375" t="n">
        <f aca="false">+AVERAGE(CommonSize!I50:AA50)</f>
        <v>0.211436210133882</v>
      </c>
    </row>
    <row r="56" customFormat="false" ht="12.75" hidden="false" customHeight="false" outlineLevel="0" collapsed="false">
      <c r="A56" s="387" t="s">
        <v>403</v>
      </c>
      <c r="B56" s="387"/>
      <c r="C56" s="389" t="n">
        <v>0.0685</v>
      </c>
      <c r="D56" s="389" t="n">
        <v>0.0439</v>
      </c>
      <c r="E56" s="389" t="n">
        <v>0.1181</v>
      </c>
      <c r="F56" s="389" t="n">
        <v>0.0557</v>
      </c>
      <c r="G56" s="390" t="n">
        <f aca="false">AVERAGE(CommonSize!I49:AA49)</f>
        <v>0.148728880879296</v>
      </c>
    </row>
    <row r="57" customFormat="false" ht="12.75" hidden="false" customHeight="false" outlineLevel="0" collapsed="false">
      <c r="A57" s="0" t="s">
        <v>404</v>
      </c>
      <c r="C57" s="391" t="n">
        <v>0.2</v>
      </c>
      <c r="D57" s="0" t="n">
        <v>0.17</v>
      </c>
      <c r="E57" s="0" t="n">
        <v>0.47</v>
      </c>
      <c r="F57" s="0" t="n">
        <v>0.22</v>
      </c>
      <c r="G57" s="391" t="n">
        <f aca="false">+AVERAGE(CommonSize!I59:AA59)</f>
        <v>0.287929513145641</v>
      </c>
    </row>
    <row r="58" customFormat="false" ht="12.75" hidden="false" customHeight="false" outlineLevel="0" collapsed="false">
      <c r="A58" s="387" t="s">
        <v>405</v>
      </c>
      <c r="B58" s="387"/>
      <c r="C58" s="387" t="n">
        <v>0.21</v>
      </c>
      <c r="D58" s="387" t="n">
        <v>0.18</v>
      </c>
      <c r="E58" s="387" t="n">
        <v>0.56</v>
      </c>
      <c r="F58" s="387" t="n">
        <v>0.24</v>
      </c>
      <c r="G58" s="388" t="n">
        <f aca="false">+AVERAGE(CommonSize!I61:AA61)</f>
        <v>0.563918697229052</v>
      </c>
    </row>
    <row r="59" customFormat="false" ht="13.5" hidden="false" customHeight="false" outlineLevel="0" collapsed="false">
      <c r="A59" s="392" t="s">
        <v>406</v>
      </c>
      <c r="B59" s="392"/>
      <c r="C59" s="392" t="n">
        <v>3.79</v>
      </c>
      <c r="D59" s="392" t="n">
        <v>3.46</v>
      </c>
      <c r="E59" s="392" t="n">
        <v>7.03</v>
      </c>
      <c r="F59" s="392" t="n">
        <v>3.22</v>
      </c>
      <c r="G59" s="393" t="n">
        <f aca="false">+AVERAGE(CommonSize!I66:V66)</f>
        <v>5.09557317263849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73"/>
  <sheetViews>
    <sheetView showFormulas="false" showGridLines="true" showRowColHeaders="true" showZeros="true" rightToLeft="false" tabSelected="false" showOutlineSymbols="true" defaultGridColor="true" view="normal" topLeftCell="A41" colorId="64" zoomScale="75" zoomScaleNormal="75" zoomScalePageLayoutView="100" workbookViewId="0">
      <selection pane="topLeft" activeCell="D44" activeCellId="0" sqref="D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0.28"/>
  </cols>
  <sheetData>
    <row r="1" customFormat="false" ht="12.75" hidden="false" customHeight="false" outlineLevel="0" collapsed="false">
      <c r="A1" s="324" t="s">
        <v>407</v>
      </c>
    </row>
    <row r="2" customFormat="false" ht="12.75" hidden="false" customHeight="false" outlineLevel="0" collapsed="false">
      <c r="A2" s="324"/>
    </row>
    <row r="3" customFormat="false" ht="13.5" hidden="false" customHeight="false" outlineLevel="0" collapsed="false">
      <c r="A3" s="50" t="s">
        <v>408</v>
      </c>
      <c r="B3" s="384"/>
      <c r="C3" s="384"/>
      <c r="D3" s="384"/>
      <c r="E3" s="384"/>
      <c r="F3" s="394" t="n">
        <f aca="false">+BS_IS!G7</f>
        <v>1998</v>
      </c>
      <c r="G3" s="394" t="n">
        <f aca="false">+BS_IS!H7</f>
        <v>1999</v>
      </c>
      <c r="H3" s="394" t="n">
        <f aca="false">+BS_IS!I7</f>
        <v>2000</v>
      </c>
      <c r="I3" s="394" t="n">
        <f aca="false">+BS_IS!J7</f>
        <v>2001</v>
      </c>
      <c r="J3" s="394" t="n">
        <f aca="false">+BS_IS!K7</f>
        <v>2002</v>
      </c>
      <c r="K3" s="394" t="n">
        <f aca="false">+BS_IS!L7</f>
        <v>2003</v>
      </c>
      <c r="L3" s="394" t="n">
        <f aca="false">+BS_IS!M7</f>
        <v>2004</v>
      </c>
      <c r="M3" s="394" t="n">
        <f aca="false">+BS_IS!N7</f>
        <v>2005</v>
      </c>
      <c r="N3" s="394" t="n">
        <f aca="false">+BS_IS!O7</f>
        <v>2006</v>
      </c>
      <c r="O3" s="394" t="n">
        <f aca="false">+BS_IS!P7</f>
        <v>2007</v>
      </c>
      <c r="P3" s="394" t="n">
        <f aca="false">+BS_IS!Q7</f>
        <v>2008</v>
      </c>
      <c r="Q3" s="394" t="n">
        <f aca="false">+BS_IS!R7</f>
        <v>2009</v>
      </c>
      <c r="R3" s="394" t="n">
        <f aca="false">+BS_IS!S7</f>
        <v>2010</v>
      </c>
      <c r="S3" s="394" t="n">
        <f aca="false">+BS_IS!T7</f>
        <v>2011</v>
      </c>
      <c r="T3" s="394" t="n">
        <f aca="false">+BS_IS!U7</f>
        <v>2012</v>
      </c>
      <c r="U3" s="394" t="n">
        <f aca="false">+BS_IS!V7</f>
        <v>2013</v>
      </c>
      <c r="V3" s="394" t="n">
        <f aca="false">+BS_IS!W7</f>
        <v>2014</v>
      </c>
      <c r="W3" s="394" t="n">
        <f aca="false">+BS_IS!X7</f>
        <v>2015</v>
      </c>
      <c r="X3" s="394" t="n">
        <f aca="false">+BS_IS!Y7</f>
        <v>2016</v>
      </c>
      <c r="Y3" s="394" t="n">
        <f aca="false">+BS_IS!Z7</f>
        <v>2017</v>
      </c>
      <c r="Z3" s="394" t="n">
        <f aca="false">+BS_IS!AA7</f>
        <v>2018</v>
      </c>
      <c r="AA3" s="394" t="n">
        <f aca="false">+BS_IS!AB7</f>
        <v>2019</v>
      </c>
    </row>
    <row r="4" customFormat="false" ht="12.75" hidden="false" customHeight="false" outlineLevel="0" collapsed="false">
      <c r="A4" s="324"/>
    </row>
    <row r="5" customFormat="false" ht="12.75" hidden="false" customHeight="false" outlineLevel="0" collapsed="false">
      <c r="A5" s="395" t="s">
        <v>409</v>
      </c>
    </row>
    <row r="6" customFormat="false" ht="12.75" hidden="false" customHeight="false" outlineLevel="0" collapsed="false">
      <c r="A6" s="1" t="s">
        <v>410</v>
      </c>
      <c r="F6" s="396" t="n">
        <f aca="false">+BS_IS!G9/BS_IS!G18</f>
        <v>0</v>
      </c>
      <c r="G6" s="396" t="n">
        <f aca="false">+BS_IS!H9/BS_IS!H18</f>
        <v>0</v>
      </c>
      <c r="H6" s="396" t="n">
        <f aca="false">+BS_IS!I9/BS_IS!I18</f>
        <v>0</v>
      </c>
      <c r="I6" s="396" t="n">
        <f aca="false">+BS_IS!J9/BS_IS!J18</f>
        <v>0</v>
      </c>
      <c r="J6" s="396" t="n">
        <f aca="false">+BS_IS!K9/BS_IS!K18</f>
        <v>0</v>
      </c>
      <c r="K6" s="396" t="n">
        <f aca="false">+BS_IS!L9/BS_IS!L18</f>
        <v>0</v>
      </c>
      <c r="L6" s="396" t="n">
        <f aca="false">+BS_IS!M9/BS_IS!M18</f>
        <v>0</v>
      </c>
      <c r="M6" s="396" t="n">
        <f aca="false">+BS_IS!N9/BS_IS!N18</f>
        <v>0</v>
      </c>
      <c r="N6" s="396" t="n">
        <f aca="false">+BS_IS!O9/BS_IS!O18</f>
        <v>0</v>
      </c>
      <c r="O6" s="396" t="n">
        <f aca="false">+BS_IS!P9/BS_IS!P18</f>
        <v>0</v>
      </c>
      <c r="P6" s="396" t="n">
        <f aca="false">+BS_IS!Q9/BS_IS!Q18</f>
        <v>0</v>
      </c>
      <c r="Q6" s="396" t="n">
        <f aca="false">+BS_IS!R9/BS_IS!R18</f>
        <v>0</v>
      </c>
      <c r="R6" s="396" t="n">
        <f aca="false">+BS_IS!S9/BS_IS!S18</f>
        <v>0</v>
      </c>
      <c r="S6" s="396" t="n">
        <f aca="false">+BS_IS!T9/BS_IS!T18</f>
        <v>0</v>
      </c>
      <c r="T6" s="396" t="n">
        <f aca="false">+BS_IS!U9/BS_IS!U18</f>
        <v>0</v>
      </c>
      <c r="U6" s="396" t="n">
        <f aca="false">+BS_IS!V9/BS_IS!V18</f>
        <v>0</v>
      </c>
      <c r="V6" s="396" t="n">
        <f aca="false">+BS_IS!W9/BS_IS!W18</f>
        <v>0</v>
      </c>
      <c r="W6" s="396" t="n">
        <f aca="false">+BS_IS!X9/BS_IS!X18</f>
        <v>0</v>
      </c>
      <c r="X6" s="396" t="n">
        <f aca="false">+BS_IS!Y9/BS_IS!Y18</f>
        <v>0</v>
      </c>
      <c r="Y6" s="396" t="n">
        <f aca="false">+BS_IS!Z9/BS_IS!Z18</f>
        <v>0</v>
      </c>
      <c r="Z6" s="396" t="n">
        <f aca="false">+BS_IS!AA9/BS_IS!AA18</f>
        <v>0</v>
      </c>
      <c r="AA6" s="396" t="n">
        <f aca="false">+BS_IS!AB9/BS_IS!AB18</f>
        <v>0</v>
      </c>
    </row>
    <row r="7" customFormat="false" ht="12.75" hidden="false" customHeight="false" outlineLevel="0" collapsed="false">
      <c r="A7" s="1" t="s">
        <v>411</v>
      </c>
      <c r="F7" s="396" t="n">
        <f aca="false">+BS_IS!G10/BS_IS!G18</f>
        <v>0.0795522866519369</v>
      </c>
      <c r="G7" s="396" t="n">
        <f aca="false">+BS_IS!H10/BS_IS!H18</f>
        <v>0.078672006987312</v>
      </c>
      <c r="H7" s="396" t="n">
        <f aca="false">+BS_IS!I10/BS_IS!I18</f>
        <v>0.0761141583946468</v>
      </c>
      <c r="I7" s="396" t="n">
        <f aca="false">+BS_IS!J10/BS_IS!J18</f>
        <v>0.0641240312841508</v>
      </c>
      <c r="J7" s="396" t="n">
        <f aca="false">+BS_IS!K10/BS_IS!K18</f>
        <v>0.0453631536278791</v>
      </c>
      <c r="K7" s="396" t="n">
        <f aca="false">+BS_IS!L10/BS_IS!L18</f>
        <v>0.0248583123624861</v>
      </c>
      <c r="L7" s="396" t="n">
        <f aca="false">+BS_IS!M10/BS_IS!M18</f>
        <v>0.00159646933941992</v>
      </c>
      <c r="M7" s="396" t="n">
        <f aca="false">+BS_IS!N10/BS_IS!N18</f>
        <v>0</v>
      </c>
      <c r="N7" s="396" t="n">
        <f aca="false">+BS_IS!O10/BS_IS!O18</f>
        <v>0</v>
      </c>
      <c r="O7" s="396" t="n">
        <f aca="false">+BS_IS!P10/BS_IS!P18</f>
        <v>0</v>
      </c>
      <c r="P7" s="396" t="n">
        <f aca="false">+BS_IS!Q10/BS_IS!Q18</f>
        <v>0</v>
      </c>
      <c r="Q7" s="396" t="n">
        <f aca="false">+BS_IS!R10/BS_IS!R18</f>
        <v>0</v>
      </c>
      <c r="R7" s="396" t="n">
        <f aca="false">+BS_IS!S10/BS_IS!S18</f>
        <v>0</v>
      </c>
      <c r="S7" s="396" t="n">
        <f aca="false">+BS_IS!T10/BS_IS!T18</f>
        <v>0</v>
      </c>
      <c r="T7" s="396" t="n">
        <f aca="false">+BS_IS!U10/BS_IS!U18</f>
        <v>0</v>
      </c>
      <c r="U7" s="396" t="n">
        <f aca="false">+BS_IS!V10/BS_IS!V18</f>
        <v>0</v>
      </c>
      <c r="V7" s="396" t="n">
        <f aca="false">+BS_IS!W10/BS_IS!W18</f>
        <v>0</v>
      </c>
      <c r="W7" s="396" t="n">
        <f aca="false">+BS_IS!X10/BS_IS!X18</f>
        <v>0</v>
      </c>
      <c r="X7" s="396" t="n">
        <f aca="false">+BS_IS!Y10/BS_IS!Y18</f>
        <v>0</v>
      </c>
      <c r="Y7" s="396" t="n">
        <f aca="false">+BS_IS!Z10/BS_IS!Z18</f>
        <v>0</v>
      </c>
      <c r="Z7" s="397" t="n">
        <f aca="false">+BS_IS!AA10/BS_IS!AA18</f>
        <v>0</v>
      </c>
      <c r="AA7" s="396" t="n">
        <f aca="false">+BS_IS!AB10/BS_IS!AB18</f>
        <v>0</v>
      </c>
    </row>
    <row r="8" customFormat="false" ht="12.75" hidden="false" customHeight="false" outlineLevel="0" collapsed="false">
      <c r="A8" s="1" t="s">
        <v>412</v>
      </c>
      <c r="F8" s="396" t="n">
        <f aca="false">+BS_IS!G11/BS_IS!G18</f>
        <v>-0</v>
      </c>
      <c r="G8" s="396" t="n">
        <f aca="false">+BS_IS!H11/BS_IS!H18</f>
        <v>-0</v>
      </c>
      <c r="H8" s="396" t="n">
        <f aca="false">+BS_IS!I11/BS_IS!I18</f>
        <v>-0</v>
      </c>
      <c r="I8" s="396" t="n">
        <f aca="false">+BS_IS!J11/BS_IS!J18</f>
        <v>0.00142536358734154</v>
      </c>
      <c r="J8" s="396" t="n">
        <f aca="false">+BS_IS!K11/BS_IS!K18</f>
        <v>0.00147409828411553</v>
      </c>
      <c r="K8" s="396" t="n">
        <f aca="false">+BS_IS!L11/BS_IS!L18</f>
        <v>0.00154180466298655</v>
      </c>
      <c r="L8" s="396" t="n">
        <f aca="false">+BS_IS!M11/BS_IS!M18</f>
        <v>0.00159720980389717</v>
      </c>
      <c r="M8" s="396" t="n">
        <f aca="false">+BS_IS!N11/BS_IS!N18</f>
        <v>0.00166614251878418</v>
      </c>
      <c r="N8" s="396" t="n">
        <f aca="false">+BS_IS!O11/BS_IS!O18</f>
        <v>0.0017146252547916</v>
      </c>
      <c r="O8" s="396" t="n">
        <f aca="false">+BS_IS!P11/BS_IS!P18</f>
        <v>0.00182339870209823</v>
      </c>
      <c r="P8" s="396" t="n">
        <f aca="false">+BS_IS!Q11/BS_IS!Q18</f>
        <v>0.00189917203392772</v>
      </c>
      <c r="Q8" s="396" t="n">
        <f aca="false">+BS_IS!R11/BS_IS!R18</f>
        <v>0.00192827782146253</v>
      </c>
      <c r="R8" s="396" t="n">
        <f aca="false">+BS_IS!S11/BS_IS!S18</f>
        <v>0.00195196353377513</v>
      </c>
      <c r="S8" s="396" t="n">
        <f aca="false">+BS_IS!T11/BS_IS!T18</f>
        <v>0.00201681717471078</v>
      </c>
      <c r="T8" s="396" t="n">
        <f aca="false">+BS_IS!U11/BS_IS!U18</f>
        <v>0.00220518979853524</v>
      </c>
      <c r="U8" s="396" t="n">
        <f aca="false">+BS_IS!V11/BS_IS!V18</f>
        <v>0.00242229246293111</v>
      </c>
      <c r="V8" s="396" t="n">
        <f aca="false">+BS_IS!W11/BS_IS!W18</f>
        <v>0.00269180281303894</v>
      </c>
      <c r="W8" s="396" t="n">
        <f aca="false">+BS_IS!X11/BS_IS!X18</f>
        <v>0.00293509480261858</v>
      </c>
      <c r="X8" s="396" t="n">
        <f aca="false">+BS_IS!Y11/BS_IS!Y18</f>
        <v>0.0029692233652666</v>
      </c>
      <c r="Y8" s="396" t="n">
        <f aca="false">+BS_IS!Z11/BS_IS!Z18</f>
        <v>0.00300250101027441</v>
      </c>
      <c r="Z8" s="397" t="n">
        <f aca="false">+BS_IS!AA11/BS_IS!AA18</f>
        <v>0.00303470172645022</v>
      </c>
      <c r="AA8" s="396" t="n">
        <f aca="false">+BS_IS!AB11/BS_IS!AB18</f>
        <v>0.0163538074072093</v>
      </c>
    </row>
    <row r="9" customFormat="false" ht="12.75" hidden="false" customHeight="false" outlineLevel="0" collapsed="false">
      <c r="A9" s="1" t="s">
        <v>413</v>
      </c>
      <c r="F9" s="396" t="n">
        <f aca="false">+BS_IS!G12/BS_IS!G18</f>
        <v>-0</v>
      </c>
      <c r="G9" s="396" t="n">
        <f aca="false">+BS_IS!H12/BS_IS!H18</f>
        <v>-0</v>
      </c>
      <c r="H9" s="396" t="n">
        <f aca="false">+BS_IS!I12/BS_IS!I18</f>
        <v>-0</v>
      </c>
      <c r="I9" s="396" t="n">
        <f aca="false">+BS_IS!J12/BS_IS!J18</f>
        <v>0.0390550967221636</v>
      </c>
      <c r="J9" s="396" t="n">
        <f aca="false">+BS_IS!K12/BS_IS!K18</f>
        <v>0.0754662820301895</v>
      </c>
      <c r="K9" s="396" t="n">
        <f aca="false">+BS_IS!L12/BS_IS!L18</f>
        <v>0.10612283952216</v>
      </c>
      <c r="L9" s="396" t="n">
        <f aca="false">+BS_IS!M12/BS_IS!M18</f>
        <v>0.150504816863233</v>
      </c>
      <c r="M9" s="396" t="n">
        <f aca="false">+BS_IS!N12/BS_IS!N18</f>
        <v>0.170115312281103</v>
      </c>
      <c r="N9" s="396" t="n">
        <f aca="false">+BS_IS!O12/BS_IS!O18</f>
        <v>0.202163507363903</v>
      </c>
      <c r="O9" s="396" t="n">
        <f aca="false">+BS_IS!P12/BS_IS!P18</f>
        <v>0.211311754297023</v>
      </c>
      <c r="P9" s="396" t="n">
        <f aca="false">+BS_IS!Q12/BS_IS!Q18</f>
        <v>0.240782307549106</v>
      </c>
      <c r="Q9" s="396" t="n">
        <f aca="false">+BS_IS!R12/BS_IS!R18</f>
        <v>0.292346206141802</v>
      </c>
      <c r="R9" s="396" t="n">
        <f aca="false">+BS_IS!S12/BS_IS!S18</f>
        <v>0.347629445665294</v>
      </c>
      <c r="S9" s="396" t="n">
        <f aca="false">+BS_IS!T12/BS_IS!T18</f>
        <v>0.392055727114327</v>
      </c>
      <c r="T9" s="396" t="n">
        <f aca="false">+BS_IS!U12/BS_IS!U18</f>
        <v>0.407548248564166</v>
      </c>
      <c r="U9" s="396" t="n">
        <f aca="false">+BS_IS!V12/BS_IS!V18</f>
        <v>0.428611537559385</v>
      </c>
      <c r="V9" s="396" t="n">
        <f aca="false">+BS_IS!W12/BS_IS!W18</f>
        <v>0.453261249815993</v>
      </c>
      <c r="W9" s="396" t="n">
        <f aca="false">+BS_IS!X12/BS_IS!X18</f>
        <v>0.500043333530661</v>
      </c>
      <c r="X9" s="396" t="n">
        <f aca="false">+BS_IS!Y12/BS_IS!Y18</f>
        <v>0.591546247096811</v>
      </c>
      <c r="Y9" s="396" t="n">
        <f aca="false">+BS_IS!Z12/BS_IS!Z18</f>
        <v>0.685375453268691</v>
      </c>
      <c r="Z9" s="396" t="n">
        <f aca="false">+BS_IS!AA12/BS_IS!AA18</f>
        <v>0.781463561206323</v>
      </c>
      <c r="AA9" s="396" t="n">
        <f aca="false">+BS_IS!AB12/BS_IS!AB18</f>
        <v>0.000986877936922628</v>
      </c>
    </row>
    <row r="10" customFormat="false" ht="12.75" hidden="false" customHeight="false" outlineLevel="0" collapsed="false">
      <c r="A10" s="1" t="s">
        <v>414</v>
      </c>
      <c r="F10" s="396" t="n">
        <f aca="false">+BS_IS!G16/BS_IS!G18</f>
        <v>0.920447713348063</v>
      </c>
      <c r="G10" s="396" t="n">
        <f aca="false">+BS_IS!H16/BS_IS!H18</f>
        <v>0.921327993012688</v>
      </c>
      <c r="H10" s="396" t="n">
        <f aca="false">+BS_IS!I16/BS_IS!I18</f>
        <v>0.923885841605353</v>
      </c>
      <c r="I10" s="396" t="n">
        <f aca="false">+BS_IS!J16/BS_IS!J18</f>
        <v>0.895395508406344</v>
      </c>
      <c r="J10" s="396" t="n">
        <f aca="false">+BS_IS!K16/BS_IS!K18</f>
        <v>0.877696466057816</v>
      </c>
      <c r="K10" s="396" t="n">
        <f aca="false">+BS_IS!L16/BS_IS!L18</f>
        <v>0.867477043452367</v>
      </c>
      <c r="L10" s="396" t="n">
        <f aca="false">+BS_IS!M16/BS_IS!M18</f>
        <v>0.84630150399345</v>
      </c>
      <c r="M10" s="396" t="n">
        <f aca="false">+BS_IS!N16/BS_IS!N18</f>
        <v>0.828218545200113</v>
      </c>
      <c r="N10" s="396" t="n">
        <f aca="false">+BS_IS!O16/BS_IS!O18</f>
        <v>0.796121867381305</v>
      </c>
      <c r="O10" s="396" t="n">
        <f aca="false">+BS_IS!P16/BS_IS!P18</f>
        <v>0.786864847000879</v>
      </c>
      <c r="P10" s="396" t="n">
        <f aca="false">+BS_IS!Q16/BS_IS!Q18</f>
        <v>0.757318520416967</v>
      </c>
      <c r="Q10" s="396" t="n">
        <f aca="false">+BS_IS!R16/BS_IS!R18</f>
        <v>0.705725516036735</v>
      </c>
      <c r="R10" s="396" t="n">
        <f aca="false">+BS_IS!S16/BS_IS!S18</f>
        <v>0.650418590800931</v>
      </c>
      <c r="S10" s="396" t="n">
        <f aca="false">+BS_IS!T16/BS_IS!T18</f>
        <v>0.605927455710962</v>
      </c>
      <c r="T10" s="396" t="n">
        <f aca="false">+BS_IS!U16/BS_IS!U18</f>
        <v>0.590246561637299</v>
      </c>
      <c r="U10" s="396" t="n">
        <f aca="false">+BS_IS!V16/BS_IS!V18</f>
        <v>0.568966169977684</v>
      </c>
      <c r="V10" s="396" t="n">
        <f aca="false">+BS_IS!W16/BS_IS!W18</f>
        <v>0.544046947370968</v>
      </c>
      <c r="W10" s="396" t="n">
        <f aca="false">+BS_IS!X16/BS_IS!X18</f>
        <v>0.497021571666721</v>
      </c>
      <c r="X10" s="396" t="n">
        <f aca="false">+BS_IS!Y16/BS_IS!Y18</f>
        <v>0.405484529537922</v>
      </c>
      <c r="Y10" s="396" t="n">
        <f aca="false">+BS_IS!Z16/BS_IS!Z18</f>
        <v>0.311622045721035</v>
      </c>
      <c r="Z10" s="396" t="n">
        <f aca="false">+BS_IS!AA16/BS_IS!AA18</f>
        <v>0.215501737067226</v>
      </c>
      <c r="AA10" s="396" t="n">
        <f aca="false">+BS_IS!AB16/BS_IS!AB18</f>
        <v>0.982659314655868</v>
      </c>
    </row>
    <row r="11" customFormat="false" ht="12.75" hidden="false" customHeight="false" outlineLevel="0" collapsed="false">
      <c r="A11" s="1" t="s">
        <v>415</v>
      </c>
      <c r="F11" s="396" t="n">
        <f aca="false">+BS_IS!G17/BS_IS!G18</f>
        <v>0</v>
      </c>
      <c r="G11" s="396" t="n">
        <f aca="false">+BS_IS!H17/BS_IS!H18</f>
        <v>0</v>
      </c>
      <c r="H11" s="396" t="n">
        <f aca="false">+BS_IS!I17/BS_IS!I18</f>
        <v>0</v>
      </c>
      <c r="I11" s="396" t="n">
        <f aca="false">+BS_IS!J17/BS_IS!J18</f>
        <v>0</v>
      </c>
      <c r="J11" s="396" t="n">
        <f aca="false">+BS_IS!K17/BS_IS!K18</f>
        <v>0</v>
      </c>
      <c r="K11" s="396" t="n">
        <f aca="false">+BS_IS!L17/BS_IS!L18</f>
        <v>0</v>
      </c>
      <c r="L11" s="396" t="n">
        <f aca="false">+BS_IS!M17/BS_IS!M18</f>
        <v>0</v>
      </c>
      <c r="M11" s="396" t="n">
        <f aca="false">+BS_IS!N17/BS_IS!N18</f>
        <v>0</v>
      </c>
      <c r="N11" s="396" t="n">
        <f aca="false">+BS_IS!O17/BS_IS!O18</f>
        <v>0</v>
      </c>
      <c r="O11" s="396" t="n">
        <f aca="false">+BS_IS!P17/BS_IS!P18</f>
        <v>0</v>
      </c>
      <c r="P11" s="396" t="n">
        <f aca="false">+BS_IS!Q17/BS_IS!Q18</f>
        <v>0</v>
      </c>
      <c r="Q11" s="396" t="n">
        <f aca="false">+BS_IS!R17/BS_IS!R18</f>
        <v>0</v>
      </c>
      <c r="R11" s="396" t="n">
        <f aca="false">+BS_IS!S17/BS_IS!S18</f>
        <v>0</v>
      </c>
      <c r="S11" s="396" t="n">
        <f aca="false">+BS_IS!T17/BS_IS!T18</f>
        <v>0</v>
      </c>
      <c r="T11" s="396" t="n">
        <f aca="false">+BS_IS!U17/BS_IS!U18</f>
        <v>0</v>
      </c>
      <c r="U11" s="396" t="n">
        <f aca="false">+BS_IS!V17/BS_IS!V18</f>
        <v>0</v>
      </c>
      <c r="V11" s="396" t="n">
        <f aca="false">+BS_IS!W17/BS_IS!W18</f>
        <v>0</v>
      </c>
      <c r="W11" s="396" t="n">
        <f aca="false">+BS_IS!X17/BS_IS!X18</f>
        <v>0</v>
      </c>
      <c r="X11" s="396" t="n">
        <f aca="false">+BS_IS!Y17/BS_IS!Y18</f>
        <v>0</v>
      </c>
      <c r="Y11" s="396" t="n">
        <f aca="false">+BS_IS!Z17/BS_IS!Z18</f>
        <v>0</v>
      </c>
      <c r="Z11" s="396" t="n">
        <f aca="false">+BS_IS!AA17/BS_IS!AA18</f>
        <v>0</v>
      </c>
      <c r="AA11" s="396" t="n">
        <f aca="false">+BS_IS!AB17/BS_IS!AB18</f>
        <v>0</v>
      </c>
    </row>
    <row r="12" customFormat="false" ht="13.5" hidden="false" customHeight="false" outlineLevel="0" collapsed="false">
      <c r="A12" s="369"/>
      <c r="B12" s="369"/>
      <c r="C12" s="369" t="s">
        <v>416</v>
      </c>
      <c r="D12" s="369"/>
      <c r="E12" s="369"/>
      <c r="F12" s="398" t="n">
        <f aca="false">+BS_IS!G18/BS_IS!G18</f>
        <v>1</v>
      </c>
      <c r="G12" s="398" t="n">
        <f aca="false">+BS_IS!H18/BS_IS!H18</f>
        <v>1</v>
      </c>
      <c r="H12" s="398" t="n">
        <f aca="false">+BS_IS!I18/BS_IS!I18</f>
        <v>1</v>
      </c>
      <c r="I12" s="398" t="n">
        <f aca="false">+BS_IS!J18/BS_IS!J18</f>
        <v>1</v>
      </c>
      <c r="J12" s="398" t="n">
        <f aca="false">+BS_IS!K18/BS_IS!K18</f>
        <v>1</v>
      </c>
      <c r="K12" s="398" t="n">
        <f aca="false">+BS_IS!L18/BS_IS!L18</f>
        <v>1</v>
      </c>
      <c r="L12" s="398" t="n">
        <f aca="false">+BS_IS!M18/BS_IS!M18</f>
        <v>1</v>
      </c>
      <c r="M12" s="398" t="n">
        <f aca="false">+BS_IS!N18/BS_IS!N18</f>
        <v>1</v>
      </c>
      <c r="N12" s="398" t="n">
        <f aca="false">+BS_IS!O18/BS_IS!O18</f>
        <v>1</v>
      </c>
      <c r="O12" s="398" t="n">
        <f aca="false">+BS_IS!P18/BS_IS!P18</f>
        <v>1</v>
      </c>
      <c r="P12" s="398" t="n">
        <f aca="false">+BS_IS!Q18/BS_IS!Q18</f>
        <v>1</v>
      </c>
      <c r="Q12" s="398" t="n">
        <f aca="false">+BS_IS!R18/BS_IS!R18</f>
        <v>1</v>
      </c>
      <c r="R12" s="398" t="n">
        <f aca="false">+BS_IS!S18/BS_IS!S18</f>
        <v>1</v>
      </c>
      <c r="S12" s="398" t="n">
        <f aca="false">+BS_IS!T18/BS_IS!T18</f>
        <v>1</v>
      </c>
      <c r="T12" s="398" t="n">
        <f aca="false">+BS_IS!U18/BS_IS!U18</f>
        <v>1</v>
      </c>
      <c r="U12" s="398" t="n">
        <f aca="false">+BS_IS!V18/BS_IS!V18</f>
        <v>1</v>
      </c>
      <c r="V12" s="398" t="n">
        <f aca="false">+BS_IS!W18/BS_IS!W18</f>
        <v>1</v>
      </c>
      <c r="W12" s="398" t="n">
        <f aca="false">+BS_IS!X18/BS_IS!X18</f>
        <v>1</v>
      </c>
      <c r="X12" s="398" t="n">
        <f aca="false">+BS_IS!Y18/BS_IS!Y18</f>
        <v>1</v>
      </c>
      <c r="Y12" s="398" t="n">
        <f aca="false">+BS_IS!Z18/BS_IS!Z18</f>
        <v>1</v>
      </c>
      <c r="Z12" s="398" t="n">
        <f aca="false">+BS_IS!AA18/BS_IS!AA18</f>
        <v>1</v>
      </c>
      <c r="AA12" s="398" t="n">
        <f aca="false">+BS_IS!AB18/BS_IS!AB18</f>
        <v>1</v>
      </c>
    </row>
    <row r="13" customFormat="false" ht="13.5" hidden="false" customHeight="false" outlineLevel="0" collapsed="false">
      <c r="A13" s="395" t="s">
        <v>417</v>
      </c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</row>
    <row r="14" customFormat="false" ht="12.75" hidden="false" customHeight="false" outlineLevel="0" collapsed="false">
      <c r="A14" s="1" t="s">
        <v>418</v>
      </c>
      <c r="F14" s="396" t="n">
        <f aca="false">+BS_IS!G21/BS_IS!G33</f>
        <v>0</v>
      </c>
      <c r="G14" s="396" t="n">
        <f aca="false">+BS_IS!H21/BS_IS!H33</f>
        <v>0</v>
      </c>
      <c r="H14" s="396" t="n">
        <f aca="false">+BS_IS!I21/BS_IS!I33</f>
        <v>0</v>
      </c>
      <c r="I14" s="396" t="n">
        <f aca="false">+BS_IS!J21/BS_IS!J33</f>
        <v>0</v>
      </c>
      <c r="J14" s="396" t="n">
        <f aca="false">+BS_IS!K21/BS_IS!K33</f>
        <v>0</v>
      </c>
      <c r="K14" s="396" t="n">
        <f aca="false">+BS_IS!L21/BS_IS!L33</f>
        <v>0</v>
      </c>
      <c r="L14" s="396" t="n">
        <f aca="false">+BS_IS!M21/BS_IS!M33</f>
        <v>0</v>
      </c>
      <c r="M14" s="396" t="n">
        <f aca="false">+BS_IS!N21/BS_IS!N33</f>
        <v>0</v>
      </c>
      <c r="N14" s="396" t="n">
        <f aca="false">+BS_IS!O21/BS_IS!O33</f>
        <v>0.00655342192135988</v>
      </c>
      <c r="O14" s="396" t="n">
        <f aca="false">+BS_IS!P21/BS_IS!P33</f>
        <v>0.0277511172083466</v>
      </c>
      <c r="P14" s="396" t="n">
        <f aca="false">+BS_IS!Q21/BS_IS!Q33</f>
        <v>0.0533684461494703</v>
      </c>
      <c r="Q14" s="396" t="n">
        <f aca="false">+BS_IS!R21/BS_IS!R33</f>
        <v>0.0836312285904038</v>
      </c>
      <c r="R14" s="396" t="n">
        <f aca="false">+BS_IS!S21/BS_IS!S33</f>
        <v>0.117551208402827</v>
      </c>
      <c r="S14" s="396" t="n">
        <f aca="false">+BS_IS!T21/BS_IS!T33</f>
        <v>0.146119827992295</v>
      </c>
      <c r="T14" s="396" t="n">
        <f aca="false">+BS_IS!U21/BS_IS!U33</f>
        <v>0.141602395088197</v>
      </c>
      <c r="U14" s="396" t="n">
        <f aca="false">+BS_IS!V21/BS_IS!V33</f>
        <v>0.135695604799754</v>
      </c>
      <c r="V14" s="396" t="n">
        <f aca="false">+BS_IS!W21/BS_IS!W33</f>
        <v>0.128737481660872</v>
      </c>
      <c r="W14" s="396" t="n">
        <f aca="false">+BS_IS!X21/BS_IS!X33</f>
        <v>0.116323672036604</v>
      </c>
      <c r="X14" s="396" t="n">
        <f aca="false">+BS_IS!Y21/BS_IS!Y33</f>
        <v>0.0933471833989545</v>
      </c>
      <c r="Y14" s="396" t="n">
        <f aca="false">+BS_IS!Z21/BS_IS!Z33</f>
        <v>0.0697916338361192</v>
      </c>
      <c r="Z14" s="396" t="n">
        <f aca="false">+BS_IS!AA21/BS_IS!AA33</f>
        <v>0.0456745383274274</v>
      </c>
      <c r="AA14" s="396" t="n">
        <f aca="false">+BS_IS!AB21/BS_IS!AB33</f>
        <v>0.201470741452618</v>
      </c>
    </row>
    <row r="15" customFormat="false" ht="12.75" hidden="false" customHeight="false" outlineLevel="0" collapsed="false">
      <c r="A15" s="1" t="s">
        <v>419</v>
      </c>
      <c r="F15" s="396" t="n">
        <f aca="false">+BS_IS!G22/BS_IS!G33</f>
        <v>0</v>
      </c>
      <c r="G15" s="396" t="n">
        <f aca="false">+BS_IS!H22/BS_IS!H33</f>
        <v>0.527697261247741</v>
      </c>
      <c r="H15" s="396" t="n">
        <f aca="false">+BS_IS!I22/BS_IS!I33</f>
        <v>0</v>
      </c>
      <c r="I15" s="396" t="n">
        <f aca="false">+BS_IS!J22/BS_IS!J33</f>
        <v>0</v>
      </c>
      <c r="J15" s="396" t="n">
        <f aca="false">+BS_IS!K22/BS_IS!K33</f>
        <v>0</v>
      </c>
      <c r="K15" s="396" t="n">
        <f aca="false">+BS_IS!L22/BS_IS!L33</f>
        <v>0</v>
      </c>
      <c r="L15" s="396" t="n">
        <f aca="false">+BS_IS!M22/BS_IS!M33</f>
        <v>0</v>
      </c>
      <c r="M15" s="396" t="n">
        <f aca="false">+BS_IS!N22/BS_IS!N33</f>
        <v>0</v>
      </c>
      <c r="N15" s="396" t="n">
        <f aca="false">+BS_IS!O22/BS_IS!O33</f>
        <v>0</v>
      </c>
      <c r="O15" s="396" t="n">
        <f aca="false">+BS_IS!P22/BS_IS!P33</f>
        <v>0</v>
      </c>
      <c r="P15" s="396" t="n">
        <f aca="false">+BS_IS!Q22/BS_IS!Q33</f>
        <v>0</v>
      </c>
      <c r="Q15" s="396" t="n">
        <f aca="false">+BS_IS!R22/BS_IS!R33</f>
        <v>0</v>
      </c>
      <c r="R15" s="396" t="n">
        <f aca="false">+BS_IS!S22/BS_IS!S33</f>
        <v>0</v>
      </c>
      <c r="S15" s="396" t="n">
        <f aca="false">+BS_IS!T22/BS_IS!T33</f>
        <v>0</v>
      </c>
      <c r="T15" s="396" t="n">
        <f aca="false">+BS_IS!U22/BS_IS!U33</f>
        <v>0</v>
      </c>
      <c r="U15" s="396" t="n">
        <f aca="false">+BS_IS!V22/BS_IS!V33</f>
        <v>0</v>
      </c>
      <c r="V15" s="396" t="n">
        <f aca="false">+BS_IS!W22/BS_IS!W33</f>
        <v>0</v>
      </c>
      <c r="W15" s="396" t="n">
        <f aca="false">+BS_IS!X22/BS_IS!X33</f>
        <v>0</v>
      </c>
      <c r="X15" s="396" t="n">
        <f aca="false">+BS_IS!Y22/BS_IS!Y33</f>
        <v>0</v>
      </c>
      <c r="Y15" s="396" t="n">
        <f aca="false">+BS_IS!Z22/BS_IS!Z33</f>
        <v>0</v>
      </c>
      <c r="Z15" s="396" t="n">
        <f aca="false">+BS_IS!AA22/BS_IS!AA33</f>
        <v>0</v>
      </c>
      <c r="AA15" s="396" t="n">
        <f aca="false">+BS_IS!AB22/BS_IS!AB33</f>
        <v>0</v>
      </c>
    </row>
    <row r="16" customFormat="false" ht="12.75" hidden="false" customHeight="false" outlineLevel="0" collapsed="false">
      <c r="A16" s="1" t="s">
        <v>265</v>
      </c>
      <c r="F16" s="396" t="n">
        <f aca="false">+BS_IS!G23/BS_IS!G33</f>
        <v>0</v>
      </c>
      <c r="G16" s="396" t="n">
        <f aca="false">+BS_IS!H23/BS_IS!H33</f>
        <v>0</v>
      </c>
      <c r="H16" s="396" t="n">
        <f aca="false">+BS_IS!I23/BS_IS!I33</f>
        <v>0.595741226977553</v>
      </c>
      <c r="I16" s="396" t="n">
        <f aca="false">+BS_IS!J23/BS_IS!J33</f>
        <v>0.607143050164159</v>
      </c>
      <c r="J16" s="396" t="n">
        <f aca="false">+BS_IS!K23/BS_IS!K33</f>
        <v>0.618484284933936</v>
      </c>
      <c r="K16" s="396" t="n">
        <f aca="false">+BS_IS!L23/BS_IS!L33</f>
        <v>0.630191698225323</v>
      </c>
      <c r="L16" s="396" t="n">
        <f aca="false">+BS_IS!M23/BS_IS!M33</f>
        <v>0.604241933376024</v>
      </c>
      <c r="M16" s="396" t="n">
        <f aca="false">+BS_IS!N23/BS_IS!N33</f>
        <v>0.565964273490317</v>
      </c>
      <c r="N16" s="396" t="n">
        <f aca="false">+BS_IS!O23/BS_IS!O33</f>
        <v>0.507404029515071</v>
      </c>
      <c r="O16" s="396" t="n">
        <f aca="false">+BS_IS!P23/BS_IS!P33</f>
        <v>0.453979007146318</v>
      </c>
      <c r="P16" s="396" t="n">
        <f aca="false">+BS_IS!Q23/BS_IS!Q33</f>
        <v>0.405191253675108</v>
      </c>
      <c r="Q16" s="396" t="n">
        <f aca="false">+BS_IS!R23/BS_IS!R33</f>
        <v>0.364559094497193</v>
      </c>
      <c r="R16" s="396" t="n">
        <f aca="false">+BS_IS!S23/BS_IS!S33</f>
        <v>0.321619802468706</v>
      </c>
      <c r="S16" s="396" t="n">
        <f aca="false">+BS_IS!T23/BS_IS!T33</f>
        <v>0.271887113642033</v>
      </c>
      <c r="T16" s="396" t="n">
        <f aca="false">+BS_IS!U23/BS_IS!U33</f>
        <v>0.218727144601082</v>
      </c>
      <c r="U16" s="396" t="n">
        <f aca="false">+BS_IS!V23/BS_IS!V33</f>
        <v>0.153972771610029</v>
      </c>
      <c r="V16" s="396" t="n">
        <f aca="false">+BS_IS!W23/BS_IS!W33</f>
        <v>0.0717755181957052</v>
      </c>
      <c r="W16" s="396" t="n">
        <f aca="false">+BS_IS!X23/BS_IS!X33</f>
        <v>0</v>
      </c>
      <c r="X16" s="396" t="n">
        <f aca="false">+BS_IS!Y23/BS_IS!Y33</f>
        <v>0</v>
      </c>
      <c r="Y16" s="396" t="n">
        <f aca="false">+BS_IS!Z23/BS_IS!Z33</f>
        <v>0</v>
      </c>
      <c r="Z16" s="396" t="n">
        <f aca="false">+BS_IS!AA23/BS_IS!AA33</f>
        <v>0</v>
      </c>
      <c r="AA16" s="396" t="n">
        <f aca="false">+BS_IS!AB23/BS_IS!AB33</f>
        <v>0</v>
      </c>
    </row>
    <row r="17" customFormat="false" ht="12.75" hidden="false" customHeight="false" outlineLevel="0" collapsed="false">
      <c r="A17" s="399" t="s">
        <v>267</v>
      </c>
      <c r="F17" s="396" t="n">
        <f aca="false">+BS_IS!G24/BS_IS!G33</f>
        <v>0</v>
      </c>
      <c r="G17" s="396" t="n">
        <f aca="false">+BS_IS!H24/BS_IS!H33</f>
        <v>0</v>
      </c>
      <c r="H17" s="396" t="n">
        <f aca="false">+BS_IS!I24/BS_IS!I33</f>
        <v>0.0157255402419725</v>
      </c>
      <c r="I17" s="396" t="n">
        <f aca="false">+BS_IS!J24/BS_IS!J33</f>
        <v>0.0160265095575635</v>
      </c>
      <c r="J17" s="396" t="n">
        <f aca="false">+BS_IS!K24/BS_IS!K33</f>
        <v>0.0158320635846452</v>
      </c>
      <c r="K17" s="396" t="n">
        <f aca="false">+BS_IS!L24/BS_IS!L33</f>
        <v>0.0156785058300098</v>
      </c>
      <c r="L17" s="396" t="n">
        <f aca="false">+BS_IS!M24/BS_IS!M33</f>
        <v>0.0152070669006227</v>
      </c>
      <c r="M17" s="396" t="n">
        <f aca="false">+BS_IS!N24/BS_IS!N33</f>
        <v>0.0146389668610788</v>
      </c>
      <c r="N17" s="396" t="n">
        <f aca="false">+BS_IS!O24/BS_IS!O33</f>
        <v>0.0136357757738138</v>
      </c>
      <c r="O17" s="396" t="n">
        <f aca="false">+BS_IS!P24/BS_IS!P33</f>
        <v>0.0127769793093032</v>
      </c>
      <c r="P17" s="396" t="n">
        <f aca="false">+BS_IS!Q24/BS_IS!Q33</f>
        <v>0.0112714772967275</v>
      </c>
      <c r="Q17" s="396" t="n">
        <f aca="false">+BS_IS!R24/BS_IS!R33</f>
        <v>0.00909901179684807</v>
      </c>
      <c r="R17" s="396" t="n">
        <f aca="false">+BS_IS!S24/BS_IS!S33</f>
        <v>0.00651811248356563</v>
      </c>
      <c r="S17" s="396" t="n">
        <f aca="false">+BS_IS!T24/BS_IS!T33</f>
        <v>0.00357911534367233</v>
      </c>
      <c r="T17" s="396" t="n">
        <f aca="false">+BS_IS!U24/BS_IS!U33</f>
        <v>0</v>
      </c>
      <c r="U17" s="396" t="n">
        <f aca="false">+BS_IS!V24/BS_IS!V33</f>
        <v>0</v>
      </c>
      <c r="V17" s="396" t="n">
        <f aca="false">+BS_IS!W24/BS_IS!W33</f>
        <v>0</v>
      </c>
      <c r="W17" s="396" t="n">
        <f aca="false">+BS_IS!X24/BS_IS!X33</f>
        <v>0</v>
      </c>
      <c r="X17" s="396" t="n">
        <f aca="false">+BS_IS!Y24/BS_IS!Y33</f>
        <v>0</v>
      </c>
      <c r="Y17" s="396" t="n">
        <f aca="false">+BS_IS!Z24/BS_IS!Z33</f>
        <v>0</v>
      </c>
      <c r="Z17" s="396" t="n">
        <f aca="false">+BS_IS!AA24/BS_IS!AA33</f>
        <v>0</v>
      </c>
      <c r="AA17" s="396" t="n">
        <f aca="false">+BS_IS!AB24/BS_IS!AB33</f>
        <v>0</v>
      </c>
    </row>
    <row r="18" customFormat="false" ht="13.5" hidden="false" customHeight="false" outlineLevel="0" collapsed="false">
      <c r="A18" s="369"/>
      <c r="B18" s="369"/>
      <c r="C18" s="369" t="s">
        <v>420</v>
      </c>
      <c r="D18" s="369"/>
      <c r="E18" s="369"/>
      <c r="F18" s="398" t="n">
        <f aca="false">+BS_IS!G25/BS_IS!G33</f>
        <v>0</v>
      </c>
      <c r="G18" s="398" t="n">
        <f aca="false">+BS_IS!H25/BS_IS!H33</f>
        <v>0.527697261247741</v>
      </c>
      <c r="H18" s="398" t="n">
        <f aca="false">+BS_IS!I25/BS_IS!I33</f>
        <v>0.611466767219526</v>
      </c>
      <c r="I18" s="398" t="n">
        <f aca="false">+BS_IS!J25/BS_IS!J33</f>
        <v>0.623169559721723</v>
      </c>
      <c r="J18" s="398" t="n">
        <f aca="false">+BS_IS!K25/BS_IS!K33</f>
        <v>0.634316348518582</v>
      </c>
      <c r="K18" s="398" t="n">
        <f aca="false">+BS_IS!L25/BS_IS!L33</f>
        <v>0.645870204055333</v>
      </c>
      <c r="L18" s="398" t="n">
        <f aca="false">+BS_IS!M25/BS_IS!M33</f>
        <v>0.619449000276647</v>
      </c>
      <c r="M18" s="398" t="n">
        <f aca="false">+BS_IS!N25/BS_IS!N33</f>
        <v>0.580603240351396</v>
      </c>
      <c r="N18" s="398" t="n">
        <f aca="false">+BS_IS!O25/BS_IS!O33</f>
        <v>0.527593227210245</v>
      </c>
      <c r="O18" s="398" t="n">
        <f aca="false">+BS_IS!P25/BS_IS!P33</f>
        <v>0.494507103663968</v>
      </c>
      <c r="P18" s="398" t="n">
        <f aca="false">+BS_IS!Q25/BS_IS!Q33</f>
        <v>0.469831177121306</v>
      </c>
      <c r="Q18" s="398" t="n">
        <f aca="false">+BS_IS!R25/BS_IS!R33</f>
        <v>0.457289334884445</v>
      </c>
      <c r="R18" s="398" t="n">
        <f aca="false">+BS_IS!S25/BS_IS!S33</f>
        <v>0.445689123355099</v>
      </c>
      <c r="S18" s="398" t="n">
        <f aca="false">+BS_IS!T25/BS_IS!T33</f>
        <v>0.421586056978</v>
      </c>
      <c r="T18" s="398" t="n">
        <f aca="false">+BS_IS!U25/BS_IS!U33</f>
        <v>0.360329539689279</v>
      </c>
      <c r="U18" s="398" t="n">
        <f aca="false">+BS_IS!V25/BS_IS!V33</f>
        <v>0.289668376409783</v>
      </c>
      <c r="V18" s="398" t="n">
        <f aca="false">+BS_IS!W25/BS_IS!W33</f>
        <v>0.200512999856577</v>
      </c>
      <c r="W18" s="398" t="n">
        <f aca="false">+BS_IS!X25/BS_IS!X33</f>
        <v>0.116323672036604</v>
      </c>
      <c r="X18" s="398" t="n">
        <f aca="false">+BS_IS!Y25/BS_IS!Y33</f>
        <v>0.0933471833989545</v>
      </c>
      <c r="Y18" s="398" t="n">
        <f aca="false">+BS_IS!Z25/BS_IS!Z33</f>
        <v>0.0697916338361192</v>
      </c>
      <c r="Z18" s="398" t="n">
        <f aca="false">+BS_IS!AA25/BS_IS!AA33</f>
        <v>0.0456745383274274</v>
      </c>
      <c r="AA18" s="398" t="n">
        <f aca="false">+BS_IS!AB25/BS_IS!AB33</f>
        <v>0.201470741452618</v>
      </c>
    </row>
    <row r="19" customFormat="false" ht="13.5" hidden="false" customHeight="false" outlineLevel="0" collapsed="false">
      <c r="A19" s="395" t="s">
        <v>421</v>
      </c>
      <c r="F19" s="396"/>
      <c r="G19" s="396"/>
      <c r="H19" s="396"/>
      <c r="I19" s="396"/>
      <c r="J19" s="396"/>
      <c r="K19" s="396"/>
      <c r="L19" s="396"/>
      <c r="M19" s="396"/>
      <c r="N19" s="396"/>
      <c r="O19" s="396"/>
      <c r="P19" s="396"/>
      <c r="Q19" s="396"/>
      <c r="R19" s="396"/>
      <c r="S19" s="396"/>
      <c r="T19" s="396"/>
      <c r="U19" s="396"/>
      <c r="V19" s="396"/>
      <c r="W19" s="396"/>
      <c r="X19" s="396"/>
      <c r="Y19" s="396"/>
      <c r="Z19" s="396"/>
      <c r="AA19" s="396"/>
    </row>
    <row r="20" customFormat="false" ht="12.75" hidden="false" customHeight="false" outlineLevel="0" collapsed="false">
      <c r="A20" s="1" t="s">
        <v>422</v>
      </c>
      <c r="F20" s="396" t="n">
        <f aca="false">+BS_IS!G28/BS_IS!G33</f>
        <v>1</v>
      </c>
      <c r="G20" s="396" t="n">
        <f aca="false">+BS_IS!H28/BS_IS!H33</f>
        <v>0.472302738752259</v>
      </c>
      <c r="H20" s="396" t="n">
        <f aca="false">+BS_IS!I28/BS_IS!I33</f>
        <v>0.388533232780475</v>
      </c>
      <c r="I20" s="396" t="n">
        <f aca="false">+BS_IS!J28/BS_IS!J33</f>
        <v>0.388735523885209</v>
      </c>
      <c r="J20" s="396" t="n">
        <f aca="false">+BS_IS!K28/BS_IS!K33</f>
        <v>0.402026804825786</v>
      </c>
      <c r="K20" s="396" t="n">
        <f aca="false">+BS_IS!L28/BS_IS!L33</f>
        <v>0.420492180884595</v>
      </c>
      <c r="L20" s="396" t="n">
        <f aca="false">+BS_IS!M28/BS_IS!M33</f>
        <v>0.435602673862738</v>
      </c>
      <c r="M20" s="396" t="n">
        <f aca="false">+BS_IS!N28/BS_IS!N33</f>
        <v>0.454402505198691</v>
      </c>
      <c r="N20" s="396" t="n">
        <f aca="false">+BS_IS!O28/BS_IS!O33</f>
        <v>0.467625069566557</v>
      </c>
      <c r="O20" s="396" t="n">
        <f aca="false">+BS_IS!P28/BS_IS!P33</f>
        <v>0.497290555200581</v>
      </c>
      <c r="P20" s="396" t="n">
        <f aca="false">+BS_IS!Q28/BS_IS!Q33</f>
        <v>0.517956009339342</v>
      </c>
      <c r="Q20" s="396" t="n">
        <f aca="false">+BS_IS!R28/BS_IS!R33</f>
        <v>0.525893951395611</v>
      </c>
      <c r="R20" s="396" t="n">
        <f aca="false">+BS_IS!S28/BS_IS!S33</f>
        <v>0.532353691118308</v>
      </c>
      <c r="S20" s="396" t="n">
        <f aca="false">+BS_IS!T28/BS_IS!T33</f>
        <v>0.55004104774007</v>
      </c>
      <c r="T20" s="396" t="n">
        <f aca="false">+BS_IS!U28/BS_IS!U33</f>
        <v>0.601415399700755</v>
      </c>
      <c r="U20" s="396" t="n">
        <f aca="false">+BS_IS!V28/BS_IS!V33</f>
        <v>0.660625217273134</v>
      </c>
      <c r="V20" s="396" t="n">
        <f aca="false">+BS_IS!W28/BS_IS!W33</f>
        <v>0.734128040042065</v>
      </c>
      <c r="W20" s="396" t="n">
        <f aca="false">+BS_IS!X28/BS_IS!X33</f>
        <v>0.800480400847571</v>
      </c>
      <c r="X20" s="396" t="n">
        <f aca="false">+BS_IS!Y28/BS_IS!Y33</f>
        <v>0.809788190662219</v>
      </c>
      <c r="Y20" s="396" t="n">
        <f aca="false">+BS_IS!Z28/BS_IS!Z33</f>
        <v>0.818863912029497</v>
      </c>
      <c r="Z20" s="396" t="n">
        <f aca="false">+BS_IS!AA28/BS_IS!AA33</f>
        <v>0.827645925533457</v>
      </c>
      <c r="AA20" s="396" t="n">
        <f aca="false">+BS_IS!AB28/BS_IS!AB33</f>
        <v>4.46012929361862</v>
      </c>
    </row>
    <row r="21" customFormat="false" ht="12.75" hidden="false" customHeight="false" outlineLevel="0" collapsed="false">
      <c r="A21" s="1" t="s">
        <v>423</v>
      </c>
      <c r="F21" s="396" t="n">
        <f aca="false">+BS_IS!G29/BS_IS!G33</f>
        <v>0</v>
      </c>
      <c r="G21" s="396" t="n">
        <f aca="false">+BS_IS!H29/BS_IS!H33</f>
        <v>0</v>
      </c>
      <c r="H21" s="396" t="n">
        <f aca="false">+BS_IS!I29/BS_IS!I33</f>
        <v>0</v>
      </c>
      <c r="I21" s="396" t="n">
        <f aca="false">+BS_IS!J29/BS_IS!J33</f>
        <v>-0.011905083606932</v>
      </c>
      <c r="J21" s="396" t="n">
        <f aca="false">+BS_IS!K29/BS_IS!K33</f>
        <v>-0.0363431533443675</v>
      </c>
      <c r="K21" s="396" t="n">
        <f aca="false">+BS_IS!L29/BS_IS!L33</f>
        <v>-0.0663623849399274</v>
      </c>
      <c r="L21" s="396" t="n">
        <f aca="false">+BS_IS!M29/BS_IS!M33</f>
        <v>-0.0550516741393845</v>
      </c>
      <c r="M21" s="396" t="n">
        <f aca="false">+BS_IS!N29/BS_IS!N33</f>
        <v>-0.035005745550087</v>
      </c>
      <c r="N21" s="396" t="n">
        <f aca="false">+BS_IS!O29/BS_IS!O33</f>
        <v>0.0197637356039714</v>
      </c>
      <c r="O21" s="396" t="n">
        <f aca="false">+BS_IS!P29/BS_IS!P33</f>
        <v>0.0833633854480211</v>
      </c>
      <c r="P21" s="396" t="n">
        <f aca="false">+BS_IS!Q29/BS_IS!Q33</f>
        <v>0.160219944847523</v>
      </c>
      <c r="Q21" s="396" t="n">
        <f aca="false">+BS_IS!R29/BS_IS!R33</f>
        <v>0.251010048572293</v>
      </c>
      <c r="R21" s="396" t="n">
        <f aca="false">+BS_IS!S29/BS_IS!S33</f>
        <v>0.352771417334632</v>
      </c>
      <c r="S21" s="396" t="n">
        <f aca="false">+BS_IS!T29/BS_IS!T33</f>
        <v>0.478215908375244</v>
      </c>
      <c r="T21" s="396" t="n">
        <f aca="false">+BS_IS!U29/BS_IS!U33</f>
        <v>0.667523928331582</v>
      </c>
      <c r="U21" s="396" t="n">
        <f aca="false">+BS_IS!V29/BS_IS!V33</f>
        <v>0.886944282382699</v>
      </c>
      <c r="V21" s="396" t="n">
        <f aca="false">+BS_IS!W29/BS_IS!W33</f>
        <v>1.18806981408316</v>
      </c>
      <c r="W21" s="396" t="n">
        <f aca="false">+BS_IS!X29/BS_IS!X33</f>
        <v>1.5340437447258</v>
      </c>
      <c r="X21" s="396" t="n">
        <f aca="false">+BS_IS!Y29/BS_IS!Y33</f>
        <v>1.80590756888616</v>
      </c>
      <c r="Y21" s="396" t="n">
        <f aca="false">+BS_IS!Z29/BS_IS!Z33</f>
        <v>2.09403163269071</v>
      </c>
      <c r="Z21" s="396" t="n">
        <f aca="false">+BS_IS!AA29/BS_IS!AA33</f>
        <v>2.39930842562475</v>
      </c>
      <c r="AA21" s="396" t="n">
        <f aca="false">+BS_IS!AB29/BS_IS!AB33</f>
        <v>13.4384646118193</v>
      </c>
    </row>
    <row r="22" customFormat="false" ht="12.75" hidden="false" customHeight="false" outlineLevel="0" collapsed="false">
      <c r="A22" s="1" t="s">
        <v>424</v>
      </c>
      <c r="F22" s="396" t="n">
        <f aca="false">+BS_IS!G30/BS_IS!G33</f>
        <v>0</v>
      </c>
      <c r="G22" s="396" t="n">
        <f aca="false">+BS_IS!H30/BS_IS!H33</f>
        <v>0</v>
      </c>
      <c r="H22" s="396" t="n">
        <f aca="false">+BS_IS!I30/BS_IS!I33</f>
        <v>0</v>
      </c>
      <c r="I22" s="396" t="n">
        <f aca="false">+BS_IS!J30/BS_IS!J33</f>
        <v>0</v>
      </c>
      <c r="J22" s="396" t="n">
        <f aca="false">+BS_IS!K30/BS_IS!K33</f>
        <v>0</v>
      </c>
      <c r="K22" s="396" t="n">
        <f aca="false">+BS_IS!L30/BS_IS!L33</f>
        <v>0</v>
      </c>
      <c r="L22" s="396" t="n">
        <f aca="false">+BS_IS!M30/BS_IS!M33</f>
        <v>0</v>
      </c>
      <c r="M22" s="396" t="n">
        <f aca="false">+BS_IS!N30/BS_IS!N33</f>
        <v>0</v>
      </c>
      <c r="N22" s="396" t="n">
        <f aca="false">+BS_IS!O30/BS_IS!O33</f>
        <v>-0.0149820323807727</v>
      </c>
      <c r="O22" s="396" t="n">
        <f aca="false">+BS_IS!P30/BS_IS!P33</f>
        <v>-0.0751610443125704</v>
      </c>
      <c r="P22" s="396" t="n">
        <f aca="false">+BS_IS!Q30/BS_IS!Q33</f>
        <v>-0.14800713130817</v>
      </c>
      <c r="Q22" s="396" t="n">
        <f aca="false">+BS_IS!R30/BS_IS!R33</f>
        <v>-0.234193334852349</v>
      </c>
      <c r="R22" s="396" t="n">
        <f aca="false">+BS_IS!S30/BS_IS!S33</f>
        <v>-0.330814231808038</v>
      </c>
      <c r="S22" s="396" t="n">
        <f aca="false">+BS_IS!T30/BS_IS!T33</f>
        <v>-0.449843013093313</v>
      </c>
      <c r="T22" s="396" t="n">
        <f aca="false">+BS_IS!U30/BS_IS!U33</f>
        <v>-0.629268867721617</v>
      </c>
      <c r="U22" s="396" t="n">
        <f aca="false">+BS_IS!V30/BS_IS!V33</f>
        <v>-0.837237876065615</v>
      </c>
      <c r="V22" s="396" t="n">
        <f aca="false">+BS_IS!W30/BS_IS!W33</f>
        <v>-1.1227108539818</v>
      </c>
      <c r="W22" s="396" t="n">
        <f aca="false">+BS_IS!X30/BS_IS!X33</f>
        <v>-1.45084781760998</v>
      </c>
      <c r="X22" s="396" t="n">
        <f aca="false">+BS_IS!Y30/BS_IS!Y33</f>
        <v>-1.70904294294733</v>
      </c>
      <c r="Y22" s="396" t="n">
        <f aca="false">+BS_IS!Z30/BS_IS!Z33</f>
        <v>-1.98268717855633</v>
      </c>
      <c r="Z22" s="396" t="n">
        <f aca="false">+BS_IS!AA30/BS_IS!AA33</f>
        <v>-2.27262888948563</v>
      </c>
      <c r="AA22" s="396" t="n">
        <f aca="false">+BS_IS!AB30/BS_IS!AB33</f>
        <v>-17.1000646468905</v>
      </c>
    </row>
    <row r="23" customFormat="false" ht="13.5" hidden="false" customHeight="false" outlineLevel="0" collapsed="false">
      <c r="A23" s="369"/>
      <c r="B23" s="369"/>
      <c r="C23" s="369" t="s">
        <v>425</v>
      </c>
      <c r="D23" s="369"/>
      <c r="E23" s="369"/>
      <c r="F23" s="398" t="n">
        <f aca="false">+BS_IS!G31/BS_IS!G33</f>
        <v>1</v>
      </c>
      <c r="G23" s="398" t="n">
        <f aca="false">+BS_IS!H31/BS_IS!H33</f>
        <v>0.472302738752259</v>
      </c>
      <c r="H23" s="398" t="n">
        <f aca="false">+BS_IS!I31/BS_IS!I33</f>
        <v>0.388533232780475</v>
      </c>
      <c r="I23" s="398" t="n">
        <f aca="false">+BS_IS!J31/BS_IS!J33</f>
        <v>0.376830440278277</v>
      </c>
      <c r="J23" s="398" t="n">
        <f aca="false">+BS_IS!K31/BS_IS!K33</f>
        <v>0.365683651481418</v>
      </c>
      <c r="K23" s="398" t="n">
        <f aca="false">+BS_IS!L31/BS_IS!L33</f>
        <v>0.354129795944667</v>
      </c>
      <c r="L23" s="398" t="n">
        <f aca="false">+BS_IS!M31/BS_IS!M33</f>
        <v>0.380550999723354</v>
      </c>
      <c r="M23" s="398" t="n">
        <f aca="false">+BS_IS!N31/BS_IS!N33</f>
        <v>0.419396759648604</v>
      </c>
      <c r="N23" s="398" t="n">
        <f aca="false">+BS_IS!O31/BS_IS!O33</f>
        <v>0.472406772789756</v>
      </c>
      <c r="O23" s="398" t="n">
        <f aca="false">+BS_IS!P31/BS_IS!P33</f>
        <v>0.505492896336032</v>
      </c>
      <c r="P23" s="398" t="n">
        <f aca="false">+BS_IS!Q31/BS_IS!Q33</f>
        <v>0.530168822878694</v>
      </c>
      <c r="Q23" s="398" t="n">
        <f aca="false">+BS_IS!R31/BS_IS!R33</f>
        <v>0.542710665115555</v>
      </c>
      <c r="R23" s="398" t="n">
        <f aca="false">+BS_IS!S31/BS_IS!S33</f>
        <v>0.554310876644901</v>
      </c>
      <c r="S23" s="398" t="n">
        <f aca="false">+BS_IS!T31/BS_IS!T33</f>
        <v>0.578413943022</v>
      </c>
      <c r="T23" s="398" t="n">
        <f aca="false">+BS_IS!U31/BS_IS!U33</f>
        <v>0.639670460310721</v>
      </c>
      <c r="U23" s="398" t="n">
        <f aca="false">+BS_IS!V31/BS_IS!V33</f>
        <v>0.710331623590217</v>
      </c>
      <c r="V23" s="398" t="n">
        <f aca="false">+BS_IS!W31/BS_IS!W33</f>
        <v>0.799487000143423</v>
      </c>
      <c r="W23" s="398" t="n">
        <f aca="false">+BS_IS!X31/BS_IS!X33</f>
        <v>0.883676327963396</v>
      </c>
      <c r="X23" s="398" t="n">
        <f aca="false">+BS_IS!Y31/BS_IS!Y33</f>
        <v>0.906652816601046</v>
      </c>
      <c r="Y23" s="398" t="n">
        <f aca="false">+BS_IS!Z31/BS_IS!Z33</f>
        <v>0.930208366163881</v>
      </c>
      <c r="Z23" s="398" t="n">
        <f aca="false">+BS_IS!AA31/BS_IS!AA33</f>
        <v>0.954325461672573</v>
      </c>
      <c r="AA23" s="398" t="n">
        <f aca="false">+BS_IS!AB31/BS_IS!AB33</f>
        <v>0.798529258547382</v>
      </c>
    </row>
    <row r="24" customFormat="false" ht="13.5" hidden="false" customHeight="false" outlineLevel="0" collapsed="false">
      <c r="F24" s="396"/>
      <c r="G24" s="396"/>
      <c r="H24" s="396"/>
      <c r="I24" s="396"/>
      <c r="J24" s="396"/>
      <c r="K24" s="396"/>
      <c r="L24" s="396"/>
      <c r="M24" s="396"/>
      <c r="N24" s="396"/>
      <c r="O24" s="396"/>
      <c r="P24" s="396"/>
      <c r="Q24" s="396"/>
      <c r="R24" s="396"/>
      <c r="S24" s="396"/>
      <c r="T24" s="396"/>
      <c r="U24" s="396"/>
      <c r="V24" s="396"/>
      <c r="W24" s="396"/>
      <c r="X24" s="396"/>
      <c r="Y24" s="396"/>
      <c r="Z24" s="396"/>
      <c r="AA24" s="396"/>
    </row>
    <row r="25" customFormat="false" ht="13.5" hidden="false" customHeight="false" outlineLevel="0" collapsed="false">
      <c r="A25" s="369" t="s">
        <v>426</v>
      </c>
      <c r="B25" s="369"/>
      <c r="C25" s="369"/>
      <c r="D25" s="369"/>
      <c r="E25" s="369"/>
      <c r="F25" s="398" t="n">
        <f aca="false">+BS_IS!G33/BS_IS!G33</f>
        <v>1</v>
      </c>
      <c r="G25" s="398" t="n">
        <f aca="false">+BS_IS!H33/BS_IS!H33</f>
        <v>1</v>
      </c>
      <c r="H25" s="398" t="n">
        <f aca="false">+BS_IS!I33/BS_IS!I33</f>
        <v>1</v>
      </c>
      <c r="I25" s="398" t="n">
        <f aca="false">+BS_IS!J33/BS_IS!J33</f>
        <v>1</v>
      </c>
      <c r="J25" s="398" t="n">
        <f aca="false">+BS_IS!K33/BS_IS!K33</f>
        <v>1</v>
      </c>
      <c r="K25" s="398" t="n">
        <f aca="false">+BS_IS!L33/BS_IS!L33</f>
        <v>1</v>
      </c>
      <c r="L25" s="398" t="n">
        <f aca="false">+BS_IS!M33/BS_IS!M33</f>
        <v>1</v>
      </c>
      <c r="M25" s="398" t="n">
        <f aca="false">+BS_IS!N33/BS_IS!N33</f>
        <v>1</v>
      </c>
      <c r="N25" s="398" t="n">
        <f aca="false">+BS_IS!O33/BS_IS!O33</f>
        <v>1</v>
      </c>
      <c r="O25" s="398" t="n">
        <f aca="false">+BS_IS!P33/BS_IS!P33</f>
        <v>1</v>
      </c>
      <c r="P25" s="398" t="n">
        <f aca="false">+BS_IS!Q33/BS_IS!Q33</f>
        <v>1</v>
      </c>
      <c r="Q25" s="398" t="n">
        <f aca="false">+BS_IS!R33/BS_IS!R33</f>
        <v>1</v>
      </c>
      <c r="R25" s="398" t="n">
        <f aca="false">+BS_IS!S33/BS_IS!S33</f>
        <v>1</v>
      </c>
      <c r="S25" s="398" t="n">
        <f aca="false">+BS_IS!T33/BS_IS!T33</f>
        <v>1</v>
      </c>
      <c r="T25" s="398" t="n">
        <f aca="false">+BS_IS!U33/BS_IS!U33</f>
        <v>1</v>
      </c>
      <c r="U25" s="398" t="n">
        <f aca="false">+BS_IS!V33/BS_IS!V33</f>
        <v>1</v>
      </c>
      <c r="V25" s="398" t="n">
        <f aca="false">+BS_IS!W33/BS_IS!W33</f>
        <v>1</v>
      </c>
      <c r="W25" s="398" t="n">
        <f aca="false">+BS_IS!X33/BS_IS!X33</f>
        <v>1</v>
      </c>
      <c r="X25" s="398" t="n">
        <f aca="false">+BS_IS!Y33/BS_IS!Y33</f>
        <v>1</v>
      </c>
      <c r="Y25" s="398" t="n">
        <f aca="false">+BS_IS!Z33/BS_IS!Z33</f>
        <v>1</v>
      </c>
      <c r="Z25" s="398" t="n">
        <f aca="false">+BS_IS!AA33/BS_IS!AA33</f>
        <v>1</v>
      </c>
      <c r="AA25" s="398" t="n">
        <f aca="false">+BS_IS!AB33/BS_IS!AB33</f>
        <v>1</v>
      </c>
    </row>
    <row r="26" customFormat="false" ht="13.5" hidden="false" customHeight="false" outlineLevel="0" collapsed="false">
      <c r="A26" s="0" t="s">
        <v>427</v>
      </c>
      <c r="F26" s="0" t="n">
        <f aca="false">+BS_IS!G18-BS_IS!G33</f>
        <v>0</v>
      </c>
      <c r="G26" s="0" t="n">
        <f aca="false">+BS_IS!H18-BS_IS!H33</f>
        <v>0</v>
      </c>
      <c r="H26" s="0" t="n">
        <f aca="false">+BS_IS!I18-BS_IS!I33</f>
        <v>0</v>
      </c>
      <c r="I26" s="0" t="n">
        <f aca="false">+BS_IS!J18-BS_IS!J33</f>
        <v>0</v>
      </c>
      <c r="J26" s="0" t="n">
        <f aca="false">+BS_IS!K18-BS_IS!K33</f>
        <v>0</v>
      </c>
      <c r="K26" s="0" t="n">
        <f aca="false">+BS_IS!L18-BS_IS!L33</f>
        <v>0</v>
      </c>
      <c r="L26" s="0" t="n">
        <f aca="false">+BS_IS!M18-BS_IS!M33</f>
        <v>0</v>
      </c>
      <c r="M26" s="0" t="n">
        <f aca="false">+BS_IS!N18-BS_IS!N33</f>
        <v>0</v>
      </c>
      <c r="N26" s="0" t="n">
        <f aca="false">+BS_IS!O18-BS_IS!O33</f>
        <v>0</v>
      </c>
      <c r="O26" s="0" t="n">
        <f aca="false">+BS_IS!P18-BS_IS!P33</f>
        <v>0</v>
      </c>
      <c r="P26" s="0" t="n">
        <f aca="false">+BS_IS!Q18-BS_IS!Q33</f>
        <v>0</v>
      </c>
      <c r="Q26" s="0" t="n">
        <f aca="false">+BS_IS!R18-BS_IS!R33</f>
        <v>0</v>
      </c>
      <c r="R26" s="0" t="n">
        <f aca="false">+BS_IS!S18-BS_IS!S33</f>
        <v>0</v>
      </c>
      <c r="S26" s="0" t="n">
        <f aca="false">+BS_IS!T18-BS_IS!T33</f>
        <v>0</v>
      </c>
      <c r="T26" s="0" t="n">
        <f aca="false">+BS_IS!U18-BS_IS!U33</f>
        <v>0</v>
      </c>
      <c r="U26" s="0" t="n">
        <f aca="false">+BS_IS!V18-BS_IS!V33</f>
        <v>0</v>
      </c>
      <c r="V26" s="0" t="n">
        <f aca="false">+BS_IS!W18-BS_IS!W33</f>
        <v>0</v>
      </c>
      <c r="W26" s="0" t="n">
        <f aca="false">+BS_IS!X18-BS_IS!X33</f>
        <v>0</v>
      </c>
      <c r="X26" s="0" t="n">
        <f aca="false">+BS_IS!Y18-BS_IS!Y33</f>
        <v>0</v>
      </c>
      <c r="Y26" s="0" t="n">
        <f aca="false">+BS_IS!Z18-BS_IS!Z33</f>
        <v>0</v>
      </c>
      <c r="Z26" s="0" t="n">
        <f aca="false">+BS_IS!AA18-BS_IS!AA33</f>
        <v>0</v>
      </c>
      <c r="AA26" s="0" t="n">
        <f aca="false">+BS_IS!AB18-BS_IS!AB33</f>
        <v>0</v>
      </c>
    </row>
    <row r="29" customFormat="false" ht="13.5" hidden="false" customHeight="false" outlineLevel="0" collapsed="false">
      <c r="A29" s="50" t="s">
        <v>428</v>
      </c>
      <c r="B29" s="384"/>
      <c r="C29" s="384"/>
      <c r="D29" s="384"/>
      <c r="E29" s="384"/>
      <c r="F29" s="394" t="n">
        <f aca="false">+BS_IS!G7</f>
        <v>1998</v>
      </c>
      <c r="G29" s="394" t="n">
        <f aca="false">+BS_IS!H7</f>
        <v>1999</v>
      </c>
      <c r="H29" s="394" t="n">
        <f aca="false">+BS_IS!I7</f>
        <v>2000</v>
      </c>
      <c r="I29" s="394" t="n">
        <f aca="false">+BS_IS!J7</f>
        <v>2001</v>
      </c>
      <c r="J29" s="394" t="n">
        <f aca="false">+BS_IS!K7</f>
        <v>2002</v>
      </c>
      <c r="K29" s="394" t="n">
        <f aca="false">+BS_IS!L7</f>
        <v>2003</v>
      </c>
      <c r="L29" s="394" t="n">
        <f aca="false">+BS_IS!M7</f>
        <v>2004</v>
      </c>
      <c r="M29" s="394" t="n">
        <f aca="false">+BS_IS!N7</f>
        <v>2005</v>
      </c>
      <c r="N29" s="394" t="n">
        <f aca="false">+BS_IS!O7</f>
        <v>2006</v>
      </c>
      <c r="O29" s="394" t="n">
        <f aca="false">+BS_IS!P7</f>
        <v>2007</v>
      </c>
      <c r="P29" s="394" t="n">
        <f aca="false">+BS_IS!Q7</f>
        <v>2008</v>
      </c>
      <c r="Q29" s="394" t="n">
        <f aca="false">+BS_IS!R7</f>
        <v>2009</v>
      </c>
      <c r="R29" s="394" t="n">
        <f aca="false">+BS_IS!S7</f>
        <v>2010</v>
      </c>
      <c r="S29" s="394" t="n">
        <f aca="false">+BS_IS!T7</f>
        <v>2011</v>
      </c>
      <c r="T29" s="394" t="n">
        <f aca="false">+BS_IS!U7</f>
        <v>2012</v>
      </c>
      <c r="U29" s="394" t="n">
        <f aca="false">+BS_IS!V7</f>
        <v>2013</v>
      </c>
      <c r="V29" s="394" t="n">
        <f aca="false">+BS_IS!W7</f>
        <v>2014</v>
      </c>
      <c r="W29" s="394" t="n">
        <f aca="false">+BS_IS!X7</f>
        <v>2015</v>
      </c>
      <c r="X29" s="394" t="n">
        <f aca="false">+BS_IS!Y7</f>
        <v>2016</v>
      </c>
      <c r="Y29" s="394" t="n">
        <f aca="false">+BS_IS!Z7</f>
        <v>2017</v>
      </c>
      <c r="Z29" s="394" t="n">
        <f aca="false">+BS_IS!AA7</f>
        <v>2018</v>
      </c>
      <c r="AA29" s="394" t="n">
        <f aca="false">+BS_IS!AB7</f>
        <v>2019</v>
      </c>
    </row>
    <row r="30" customFormat="false" ht="12.75" hidden="false" customHeight="false" outlineLevel="0" collapsed="false">
      <c r="A30" s="324"/>
      <c r="B30" s="39"/>
    </row>
    <row r="31" customFormat="false" ht="12.75" hidden="false" customHeight="false" outlineLevel="0" collapsed="false">
      <c r="A31" s="0" t="s">
        <v>429</v>
      </c>
      <c r="B31" s="39"/>
      <c r="F31" s="396" t="e">
        <f aca="false">+BS_IS!G38/BS_IS!G38</f>
        <v>#DIV/0!</v>
      </c>
      <c r="G31" s="396" t="e">
        <f aca="false">+BS_IS!H38/BS_IS!H38</f>
        <v>#DIV/0!</v>
      </c>
      <c r="H31" s="396" t="e">
        <f aca="false">+BS_IS!I38/BS_IS!I38</f>
        <v>#DIV/0!</v>
      </c>
      <c r="I31" s="396" t="n">
        <f aca="false">+BS_IS!J38/BS_IS!J38</f>
        <v>1</v>
      </c>
      <c r="J31" s="396" t="n">
        <f aca="false">+BS_IS!K38/BS_IS!K38</f>
        <v>1</v>
      </c>
      <c r="K31" s="396" t="n">
        <f aca="false">+BS_IS!L38/BS_IS!L38</f>
        <v>1</v>
      </c>
      <c r="L31" s="396" t="n">
        <f aca="false">+BS_IS!M38/BS_IS!M38</f>
        <v>1</v>
      </c>
      <c r="M31" s="396" t="n">
        <f aca="false">+BS_IS!N38/BS_IS!N38</f>
        <v>1</v>
      </c>
      <c r="N31" s="396" t="n">
        <f aca="false">+BS_IS!O38/BS_IS!O38</f>
        <v>1</v>
      </c>
      <c r="O31" s="396" t="n">
        <f aca="false">+BS_IS!P38/BS_IS!P38</f>
        <v>1</v>
      </c>
      <c r="P31" s="396" t="n">
        <f aca="false">+BS_IS!Q38/BS_IS!Q38</f>
        <v>1</v>
      </c>
      <c r="Q31" s="396" t="n">
        <f aca="false">+BS_IS!R38/BS_IS!R38</f>
        <v>1</v>
      </c>
      <c r="R31" s="396" t="n">
        <f aca="false">+BS_IS!S38/BS_IS!S38</f>
        <v>1</v>
      </c>
      <c r="S31" s="396" t="n">
        <f aca="false">+BS_IS!T38/BS_IS!T38</f>
        <v>1</v>
      </c>
      <c r="T31" s="396" t="n">
        <f aca="false">+BS_IS!U38/BS_IS!U38</f>
        <v>1</v>
      </c>
      <c r="U31" s="396" t="n">
        <f aca="false">+BS_IS!V38/BS_IS!V38</f>
        <v>1</v>
      </c>
      <c r="V31" s="396" t="n">
        <f aca="false">+BS_IS!W38/BS_IS!W38</f>
        <v>1</v>
      </c>
      <c r="W31" s="396" t="n">
        <f aca="false">+BS_IS!X38/BS_IS!X38</f>
        <v>1</v>
      </c>
      <c r="X31" s="396" t="n">
        <f aca="false">+BS_IS!Y38/BS_IS!Y38</f>
        <v>1</v>
      </c>
      <c r="Y31" s="396" t="n">
        <f aca="false">+BS_IS!Z38/BS_IS!Z38</f>
        <v>1</v>
      </c>
      <c r="Z31" s="396" t="n">
        <f aca="false">+BS_IS!AA38/BS_IS!AA38</f>
        <v>1</v>
      </c>
      <c r="AA31" s="396" t="n">
        <f aca="false">+BS_IS!AB38/BS_IS!AB38</f>
        <v>1</v>
      </c>
    </row>
    <row r="32" customFormat="false" ht="12.75" hidden="false" customHeight="false" outlineLevel="0" collapsed="false">
      <c r="A32" s="0" t="s">
        <v>430</v>
      </c>
      <c r="B32" s="39"/>
      <c r="F32" s="396" t="e">
        <f aca="false">+BS_IS!G39/BS_IS!G38</f>
        <v>#DIV/0!</v>
      </c>
      <c r="G32" s="396" t="e">
        <f aca="false">+BS_IS!H39/BS_IS!H38</f>
        <v>#DIV/0!</v>
      </c>
      <c r="H32" s="396" t="e">
        <f aca="false">+BS_IS!I39/BS_IS!I38</f>
        <v>#DIV/0!</v>
      </c>
      <c r="I32" s="396" t="n">
        <f aca="false">+BS_IS!J39/BS_IS!J38</f>
        <v>-0.204561668081168</v>
      </c>
      <c r="J32" s="396" t="n">
        <f aca="false">+BS_IS!K39/BS_IS!K38</f>
        <v>-0.16282915742061</v>
      </c>
      <c r="K32" s="396" t="n">
        <f aca="false">+BS_IS!L39/BS_IS!L38</f>
        <v>-0.224124407085446</v>
      </c>
      <c r="L32" s="396" t="n">
        <f aca="false">+BS_IS!M39/BS_IS!M38</f>
        <v>-0.183185548563379</v>
      </c>
      <c r="M32" s="396" t="n">
        <f aca="false">+BS_IS!N39/BS_IS!N38</f>
        <v>-0.159009436646776</v>
      </c>
      <c r="N32" s="396" t="n">
        <f aca="false">+BS_IS!O39/BS_IS!O38</f>
        <v>-0.16423025827034</v>
      </c>
      <c r="O32" s="396" t="n">
        <f aca="false">+BS_IS!P39/BS_IS!P38</f>
        <v>-0.1603742823715</v>
      </c>
      <c r="P32" s="396" t="n">
        <f aca="false">+BS_IS!Q39/BS_IS!Q38</f>
        <v>-0.181258496681497</v>
      </c>
      <c r="Q32" s="396" t="n">
        <f aca="false">+BS_IS!R39/BS_IS!R38</f>
        <v>-0.158924136204415</v>
      </c>
      <c r="R32" s="396" t="n">
        <f aca="false">+BS_IS!S39/BS_IS!S38</f>
        <v>-0.16400503947895</v>
      </c>
      <c r="S32" s="396" t="n">
        <f aca="false">+BS_IS!T39/BS_IS!T38</f>
        <v>-0.158894379631564</v>
      </c>
      <c r="T32" s="396" t="n">
        <f aca="false">+BS_IS!U39/BS_IS!U38</f>
        <v>-0.128565163239959</v>
      </c>
      <c r="U32" s="396" t="n">
        <f aca="false">+BS_IS!V39/BS_IS!V38</f>
        <v>-0.195243893665128</v>
      </c>
      <c r="V32" s="396" t="n">
        <f aca="false">+BS_IS!W39/BS_IS!W38</f>
        <v>-0.13412369292988</v>
      </c>
      <c r="W32" s="396" t="n">
        <f aca="false">+BS_IS!X39/BS_IS!X38</f>
        <v>-0.128900520541155</v>
      </c>
      <c r="X32" s="396" t="n">
        <f aca="false">+BS_IS!Y39/BS_IS!Y38</f>
        <v>-0.130003156402854</v>
      </c>
      <c r="Y32" s="396" t="n">
        <f aca="false">+BS_IS!Z39/BS_IS!Z38</f>
        <v>-0.128935676638451</v>
      </c>
      <c r="Z32" s="396" t="n">
        <f aca="false">+BS_IS!AA39/BS_IS!AA38</f>
        <v>-0.128717279045904</v>
      </c>
      <c r="AA32" s="396" t="n">
        <f aca="false">+BS_IS!AB39/BS_IS!AB38</f>
        <v>-0.131992946805682</v>
      </c>
    </row>
    <row r="33" customFormat="false" ht="13.5" hidden="false" customHeight="false" outlineLevel="0" collapsed="false">
      <c r="A33" s="369" t="s">
        <v>399</v>
      </c>
      <c r="B33" s="400"/>
      <c r="C33" s="369"/>
      <c r="D33" s="369"/>
      <c r="E33" s="369"/>
      <c r="F33" s="398" t="e">
        <f aca="false">+F31+F32</f>
        <v>#DIV/0!</v>
      </c>
      <c r="G33" s="398" t="e">
        <f aca="false">+G31+G32</f>
        <v>#DIV/0!</v>
      </c>
      <c r="H33" s="398" t="e">
        <f aca="false">+H31+H32</f>
        <v>#DIV/0!</v>
      </c>
      <c r="I33" s="398" t="n">
        <f aca="false">+I31+I32</f>
        <v>0.795438331918832</v>
      </c>
      <c r="J33" s="398" t="n">
        <f aca="false">+J31+J32</f>
        <v>0.83717084257939</v>
      </c>
      <c r="K33" s="398" t="n">
        <f aca="false">+K31+K32</f>
        <v>0.775875592914554</v>
      </c>
      <c r="L33" s="398" t="n">
        <f aca="false">+L31+L32</f>
        <v>0.816814451436621</v>
      </c>
      <c r="M33" s="398" t="n">
        <f aca="false">+M31+M32</f>
        <v>0.840990563353224</v>
      </c>
      <c r="N33" s="398" t="n">
        <f aca="false">+N31+N32</f>
        <v>0.83576974172966</v>
      </c>
      <c r="O33" s="398" t="n">
        <f aca="false">+O31+O32</f>
        <v>0.8396257176285</v>
      </c>
      <c r="P33" s="398" t="n">
        <f aca="false">+P31+P32</f>
        <v>0.818741503318503</v>
      </c>
      <c r="Q33" s="398" t="n">
        <f aca="false">+Q31+Q32</f>
        <v>0.841075863795586</v>
      </c>
      <c r="R33" s="398" t="n">
        <f aca="false">+R31+R32</f>
        <v>0.83599496052105</v>
      </c>
      <c r="S33" s="398" t="n">
        <f aca="false">+S31+S32</f>
        <v>0.841105620368436</v>
      </c>
      <c r="T33" s="398" t="n">
        <f aca="false">+T31+T32</f>
        <v>0.871434836760042</v>
      </c>
      <c r="U33" s="398" t="n">
        <f aca="false">+U31+U32</f>
        <v>0.804756106334872</v>
      </c>
      <c r="V33" s="398" t="n">
        <f aca="false">+V31+V32</f>
        <v>0.86587630707012</v>
      </c>
      <c r="W33" s="398" t="n">
        <f aca="false">+W31+W32</f>
        <v>0.871099479458845</v>
      </c>
      <c r="X33" s="398" t="n">
        <f aca="false">+X31+X32</f>
        <v>0.869996843597146</v>
      </c>
      <c r="Y33" s="398" t="n">
        <f aca="false">+Y31+Y32</f>
        <v>0.871064323361549</v>
      </c>
      <c r="Z33" s="398" t="n">
        <f aca="false">+Z31+Z32</f>
        <v>0.871282720954096</v>
      </c>
      <c r="AA33" s="398" t="n">
        <f aca="false">+AA31+AA32</f>
        <v>0.868007053194318</v>
      </c>
    </row>
    <row r="34" customFormat="false" ht="13.5" hidden="false" customHeight="false" outlineLevel="0" collapsed="false">
      <c r="B34" s="39"/>
      <c r="F34" s="396"/>
      <c r="G34" s="396"/>
      <c r="H34" s="396"/>
      <c r="I34" s="396"/>
      <c r="J34" s="396"/>
      <c r="K34" s="396"/>
      <c r="L34" s="396"/>
      <c r="M34" s="396"/>
      <c r="N34" s="396"/>
      <c r="O34" s="396"/>
      <c r="P34" s="396"/>
      <c r="Q34" s="396"/>
      <c r="R34" s="396"/>
      <c r="S34" s="396"/>
      <c r="T34" s="396"/>
      <c r="U34" s="396"/>
      <c r="V34" s="396"/>
      <c r="W34" s="396"/>
      <c r="X34" s="396"/>
      <c r="Y34" s="396"/>
      <c r="Z34" s="396"/>
      <c r="AA34" s="396"/>
    </row>
    <row r="35" customFormat="false" ht="12.75" hidden="false" customHeight="false" outlineLevel="0" collapsed="false">
      <c r="A35" s="0" t="s">
        <v>27</v>
      </c>
      <c r="B35" s="39"/>
      <c r="F35" s="396" t="e">
        <f aca="false">+BS_IS!G43/BS_IS!G38</f>
        <v>#DIV/0!</v>
      </c>
      <c r="G35" s="396" t="e">
        <f aca="false">+BS_IS!H43/BS_IS!H38</f>
        <v>#DIV/0!</v>
      </c>
      <c r="H35" s="396" t="e">
        <f aca="false">+BS_IS!I43/BS_IS!I38</f>
        <v>#DIV/0!</v>
      </c>
      <c r="I35" s="396" t="n">
        <f aca="false">+BS_IS!J43/BS_IS!J38</f>
        <v>-0.420694598972359</v>
      </c>
      <c r="J35" s="396" t="n">
        <f aca="false">+BS_IS!K43/BS_IS!K38</f>
        <v>-0.299749909140615</v>
      </c>
      <c r="K35" s="396" t="n">
        <f aca="false">+BS_IS!L43/BS_IS!L38</f>
        <v>-0.290823729883491</v>
      </c>
      <c r="L35" s="396" t="n">
        <f aca="false">+BS_IS!M43/BS_IS!M38</f>
        <v>-0.281733539925826</v>
      </c>
      <c r="M35" s="396" t="n">
        <f aca="false">+BS_IS!N43/BS_IS!N38</f>
        <v>-0.274592336206805</v>
      </c>
      <c r="N35" s="396" t="n">
        <f aca="false">+BS_IS!O43/BS_IS!O38</f>
        <v>-0.267067024651075</v>
      </c>
      <c r="O35" s="396" t="n">
        <f aca="false">+BS_IS!P43/BS_IS!P38</f>
        <v>-0.259905136117887</v>
      </c>
      <c r="P35" s="396" t="n">
        <f aca="false">+BS_IS!Q43/BS_IS!Q38</f>
        <v>-0.252406649025846</v>
      </c>
      <c r="Q35" s="396" t="n">
        <f aca="false">+BS_IS!R43/BS_IS!R38</f>
        <v>-0.246569930453359</v>
      </c>
      <c r="R35" s="396" t="n">
        <f aca="false">+BS_IS!S43/BS_IS!S38</f>
        <v>-0.240326333193687</v>
      </c>
      <c r="S35" s="396" t="n">
        <f aca="false">+BS_IS!T43/BS_IS!T38</f>
        <v>-0.234328854362045</v>
      </c>
      <c r="T35" s="396" t="n">
        <f aca="false">+BS_IS!U43/BS_IS!U38</f>
        <v>-0.22793254812389</v>
      </c>
      <c r="U35" s="396" t="n">
        <f aca="false">+BS_IS!V43/BS_IS!V38</f>
        <v>-0.222941576365154</v>
      </c>
      <c r="V35" s="396" t="n">
        <f aca="false">+BS_IS!W43/BS_IS!W38</f>
        <v>-0.217457790662632</v>
      </c>
      <c r="W35" s="396" t="n">
        <f aca="false">+BS_IS!X43/BS_IS!X38</f>
        <v>-0.212046132317507</v>
      </c>
      <c r="X35" s="396" t="n">
        <f aca="false">+BS_IS!Y43/BS_IS!Y38</f>
        <v>-0.206130567218256</v>
      </c>
      <c r="Y35" s="396" t="n">
        <f aca="false">+BS_IS!Z43/BS_IS!Z38</f>
        <v>-0.201366108395842</v>
      </c>
      <c r="Z35" s="396" t="n">
        <f aca="false">+BS_IS!AA43/BS_IS!AA38</f>
        <v>-0.196095188884461</v>
      </c>
      <c r="AA35" s="396" t="n">
        <f aca="false">+BS_IS!AB43/BS_IS!AB38</f>
        <v>-0.197098880095778</v>
      </c>
    </row>
    <row r="36" customFormat="false" ht="12.75" hidden="false" customHeight="false" outlineLevel="0" collapsed="false">
      <c r="A36" s="0" t="s">
        <v>431</v>
      </c>
      <c r="B36" s="39"/>
      <c r="F36" s="396" t="e">
        <f aca="false">+BS_IS!G44/BS_IS!G38</f>
        <v>#DIV/0!</v>
      </c>
      <c r="G36" s="396" t="e">
        <f aca="false">+BS_IS!H44/BS_IS!H38</f>
        <v>#DIV/0!</v>
      </c>
      <c r="H36" s="396" t="e">
        <f aca="false">+BS_IS!I44/BS_IS!I38</f>
        <v>#DIV/0!</v>
      </c>
      <c r="I36" s="396" t="n">
        <f aca="false">+BS_IS!J44/BS_IS!J38</f>
        <v>-0.300986464990211</v>
      </c>
      <c r="J36" s="396" t="n">
        <f aca="false">+BS_IS!K44/BS_IS!K38</f>
        <v>-0.42730460756494</v>
      </c>
      <c r="K36" s="396" t="n">
        <f aca="false">+BS_IS!L44/BS_IS!L38</f>
        <v>-0.4072534107704</v>
      </c>
      <c r="L36" s="396" t="n">
        <f aca="false">+BS_IS!M44/BS_IS!M38</f>
        <v>-0.379636879679366</v>
      </c>
      <c r="M36" s="396" t="n">
        <f aca="false">+BS_IS!N44/BS_IS!N38</f>
        <v>-0.340504682294455</v>
      </c>
      <c r="N36" s="396" t="n">
        <f aca="false">+BS_IS!O44/BS_IS!O38</f>
        <v>-0.295650737585433</v>
      </c>
      <c r="O36" s="396" t="n">
        <f aca="false">+BS_IS!P44/BS_IS!P38</f>
        <v>-0.248122707547388</v>
      </c>
      <c r="P36" s="396" t="n">
        <f aca="false">+BS_IS!Q44/BS_IS!Q38</f>
        <v>-0.201152634703091</v>
      </c>
      <c r="Q36" s="396" t="n">
        <f aca="false">+BS_IS!R44/BS_IS!R38</f>
        <v>-0.171687639703016</v>
      </c>
      <c r="R36" s="396" t="n">
        <f aca="false">+BS_IS!S44/BS_IS!S38</f>
        <v>-0.147728683286717</v>
      </c>
      <c r="S36" s="396" t="n">
        <f aca="false">+BS_IS!T44/BS_IS!T38</f>
        <v>-0.124919932874109</v>
      </c>
      <c r="T36" s="396" t="n">
        <f aca="false">+BS_IS!U44/BS_IS!U38</f>
        <v>-0.0964032700876256</v>
      </c>
      <c r="U36" s="396" t="n">
        <f aca="false">+BS_IS!V44/BS_IS!V38</f>
        <v>-0.0676138985511532</v>
      </c>
      <c r="V36" s="396" t="n">
        <f aca="false">+BS_IS!W44/BS_IS!W38</f>
        <v>-0.0399285350895125</v>
      </c>
      <c r="W36" s="396" t="n">
        <f aca="false">+BS_IS!X44/BS_IS!X38</f>
        <v>-0.0118535036545368</v>
      </c>
      <c r="X36" s="396" t="n">
        <f aca="false">+BS_IS!Y44/BS_IS!Y38</f>
        <v>-0</v>
      </c>
      <c r="Y36" s="396" t="n">
        <f aca="false">+BS_IS!Z44/BS_IS!Z38</f>
        <v>-0</v>
      </c>
      <c r="Z36" s="396" t="n">
        <f aca="false">+BS_IS!AA44/BS_IS!AA38</f>
        <v>-0</v>
      </c>
      <c r="AA36" s="396" t="n">
        <f aca="false">+BS_IS!AB44/BS_IS!AB38</f>
        <v>-0</v>
      </c>
    </row>
    <row r="37" customFormat="false" ht="12.75" hidden="false" customHeight="false" outlineLevel="0" collapsed="false">
      <c r="A37" s="0" t="s">
        <v>432</v>
      </c>
      <c r="B37" s="39"/>
      <c r="F37" s="396" t="e">
        <f aca="false">+BS_IS!G45/BS_IS!G38</f>
        <v>#DIV/0!</v>
      </c>
      <c r="G37" s="396" t="e">
        <f aca="false">+BS_IS!H45/BS_IS!H38</f>
        <v>#DIV/0!</v>
      </c>
      <c r="H37" s="396" t="e">
        <f aca="false">+BS_IS!I45/BS_IS!I38</f>
        <v>#DIV/0!</v>
      </c>
      <c r="I37" s="396" t="n">
        <f aca="false">+BS_IS!J45/BS_IS!J38</f>
        <v>-0.0093810385021482</v>
      </c>
      <c r="J37" s="396" t="n">
        <f aca="false">+BS_IS!K45/BS_IS!K38</f>
        <v>-0.0132232169703288</v>
      </c>
      <c r="K37" s="396" t="n">
        <f aca="false">+BS_IS!L45/BS_IS!L38</f>
        <v>-0.0122296030194758</v>
      </c>
      <c r="L37" s="396" t="n">
        <f aca="false">+BS_IS!M45/BS_IS!M38</f>
        <v>-0.011188254770966</v>
      </c>
      <c r="M37" s="396" t="n">
        <f aca="false">+BS_IS!N45/BS_IS!N38</f>
        <v>-0.0101760528409901</v>
      </c>
      <c r="N37" s="396" t="n">
        <f aca="false">+BS_IS!O45/BS_IS!O38</f>
        <v>-0.00909341541294734</v>
      </c>
      <c r="O37" s="396" t="n">
        <f aca="false">+BS_IS!P45/BS_IS!P38</f>
        <v>-0.00796236310921483</v>
      </c>
      <c r="P37" s="396" t="n">
        <f aca="false">+BS_IS!Q45/BS_IS!Q38</f>
        <v>-0.0067553944388012</v>
      </c>
      <c r="Q37" s="396" t="n">
        <f aca="false">+BS_IS!R45/BS_IS!R38</f>
        <v>-0.00551639356916878</v>
      </c>
      <c r="R37" s="396" t="n">
        <f aca="false">+BS_IS!S45/BS_IS!S38</f>
        <v>-0.00417968236895092</v>
      </c>
      <c r="S37" s="396" t="n">
        <f aca="false">+BS_IS!T45/BS_IS!T38</f>
        <v>-0.00275156118115083</v>
      </c>
      <c r="T37" s="396" t="n">
        <f aca="false">+BS_IS!U45/BS_IS!U38</f>
        <v>-0.00121593535362555</v>
      </c>
      <c r="U37" s="396" t="n">
        <f aca="false">+BS_IS!V45/BS_IS!V38</f>
        <v>-0</v>
      </c>
      <c r="V37" s="396" t="n">
        <f aca="false">+BS_IS!W45/BS_IS!W38</f>
        <v>-0</v>
      </c>
      <c r="W37" s="396" t="n">
        <f aca="false">+BS_IS!X45/BS_IS!X38</f>
        <v>-0</v>
      </c>
      <c r="X37" s="396" t="n">
        <f aca="false">+BS_IS!Y45/BS_IS!Y38</f>
        <v>-0</v>
      </c>
      <c r="Y37" s="396" t="n">
        <f aca="false">+BS_IS!Z45/BS_IS!Z38</f>
        <v>-0</v>
      </c>
      <c r="Z37" s="396" t="n">
        <f aca="false">+BS_IS!AA45/BS_IS!AA38</f>
        <v>-0</v>
      </c>
      <c r="AA37" s="396" t="n">
        <f aca="false">+BS_IS!AB45/BS_IS!AB38</f>
        <v>-0</v>
      </c>
    </row>
    <row r="38" customFormat="false" ht="12.75" hidden="false" customHeight="false" outlineLevel="0" collapsed="false">
      <c r="A38" s="0" t="s">
        <v>433</v>
      </c>
      <c r="B38" s="39"/>
      <c r="F38" s="396" t="e">
        <f aca="false">+BS_IS!G40/BS_IS!G38</f>
        <v>#DIV/0!</v>
      </c>
      <c r="G38" s="396" t="e">
        <f aca="false">+BS_IS!H40/BS_IS!H38</f>
        <v>#DIV/0!</v>
      </c>
      <c r="H38" s="396" t="e">
        <f aca="false">+BS_IS!I40/BS_IS!I38</f>
        <v>#DIV/0!</v>
      </c>
      <c r="I38" s="396" t="n">
        <f aca="false">+BS_IS!J40/BS_IS!J38</f>
        <v>-0.193026975984315</v>
      </c>
      <c r="J38" s="396" t="n">
        <f aca="false">+BS_IS!K40/BS_IS!K38</f>
        <v>-0.2459878083453</v>
      </c>
      <c r="K38" s="396" t="n">
        <f aca="false">+BS_IS!L40/BS_IS!L38</f>
        <v>-0.228727591142178</v>
      </c>
      <c r="L38" s="396" t="n">
        <f aca="false">+BS_IS!M40/BS_IS!M38</f>
        <v>-0.0705484700272063</v>
      </c>
      <c r="M38" s="396" t="n">
        <f aca="false">+BS_IS!N40/BS_IS!N38</f>
        <v>-0.102970427158475</v>
      </c>
      <c r="N38" s="396" t="n">
        <f aca="false">+BS_IS!O40/BS_IS!O38</f>
        <v>0.0323101777380058</v>
      </c>
      <c r="O38" s="396" t="n">
        <f aca="false">+BS_IS!P40/BS_IS!P38</f>
        <v>0.0378883418837891</v>
      </c>
      <c r="P38" s="396" t="n">
        <f aca="false">+BS_IS!Q40/BS_IS!Q38</f>
        <v>0.0383835992639711</v>
      </c>
      <c r="Q38" s="396" t="n">
        <f aca="false">+BS_IS!R40/BS_IS!R38</f>
        <v>0.0422109680487696</v>
      </c>
      <c r="R38" s="396" t="n">
        <f aca="false">+BS_IS!S40/BS_IS!S38</f>
        <v>0.0504896738123936</v>
      </c>
      <c r="S38" s="396" t="n">
        <f aca="false">+BS_IS!T40/BS_IS!T38</f>
        <v>0.0584292784813858</v>
      </c>
      <c r="T38" s="396" t="n">
        <f aca="false">+BS_IS!U40/BS_IS!U38</f>
        <v>0.062324003037034</v>
      </c>
      <c r="U38" s="396" t="n">
        <f aca="false">+BS_IS!V40/BS_IS!V38</f>
        <v>0.0612927934498134</v>
      </c>
      <c r="V38" s="396" t="n">
        <f aca="false">+BS_IS!W40/BS_IS!W38</f>
        <v>0.0568263239444901</v>
      </c>
      <c r="W38" s="396" t="n">
        <f aca="false">+BS_IS!X40/BS_IS!X38</f>
        <v>0.0540330513163488</v>
      </c>
      <c r="X38" s="396" t="n">
        <f aca="false">+BS_IS!Y40/BS_IS!Y38</f>
        <v>0.0535551686693072</v>
      </c>
      <c r="Y38" s="396" t="n">
        <f aca="false">+BS_IS!Z40/BS_IS!Z38</f>
        <v>0.0611826081076983</v>
      </c>
      <c r="Z38" s="396" t="n">
        <f aca="false">+BS_IS!AA40/BS_IS!AA38</f>
        <v>0.0682692039990827</v>
      </c>
      <c r="AA38" s="396" t="n">
        <f aca="false">+BS_IS!AB40/BS_IS!AB38</f>
        <v>0.0774109565770112</v>
      </c>
    </row>
    <row r="39" customFormat="false" ht="13.5" hidden="false" customHeight="false" outlineLevel="0" collapsed="false">
      <c r="A39" s="369" t="s">
        <v>434</v>
      </c>
      <c r="B39" s="400"/>
      <c r="C39" s="369"/>
      <c r="D39" s="369"/>
      <c r="E39" s="369"/>
      <c r="F39" s="398" t="e">
        <f aca="false">+BS_IS!G49/BS_IS!G38</f>
        <v>#DIV/0!</v>
      </c>
      <c r="G39" s="398" t="e">
        <f aca="false">+BS_IS!H49/BS_IS!H38</f>
        <v>#DIV/0!</v>
      </c>
      <c r="H39" s="398" t="e">
        <f aca="false">+BS_IS!I49/BS_IS!I38</f>
        <v>#DIV/0!</v>
      </c>
      <c r="I39" s="398" t="n">
        <f aca="false">+BS_IS!J49/BS_IS!J38</f>
        <v>-0.128650746530201</v>
      </c>
      <c r="J39" s="398" t="n">
        <f aca="false">+BS_IS!K49/BS_IS!K38</f>
        <v>-0.149094699441794</v>
      </c>
      <c r="K39" s="398" t="n">
        <f aca="false">+BS_IS!L49/BS_IS!L38</f>
        <v>-0.16315874190099</v>
      </c>
      <c r="L39" s="398" t="n">
        <f aca="false">+BS_IS!M49/BS_IS!M38</f>
        <v>0.073707307033257</v>
      </c>
      <c r="M39" s="398" t="n">
        <f aca="false">+BS_IS!N49/BS_IS!N38</f>
        <v>0.112747064852499</v>
      </c>
      <c r="N39" s="398" t="n">
        <f aca="false">+BS_IS!O49/BS_IS!O38</f>
        <v>0.296268741818211</v>
      </c>
      <c r="O39" s="398" t="n">
        <f aca="false">+BS_IS!P49/BS_IS!P38</f>
        <v>0.3615238527378</v>
      </c>
      <c r="P39" s="398" t="n">
        <f aca="false">+BS_IS!Q49/BS_IS!Q38</f>
        <v>0.396810424414736</v>
      </c>
      <c r="Q39" s="398" t="n">
        <f aca="false">+BS_IS!R49/BS_IS!R38</f>
        <v>0.459512868118811</v>
      </c>
      <c r="R39" s="398" t="n">
        <f aca="false">+BS_IS!S49/BS_IS!S38</f>
        <v>0.494249935484089</v>
      </c>
      <c r="S39" s="398" t="n">
        <f aca="false">+BS_IS!T49/BS_IS!T38</f>
        <v>0.537534550432517</v>
      </c>
      <c r="T39" s="398" t="n">
        <f aca="false">+BS_IS!U49/BS_IS!U38</f>
        <v>0.608207086231935</v>
      </c>
      <c r="U39" s="398" t="n">
        <f aca="false">+BS_IS!V49/BS_IS!V38</f>
        <v>0.575493424868378</v>
      </c>
      <c r="V39" s="398" t="n">
        <f aca="false">+BS_IS!W49/BS_IS!W38</f>
        <v>0.665316305262465</v>
      </c>
      <c r="W39" s="398" t="n">
        <f aca="false">+BS_IS!X49/BS_IS!X38</f>
        <v>0.70123289480315</v>
      </c>
      <c r="X39" s="398" t="n">
        <f aca="false">+BS_IS!Y49/BS_IS!Y38</f>
        <v>0.717421445048197</v>
      </c>
      <c r="Y39" s="398" t="n">
        <f aca="false">+BS_IS!Z49/BS_IS!Z38</f>
        <v>0.730880823073405</v>
      </c>
      <c r="Z39" s="398" t="n">
        <f aca="false">+BS_IS!AA49/BS_IS!AA38</f>
        <v>0.743456736068718</v>
      </c>
      <c r="AA39" s="398" t="n">
        <f aca="false">+BS_IS!AB49/BS_IS!AB38</f>
        <v>0.748319129675551</v>
      </c>
    </row>
    <row r="40" customFormat="false" ht="13.5" hidden="false" customHeight="false" outlineLevel="0" collapsed="false"/>
    <row r="41" customFormat="false" ht="12.75" hidden="false" customHeight="false" outlineLevel="0" collapsed="false">
      <c r="A41" s="0" t="s">
        <v>435</v>
      </c>
      <c r="B41" s="39"/>
      <c r="F41" s="396" t="e">
        <f aca="false">+BS_IS!G50/BS_IS!G38</f>
        <v>#DIV/0!</v>
      </c>
      <c r="G41" s="396" t="e">
        <f aca="false">+BS_IS!H50/BS_IS!H38</f>
        <v>#DIV/0!</v>
      </c>
      <c r="H41" s="396" t="e">
        <f aca="false">+BS_IS!I50/BS_IS!I38</f>
        <v>#DIV/0!</v>
      </c>
      <c r="I41" s="396" t="n">
        <f aca="false">+BS_IS!J50/BS_IS!J38</f>
        <v>-0</v>
      </c>
      <c r="J41" s="396" t="n">
        <f aca="false">+BS_IS!K50/BS_IS!K38</f>
        <v>-0</v>
      </c>
      <c r="K41" s="396" t="n">
        <f aca="false">+BS_IS!L50/BS_IS!L38</f>
        <v>-0</v>
      </c>
      <c r="L41" s="396" t="n">
        <f aca="false">+BS_IS!M50/BS_IS!M38</f>
        <v>-0</v>
      </c>
      <c r="M41" s="396" t="n">
        <f aca="false">+BS_IS!N50/BS_IS!N38</f>
        <v>-0</v>
      </c>
      <c r="N41" s="396" t="n">
        <f aca="false">+BS_IS!O50/BS_IS!O38</f>
        <v>-0.0311441526877668</v>
      </c>
      <c r="O41" s="396" t="n">
        <f aca="false">+BS_IS!P50/BS_IS!P38</f>
        <v>-0.0903809631844499</v>
      </c>
      <c r="P41" s="396" t="n">
        <f aca="false">+BS_IS!Q50/BS_IS!Q38</f>
        <v>-0.099202606103684</v>
      </c>
      <c r="Q41" s="396" t="n">
        <f aca="false">+BS_IS!R50/BS_IS!R38</f>
        <v>-0.114878217029703</v>
      </c>
      <c r="R41" s="396" t="n">
        <f aca="false">+BS_IS!S50/BS_IS!S38</f>
        <v>-0.123562483871022</v>
      </c>
      <c r="S41" s="396" t="n">
        <f aca="false">+BS_IS!T50/BS_IS!T38</f>
        <v>-0.134383637608129</v>
      </c>
      <c r="T41" s="396" t="n">
        <f aca="false">+BS_IS!U50/BS_IS!U38</f>
        <v>-0.152051771557984</v>
      </c>
      <c r="U41" s="396" t="n">
        <f aca="false">+BS_IS!V50/BS_IS!V38</f>
        <v>-0.143873356217095</v>
      </c>
      <c r="V41" s="396" t="n">
        <f aca="false">+BS_IS!W50/BS_IS!W38</f>
        <v>-0.166329076315616</v>
      </c>
      <c r="W41" s="396" t="n">
        <f aca="false">+BS_IS!X50/BS_IS!X38</f>
        <v>-0.175308223700787</v>
      </c>
      <c r="X41" s="396" t="n">
        <f aca="false">+BS_IS!Y50/BS_IS!Y38</f>
        <v>-0.179355361262049</v>
      </c>
      <c r="Y41" s="396" t="n">
        <f aca="false">+BS_IS!Z50/BS_IS!Z38</f>
        <v>-0.182720205768351</v>
      </c>
      <c r="Z41" s="396" t="n">
        <f aca="false">+BS_IS!AA50/BS_IS!AA38</f>
        <v>-0.185864184017179</v>
      </c>
      <c r="AA41" s="396" t="n">
        <f aca="false">+BS_IS!AB50/BS_IS!AB38</f>
        <v>-0.187079782418888</v>
      </c>
    </row>
    <row r="42" customFormat="false" ht="13.5" hidden="false" customHeight="false" outlineLevel="0" collapsed="false">
      <c r="A42" s="401" t="s">
        <v>400</v>
      </c>
      <c r="B42" s="369"/>
      <c r="C42" s="369"/>
      <c r="D42" s="369"/>
      <c r="E42" s="369"/>
      <c r="F42" s="398" t="e">
        <f aca="false">+BS_IS!G51/BS_IS!G38</f>
        <v>#DIV/0!</v>
      </c>
      <c r="G42" s="398" t="e">
        <f aca="false">+BS_IS!H51/BS_IS!H38</f>
        <v>#DIV/0!</v>
      </c>
      <c r="H42" s="398" t="e">
        <f aca="false">+BS_IS!I51/BS_IS!I38</f>
        <v>#DIV/0!</v>
      </c>
      <c r="I42" s="398" t="n">
        <f aca="false">+BS_IS!J51/BS_IS!J38</f>
        <v>-0.128650746530201</v>
      </c>
      <c r="J42" s="398" t="n">
        <f aca="false">+BS_IS!K51/BS_IS!K38</f>
        <v>-0.149094699441794</v>
      </c>
      <c r="K42" s="398" t="n">
        <f aca="false">+BS_IS!L51/BS_IS!L38</f>
        <v>-0.16315874190099</v>
      </c>
      <c r="L42" s="398" t="n">
        <f aca="false">+BS_IS!M51/BS_IS!M38</f>
        <v>0.073707307033257</v>
      </c>
      <c r="M42" s="398" t="n">
        <f aca="false">+BS_IS!N51/BS_IS!N38</f>
        <v>0.112747064852499</v>
      </c>
      <c r="N42" s="398" t="n">
        <f aca="false">+BS_IS!O51/BS_IS!O38</f>
        <v>0.265124589130444</v>
      </c>
      <c r="O42" s="398" t="n">
        <f aca="false">+BS_IS!P51/BS_IS!P38</f>
        <v>0.27114288955335</v>
      </c>
      <c r="P42" s="398" t="n">
        <f aca="false">+BS_IS!Q51/BS_IS!Q38</f>
        <v>0.297607818311052</v>
      </c>
      <c r="Q42" s="398" t="n">
        <f aca="false">+BS_IS!R51/BS_IS!R38</f>
        <v>0.344634651089108</v>
      </c>
      <c r="R42" s="398" t="n">
        <f aca="false">+BS_IS!S51/BS_IS!S38</f>
        <v>0.370687451613067</v>
      </c>
      <c r="S42" s="398" t="n">
        <f aca="false">+BS_IS!T51/BS_IS!T38</f>
        <v>0.403150912824388</v>
      </c>
      <c r="T42" s="398" t="n">
        <f aca="false">+BS_IS!U51/BS_IS!U38</f>
        <v>0.456155314673951</v>
      </c>
      <c r="U42" s="398" t="n">
        <f aca="false">+BS_IS!V51/BS_IS!V38</f>
        <v>0.431620068651284</v>
      </c>
      <c r="V42" s="398" t="n">
        <f aca="false">+BS_IS!W51/BS_IS!W38</f>
        <v>0.498987228946849</v>
      </c>
      <c r="W42" s="398" t="n">
        <f aca="false">+BS_IS!X51/BS_IS!X38</f>
        <v>0.525924671102362</v>
      </c>
      <c r="X42" s="398" t="n">
        <f aca="false">+BS_IS!Y51/BS_IS!Y38</f>
        <v>0.538066083786148</v>
      </c>
      <c r="Y42" s="398" t="n">
        <f aca="false">+BS_IS!Z51/BS_IS!Z38</f>
        <v>0.548160617305054</v>
      </c>
      <c r="Z42" s="398" t="n">
        <f aca="false">+BS_IS!AA51/BS_IS!AA38</f>
        <v>0.557592552051538</v>
      </c>
      <c r="AA42" s="398" t="n">
        <f aca="false">+BS_IS!AB51/BS_IS!AB38</f>
        <v>0.561239347256664</v>
      </c>
    </row>
    <row r="43" customFormat="false" ht="13.5" hidden="false" customHeight="false" outlineLevel="0" collapsed="false">
      <c r="A43" s="39"/>
      <c r="B43" s="382"/>
      <c r="C43" s="382"/>
      <c r="D43" s="382"/>
      <c r="E43" s="382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396"/>
      <c r="Y43" s="396"/>
      <c r="Z43" s="396"/>
      <c r="AA43" s="396"/>
    </row>
    <row r="45" customFormat="false" ht="13.5" hidden="false" customHeight="false" outlineLevel="0" collapsed="false">
      <c r="A45" s="50" t="s">
        <v>436</v>
      </c>
      <c r="B45" s="384"/>
      <c r="C45" s="384"/>
      <c r="D45" s="384"/>
      <c r="E45" s="402" t="s">
        <v>437</v>
      </c>
      <c r="F45" s="394" t="n">
        <f aca="false">+BS_IS!G7</f>
        <v>1998</v>
      </c>
      <c r="G45" s="394" t="n">
        <f aca="false">+BS_IS!H7</f>
        <v>1999</v>
      </c>
      <c r="H45" s="394" t="n">
        <f aca="false">+BS_IS!I7</f>
        <v>2000</v>
      </c>
      <c r="I45" s="394" t="n">
        <f aca="false">+BS_IS!J7</f>
        <v>2001</v>
      </c>
      <c r="J45" s="394" t="n">
        <f aca="false">+BS_IS!K7</f>
        <v>2002</v>
      </c>
      <c r="K45" s="394" t="n">
        <f aca="false">+BS_IS!L7</f>
        <v>2003</v>
      </c>
      <c r="L45" s="394" t="n">
        <f aca="false">+BS_IS!M7</f>
        <v>2004</v>
      </c>
      <c r="M45" s="394" t="n">
        <f aca="false">+BS_IS!N7</f>
        <v>2005</v>
      </c>
      <c r="N45" s="394" t="n">
        <f aca="false">+BS_IS!O7</f>
        <v>2006</v>
      </c>
      <c r="O45" s="394" t="n">
        <f aca="false">+BS_IS!P7</f>
        <v>2007</v>
      </c>
      <c r="P45" s="394" t="n">
        <f aca="false">+BS_IS!Q7</f>
        <v>2008</v>
      </c>
      <c r="Q45" s="394" t="n">
        <f aca="false">+BS_IS!R7</f>
        <v>2009</v>
      </c>
      <c r="R45" s="394" t="n">
        <f aca="false">+BS_IS!S7</f>
        <v>2010</v>
      </c>
      <c r="S45" s="394" t="n">
        <f aca="false">+BS_IS!T7</f>
        <v>2011</v>
      </c>
      <c r="T45" s="394" t="n">
        <f aca="false">+BS_IS!U7</f>
        <v>2012</v>
      </c>
      <c r="U45" s="394" t="n">
        <f aca="false">+BS_IS!V7</f>
        <v>2013</v>
      </c>
      <c r="V45" s="394" t="n">
        <f aca="false">+BS_IS!W7</f>
        <v>2014</v>
      </c>
      <c r="W45" s="394" t="n">
        <f aca="false">+BS_IS!X7</f>
        <v>2015</v>
      </c>
      <c r="X45" s="394" t="n">
        <f aca="false">+BS_IS!Y7</f>
        <v>2016</v>
      </c>
      <c r="Y45" s="394" t="n">
        <f aca="false">+BS_IS!Z7</f>
        <v>2017</v>
      </c>
      <c r="Z45" s="394" t="n">
        <f aca="false">+BS_IS!AA7</f>
        <v>2018</v>
      </c>
      <c r="AA45" s="394" t="n">
        <f aca="false">+BS_IS!AB7</f>
        <v>2019</v>
      </c>
    </row>
    <row r="46" customFormat="false" ht="12.75" hidden="false" customHeight="false" outlineLevel="0" collapsed="false">
      <c r="A46" s="324"/>
      <c r="E46" s="403"/>
    </row>
    <row r="47" customFormat="false" ht="12.75" hidden="false" customHeight="false" outlineLevel="0" collapsed="false">
      <c r="A47" s="324"/>
      <c r="E47" s="403"/>
    </row>
    <row r="48" customFormat="false" ht="12.75" hidden="false" customHeight="false" outlineLevel="0" collapsed="false">
      <c r="A48" s="395" t="s">
        <v>438</v>
      </c>
      <c r="E48" s="403"/>
    </row>
    <row r="49" customFormat="false" ht="12.75" hidden="false" customHeight="false" outlineLevel="0" collapsed="false">
      <c r="A49" s="399" t="s">
        <v>403</v>
      </c>
      <c r="E49" s="404" t="n">
        <f aca="false">AVERAGE(F49:AA49)</f>
        <v>0.128447669850301</v>
      </c>
      <c r="F49" s="397" t="n">
        <f aca="false">BS_IS!G49/(BS_IS!G18/2)</f>
        <v>0</v>
      </c>
      <c r="G49" s="397" t="n">
        <f aca="false">+BS_IS!H49/((BS_IS!H18+BS_IS!G18)/2)</f>
        <v>0</v>
      </c>
      <c r="H49" s="397" t="n">
        <f aca="false">+BS_IS!I49/((BS_IS!I18+BS_IS!H18)/2)</f>
        <v>0</v>
      </c>
      <c r="I49" s="397" t="n">
        <f aca="false">+BS_IS!J49/((BS_IS!J18+BS_IS!I18)/2)</f>
        <v>-0.0119019852030734</v>
      </c>
      <c r="J49" s="397" t="n">
        <f aca="false">+BS_IS!K49/((BS_IS!K18+BS_IS!J18)/2)</f>
        <v>-0.0236271043576702</v>
      </c>
      <c r="K49" s="397" t="n">
        <f aca="false">+BS_IS!L49/((BS_IS!L18+BS_IS!K18)/2)</f>
        <v>-0.0277135141340913</v>
      </c>
      <c r="L49" s="397" t="n">
        <f aca="false">+BS_IS!M49/((BS_IS!M18+BS_IS!L18)/2)</f>
        <v>0.0134537283376676</v>
      </c>
      <c r="M49" s="397" t="n">
        <f aca="false">+BS_IS!N49/((BS_IS!N18+BS_IS!M18)/2)</f>
        <v>0.0219482369584451</v>
      </c>
      <c r="N49" s="397" t="n">
        <f aca="false">+BS_IS!O49/((BS_IS!O18+BS_IS!N18)/2)</f>
        <v>0.0614475039198696</v>
      </c>
      <c r="O49" s="397" t="n">
        <f aca="false">+BS_IS!P49/((BS_IS!P18+BS_IS!O18)/2)</f>
        <v>0.0805721291265136</v>
      </c>
      <c r="P49" s="397" t="n">
        <f aca="false">+BS_IS!Q49/((BS_IS!Q18+BS_IS!P18)/2)</f>
        <v>0.09586452565782</v>
      </c>
      <c r="Q49" s="397" t="n">
        <f aca="false">+BS_IS!R49/((BS_IS!R18+BS_IS!Q18)/2)</f>
        <v>0.116883881516497</v>
      </c>
      <c r="R49" s="397" t="n">
        <f aca="false">+BS_IS!S49/((BS_IS!S18+BS_IS!R18)/2)</f>
        <v>0.130767699736812</v>
      </c>
      <c r="S49" s="397" t="n">
        <f aca="false">+BS_IS!T49/((BS_IS!T18+BS_IS!S18)/2)</f>
        <v>0.149153826660119</v>
      </c>
      <c r="T49" s="397" t="n">
        <f aca="false">+BS_IS!U49/((BS_IS!U18+BS_IS!T18)/2)</f>
        <v>0.184251633495158</v>
      </c>
      <c r="U49" s="397" t="n">
        <f aca="false">+BS_IS!V49/((BS_IS!V18+BS_IS!U18)/2)</f>
        <v>0.19532136270769</v>
      </c>
      <c r="V49" s="397" t="n">
        <f aca="false">+BS_IS!W49/((BS_IS!W18+BS_IS!V18)/2)</f>
        <v>0.255697721845838</v>
      </c>
      <c r="W49" s="397" t="n">
        <f aca="false">+BS_IS!X49/((BS_IS!X18+BS_IS!W18)/2)</f>
        <v>0.304369370018791</v>
      </c>
      <c r="X49" s="397" t="n">
        <f aca="false">+BS_IS!Y49/((BS_IS!Y18+BS_IS!X18)/2)</f>
        <v>0.336743997897143</v>
      </c>
      <c r="Y49" s="397" t="n">
        <f aca="false">+BS_IS!Z49/((BS_IS!Z18+BS_IS!Y18)/2)</f>
        <v>0.355188686473907</v>
      </c>
      <c r="Z49" s="397" t="n">
        <f aca="false">+BS_IS!AA49/((BS_IS!AA18+BS_IS!Z18)/2)</f>
        <v>0.375080799485631</v>
      </c>
      <c r="AA49" s="397" t="n">
        <f aca="false">+BS_IS!AB49/((BS_IS!AB18+BS_IS!AA18)/2)</f>
        <v>0.212346236563565</v>
      </c>
    </row>
    <row r="50" customFormat="false" ht="12.75" hidden="false" customHeight="false" outlineLevel="0" collapsed="false">
      <c r="A50" s="399" t="s">
        <v>402</v>
      </c>
      <c r="E50" s="404" t="n">
        <f aca="false">AVERAGE(F50:AA50)</f>
        <v>0.18260399966108</v>
      </c>
      <c r="F50" s="397" t="n">
        <f aca="false">+BS_IS!G49/(BS_IS!G28)/2</f>
        <v>0</v>
      </c>
      <c r="G50" s="397" t="n">
        <f aca="false">+BS_IS!H49/((BS_IS!H28+BS_IS!G28)/2)</f>
        <v>0</v>
      </c>
      <c r="H50" s="397" t="n">
        <f aca="false">+BS_IS!I49/((BS_IS!I28+BS_IS!H28)/2)</f>
        <v>0</v>
      </c>
      <c r="I50" s="397" t="n">
        <f aca="false">+BS_IS!J49/((BS_IS!J28+BS_IS!I28)/2)</f>
        <v>-0.0306251496851815</v>
      </c>
      <c r="J50" s="397" t="n">
        <f aca="false">+BS_IS!K49/((BS_IS!K28+BS_IS!J28)/2)</f>
        <v>-0.0597746766649953</v>
      </c>
      <c r="K50" s="397" t="n">
        <f aca="false">+BS_IS!L49/((BS_IS!L28+BS_IS!K28)/2)</f>
        <v>-0.0674209083905263</v>
      </c>
      <c r="L50" s="397" t="n">
        <f aca="false">+BS_IS!M49/((BS_IS!M28+BS_IS!L28)/2)</f>
        <v>0.0314402567440695</v>
      </c>
      <c r="M50" s="397" t="n">
        <f aca="false">+BS_IS!N49/((BS_IS!N28+BS_IS!M28)/2)</f>
        <v>0.0493436105727175</v>
      </c>
      <c r="N50" s="397" t="n">
        <f aca="false">+BS_IS!O49/((BS_IS!O28+BS_IS!N28)/2)</f>
        <v>0.133315196448758</v>
      </c>
      <c r="O50" s="397" t="n">
        <f aca="false">+BS_IS!P49/((BS_IS!P28+BS_IS!O28)/2)</f>
        <v>0.167161471901098</v>
      </c>
      <c r="P50" s="397" t="n">
        <f aca="false">+BS_IS!Q49/((BS_IS!Q28+BS_IS!P28)/2)</f>
        <v>0.18892802017421</v>
      </c>
      <c r="Q50" s="397" t="n">
        <f aca="false">+BS_IS!R49/((BS_IS!R28+BS_IS!Q28)/2)</f>
        <v>0.223960617883852</v>
      </c>
      <c r="R50" s="397" t="n">
        <f aca="false">+BS_IS!S49/((BS_IS!S28+BS_IS!R28)/2)</f>
        <v>0.247149281907647</v>
      </c>
      <c r="S50" s="397" t="n">
        <f aca="false">+BS_IS!T49/((BS_IS!T28+BS_IS!S28)/2)</f>
        <v>0.275673301025233</v>
      </c>
      <c r="T50" s="397" t="n">
        <f aca="false">+BS_IS!U49/((BS_IS!U28+BS_IS!T28)/2)</f>
        <v>0.320670657338803</v>
      </c>
      <c r="U50" s="397" t="n">
        <f aca="false">+BS_IS!V49/((BS_IS!V28+BS_IS!U28)/2)</f>
        <v>0.310215426218095</v>
      </c>
      <c r="V50" s="397" t="n">
        <f aca="false">+BS_IS!W49/((BS_IS!W28+BS_IS!V28)/2)</f>
        <v>0.36767769769906</v>
      </c>
      <c r="W50" s="397" t="n">
        <f aca="false">+BS_IS!X49/((BS_IS!X28+BS_IS!W28)/2)</f>
        <v>0.397416612402558</v>
      </c>
      <c r="X50" s="397" t="n">
        <f aca="false">+BS_IS!Y49/((BS_IS!Y28+BS_IS!X28)/2)</f>
        <v>0.418259725345355</v>
      </c>
      <c r="Y50" s="397" t="n">
        <f aca="false">+BS_IS!Z49/((BS_IS!Z28+BS_IS!Y28)/2)</f>
        <v>0.436188570851813</v>
      </c>
      <c r="Z50" s="397" t="n">
        <f aca="false">+BS_IS!AA49/((BS_IS!AA28+BS_IS!Z28)/2)</f>
        <v>0.455620077964016</v>
      </c>
      <c r="AA50" s="397" t="n">
        <f aca="false">+BS_IS!AB49/((BS_IS!AB28+BS_IS!AA28)/2)</f>
        <v>0.152088202807183</v>
      </c>
    </row>
    <row r="51" customFormat="false" ht="12.75" hidden="false" customHeight="false" outlineLevel="0" collapsed="false">
      <c r="A51" s="399"/>
      <c r="E51" s="403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</row>
    <row r="52" customFormat="false" ht="12.75" hidden="false" customHeight="false" outlineLevel="0" collapsed="false">
      <c r="A52" s="395" t="s">
        <v>439</v>
      </c>
      <c r="E52" s="403"/>
    </row>
    <row r="53" customFormat="false" ht="12.75" hidden="false" customHeight="false" outlineLevel="0" collapsed="false">
      <c r="A53" s="399" t="s">
        <v>440</v>
      </c>
      <c r="E53" s="404" t="n">
        <f aca="false">AVERAGE(I53:AA53)</f>
        <v>0.836077143998262</v>
      </c>
      <c r="F53" s="386" t="e">
        <f aca="false">+(BS_IS!G38+BS_IS!G39+BS_IS!G40)/BS_IS!G38</f>
        <v>#DIV/0!</v>
      </c>
      <c r="G53" s="386" t="e">
        <f aca="false">+(BS_IS!H38+BS_IS!H39+BS_IS!H40)/BS_IS!H38</f>
        <v>#DIV/0!</v>
      </c>
      <c r="H53" s="386" t="e">
        <f aca="false">+(BS_IS!I38+BS_IS!I39+BS_IS!I40)/BS_IS!I38</f>
        <v>#DIV/0!</v>
      </c>
      <c r="I53" s="397" t="n">
        <f aca="false">+(BS_IS!J38+BS_IS!J39+BS_IS!J40)/BS_IS!J38</f>
        <v>0.602411355934517</v>
      </c>
      <c r="J53" s="397" t="n">
        <f aca="false">+(BS_IS!K38+BS_IS!K39+BS_IS!K40)/BS_IS!K38</f>
        <v>0.591183034234091</v>
      </c>
      <c r="K53" s="397" t="n">
        <f aca="false">+(BS_IS!L38+BS_IS!L39+BS_IS!L40)/BS_IS!L38</f>
        <v>0.547148001772376</v>
      </c>
      <c r="L53" s="397" t="n">
        <f aca="false">+(BS_IS!M38+BS_IS!M39+BS_IS!M40)/BS_IS!M38</f>
        <v>0.746265981409414</v>
      </c>
      <c r="M53" s="397" t="n">
        <f aca="false">+(BS_IS!N38+BS_IS!N39+BS_IS!N40)/BS_IS!N38</f>
        <v>0.738020136194749</v>
      </c>
      <c r="N53" s="397" t="n">
        <f aca="false">+(BS_IS!O38+BS_IS!O39+BS_IS!O40)/BS_IS!O38</f>
        <v>0.868079919467666</v>
      </c>
      <c r="O53" s="397" t="n">
        <f aca="false">+(BS_IS!P38+BS_IS!P39+BS_IS!P40)/BS_IS!P38</f>
        <v>0.877514059512289</v>
      </c>
      <c r="P53" s="397" t="n">
        <f aca="false">+(BS_IS!Q38+BS_IS!Q39+BS_IS!Q40)/BS_IS!Q38</f>
        <v>0.857125102582474</v>
      </c>
      <c r="Q53" s="397" t="n">
        <f aca="false">+(BS_IS!R38+BS_IS!R39+BS_IS!R40)/BS_IS!R38</f>
        <v>0.883286831844355</v>
      </c>
      <c r="R53" s="397" t="n">
        <f aca="false">+(BS_IS!S38+BS_IS!S39+BS_IS!S40)/BS_IS!S38</f>
        <v>0.886484634333444</v>
      </c>
      <c r="S53" s="397" t="n">
        <f aca="false">+(BS_IS!T38+BS_IS!T39+BS_IS!T40)/BS_IS!T38</f>
        <v>0.899534898849822</v>
      </c>
      <c r="T53" s="397" t="n">
        <f aca="false">+(BS_IS!U38+BS_IS!U39+BS_IS!U40)/BS_IS!U38</f>
        <v>0.933758839797075</v>
      </c>
      <c r="U53" s="397" t="n">
        <f aca="false">+(BS_IS!V38+BS_IS!V39+BS_IS!V40)/BS_IS!V38</f>
        <v>0.866048899784685</v>
      </c>
      <c r="V53" s="397" t="n">
        <f aca="false">+(BS_IS!W38+BS_IS!W39+BS_IS!W40)/BS_IS!W38</f>
        <v>0.92270263101461</v>
      </c>
      <c r="W53" s="397" t="n">
        <f aca="false">+(BS_IS!X38+BS_IS!X39+BS_IS!X40)/BS_IS!X38</f>
        <v>0.925132530775194</v>
      </c>
      <c r="X53" s="397" t="n">
        <f aca="false">+(BS_IS!Y38+BS_IS!Y39+BS_IS!Y40)/BS_IS!Y38</f>
        <v>0.923552012266453</v>
      </c>
      <c r="Y53" s="397" t="n">
        <f aca="false">+(BS_IS!Z38+BS_IS!Z39+BS_IS!Z40)/BS_IS!Z38</f>
        <v>0.932246931469247</v>
      </c>
      <c r="Z53" s="397" t="n">
        <f aca="false">+(BS_IS!AA38+BS_IS!AA39+BS_IS!AA40)/BS_IS!AA38</f>
        <v>0.939551924953179</v>
      </c>
      <c r="AA53" s="397" t="n">
        <f aca="false">+(BS_IS!AB38+BS_IS!AB39+BS_IS!AB40)/BS_IS!AB38</f>
        <v>0.945418009771329</v>
      </c>
    </row>
    <row r="54" customFormat="false" ht="12.75" hidden="false" customHeight="false" outlineLevel="0" collapsed="false">
      <c r="A54" s="399" t="s">
        <v>399</v>
      </c>
      <c r="E54" s="404" t="n">
        <f aca="false">AVERAGE(I54:AA54)</f>
        <v>0.836077143998262</v>
      </c>
      <c r="F54" s="386" t="e">
        <f aca="false">BS_IS!G41/BS_IS!G38</f>
        <v>#DIV/0!</v>
      </c>
      <c r="G54" s="386" t="e">
        <f aca="false">BS_IS!H41/BS_IS!H38</f>
        <v>#DIV/0!</v>
      </c>
      <c r="H54" s="386" t="e">
        <f aca="false">BS_IS!I41/BS_IS!I38</f>
        <v>#DIV/0!</v>
      </c>
      <c r="I54" s="386" t="n">
        <f aca="false">BS_IS!J41/BS_IS!J38</f>
        <v>0.602411355934517</v>
      </c>
      <c r="J54" s="386" t="n">
        <f aca="false">BS_IS!K41/BS_IS!K38</f>
        <v>0.591183034234091</v>
      </c>
      <c r="K54" s="386" t="n">
        <f aca="false">BS_IS!L41/BS_IS!L38</f>
        <v>0.547148001772376</v>
      </c>
      <c r="L54" s="386" t="n">
        <f aca="false">BS_IS!M41/BS_IS!M38</f>
        <v>0.746265981409414</v>
      </c>
      <c r="M54" s="386" t="n">
        <f aca="false">BS_IS!N41/BS_IS!N38</f>
        <v>0.738020136194749</v>
      </c>
      <c r="N54" s="386" t="n">
        <f aca="false">BS_IS!O41/BS_IS!O38</f>
        <v>0.868079919467666</v>
      </c>
      <c r="O54" s="386" t="n">
        <f aca="false">BS_IS!P41/BS_IS!P38</f>
        <v>0.877514059512289</v>
      </c>
      <c r="P54" s="386" t="n">
        <f aca="false">BS_IS!Q41/BS_IS!Q38</f>
        <v>0.857125102582474</v>
      </c>
      <c r="Q54" s="386" t="n">
        <f aca="false">BS_IS!R41/BS_IS!R38</f>
        <v>0.883286831844355</v>
      </c>
      <c r="R54" s="386" t="n">
        <f aca="false">BS_IS!S41/BS_IS!S38</f>
        <v>0.886484634333444</v>
      </c>
      <c r="S54" s="386" t="n">
        <f aca="false">BS_IS!T41/BS_IS!T38</f>
        <v>0.899534898849822</v>
      </c>
      <c r="T54" s="386" t="n">
        <f aca="false">BS_IS!U41/BS_IS!U38</f>
        <v>0.933758839797075</v>
      </c>
      <c r="U54" s="386" t="n">
        <f aca="false">BS_IS!V41/BS_IS!V38</f>
        <v>0.866048899784685</v>
      </c>
      <c r="V54" s="386" t="n">
        <f aca="false">BS_IS!W41/BS_IS!W38</f>
        <v>0.92270263101461</v>
      </c>
      <c r="W54" s="386" t="n">
        <f aca="false">BS_IS!X41/BS_IS!X38</f>
        <v>0.925132530775194</v>
      </c>
      <c r="X54" s="386" t="n">
        <f aca="false">BS_IS!Y41/BS_IS!Y38</f>
        <v>0.923552012266453</v>
      </c>
      <c r="Y54" s="386" t="n">
        <f aca="false">BS_IS!Z41/BS_IS!Z38</f>
        <v>0.932246931469247</v>
      </c>
      <c r="Z54" s="386" t="n">
        <f aca="false">BS_IS!AA41/BS_IS!AA38</f>
        <v>0.939551924953179</v>
      </c>
      <c r="AA54" s="386" t="n">
        <f aca="false">BS_IS!AB41/BS_IS!AB38</f>
        <v>0.945418009771329</v>
      </c>
    </row>
    <row r="55" customFormat="false" ht="12.75" hidden="false" customHeight="false" outlineLevel="0" collapsed="false">
      <c r="A55" s="399" t="s">
        <v>441</v>
      </c>
      <c r="E55" s="404" t="n">
        <f aca="false">AVERAGE(I55:AA55)</f>
        <v>0.306086546332002</v>
      </c>
      <c r="F55" s="386" t="e">
        <f aca="false">+F42</f>
        <v>#DIV/0!</v>
      </c>
      <c r="G55" s="386" t="e">
        <f aca="false">+G42</f>
        <v>#DIV/0!</v>
      </c>
      <c r="H55" s="386" t="e">
        <f aca="false">+H42</f>
        <v>#DIV/0!</v>
      </c>
      <c r="I55" s="386" t="n">
        <f aca="false">+I42</f>
        <v>-0.128650746530201</v>
      </c>
      <c r="J55" s="386" t="n">
        <f aca="false">+J42</f>
        <v>-0.149094699441794</v>
      </c>
      <c r="K55" s="386" t="n">
        <f aca="false">+K42</f>
        <v>-0.16315874190099</v>
      </c>
      <c r="L55" s="386" t="n">
        <f aca="false">+L42</f>
        <v>0.073707307033257</v>
      </c>
      <c r="M55" s="386" t="n">
        <f aca="false">+M42</f>
        <v>0.112747064852499</v>
      </c>
      <c r="N55" s="386" t="n">
        <f aca="false">+N42</f>
        <v>0.265124589130444</v>
      </c>
      <c r="O55" s="386" t="n">
        <f aca="false">+O42</f>
        <v>0.27114288955335</v>
      </c>
      <c r="P55" s="386" t="n">
        <f aca="false">+P42</f>
        <v>0.297607818311052</v>
      </c>
      <c r="Q55" s="386" t="n">
        <f aca="false">+Q42</f>
        <v>0.344634651089108</v>
      </c>
      <c r="R55" s="386" t="n">
        <f aca="false">+R42</f>
        <v>0.370687451613067</v>
      </c>
      <c r="S55" s="386" t="n">
        <f aca="false">+S42</f>
        <v>0.403150912824388</v>
      </c>
      <c r="T55" s="386" t="n">
        <f aca="false">+T42</f>
        <v>0.456155314673951</v>
      </c>
      <c r="U55" s="386" t="n">
        <f aca="false">+U42</f>
        <v>0.431620068651284</v>
      </c>
      <c r="V55" s="386" t="n">
        <f aca="false">+V42</f>
        <v>0.498987228946849</v>
      </c>
      <c r="W55" s="386" t="n">
        <f aca="false">+W42</f>
        <v>0.525924671102362</v>
      </c>
      <c r="X55" s="386" t="n">
        <f aca="false">+X42</f>
        <v>0.538066083786148</v>
      </c>
      <c r="Y55" s="386" t="n">
        <f aca="false">+Y42</f>
        <v>0.548160617305054</v>
      </c>
      <c r="Z55" s="386" t="n">
        <f aca="false">+Z42</f>
        <v>0.557592552051538</v>
      </c>
      <c r="AA55" s="386" t="n">
        <f aca="false">+AA42</f>
        <v>0.561239347256664</v>
      </c>
    </row>
    <row r="56" customFormat="false" ht="12.75" hidden="false" customHeight="false" outlineLevel="0" collapsed="false">
      <c r="A56" s="399" t="s">
        <v>442</v>
      </c>
      <c r="E56" s="404" t="n">
        <f aca="false">AVERAGE(I56:AA56)</f>
        <v>1.37576598851612</v>
      </c>
      <c r="F56" s="405" t="e">
        <f aca="false">+BS_IS!G63/BS_IS!G51</f>
        <v>#DIV/0!</v>
      </c>
      <c r="G56" s="405" t="e">
        <f aca="false">+BS_IS!H63/BS_IS!H51</f>
        <v>#DIV/0!</v>
      </c>
      <c r="H56" s="405" t="e">
        <f aca="false">+BS_IS!I63/BS_IS!I51</f>
        <v>#DIV/0!</v>
      </c>
      <c r="I56" s="406" t="n">
        <f aca="false">+BS_IS!J63/BS_IS!J51</f>
        <v>-6.61098992628372</v>
      </c>
      <c r="J56" s="406" t="n">
        <f aca="false">+BS_IS!K63/BS_IS!K51</f>
        <v>-5.87505634355614</v>
      </c>
      <c r="K56" s="406" t="n">
        <f aca="false">+BS_IS!L63/BS_IS!L51</f>
        <v>-4.9932608414124</v>
      </c>
      <c r="L56" s="406" t="n">
        <f aca="false">+BS_IS!M63/BS_IS!M51</f>
        <v>11.6120855540003</v>
      </c>
      <c r="M56" s="406" t="n">
        <f aca="false">+BS_IS!N63/BS_IS!N51</f>
        <v>6.35395835194208</v>
      </c>
      <c r="N56" s="406" t="n">
        <f aca="false">+BS_IS!O63/BS_IS!O51</f>
        <v>3.15236600449177</v>
      </c>
      <c r="O56" s="406" t="n">
        <f aca="false">+BS_IS!P63/BS_IS!P51</f>
        <v>3.09661713427781</v>
      </c>
      <c r="P56" s="406" t="n">
        <f aca="false">+BS_IS!Q63/BS_IS!Q51</f>
        <v>2.75107525052576</v>
      </c>
      <c r="Q56" s="406" t="n">
        <f aca="false">+BS_IS!R63/BS_IS!R51</f>
        <v>2.44048548553557</v>
      </c>
      <c r="R56" s="406" t="n">
        <f aca="false">+BS_IS!S63/BS_IS!S51</f>
        <v>2.25525562541481</v>
      </c>
      <c r="S56" s="406" t="n">
        <f aca="false">+BS_IS!T63/BS_IS!T51</f>
        <v>1.96986380561603</v>
      </c>
      <c r="T56" s="406" t="n">
        <f aca="false">+BS_IS!U63/BS_IS!U51</f>
        <v>1.45147041596113</v>
      </c>
      <c r="U56" s="406" t="n">
        <f aca="false">+BS_IS!V63/BS_IS!V51</f>
        <v>1.40203711545999</v>
      </c>
      <c r="V56" s="406" t="n">
        <f aca="false">+BS_IS!W63/BS_IS!W51</f>
        <v>1.29298456084849</v>
      </c>
      <c r="W56" s="406" t="n">
        <f aca="false">+BS_IS!X63/BS_IS!X51</f>
        <v>1.22218971270426</v>
      </c>
      <c r="X56" s="406" t="n">
        <f aca="false">+BS_IS!Y63/BS_IS!Y51</f>
        <v>1.187788748983</v>
      </c>
      <c r="Y56" s="406" t="n">
        <f aca="false">+BS_IS!Z63/BS_IS!Z51</f>
        <v>1.16389716873656</v>
      </c>
      <c r="Z56" s="406" t="n">
        <f aca="false">+BS_IS!AA63/BS_IS!AA51</f>
        <v>1.14132575367861</v>
      </c>
      <c r="AA56" s="406" t="n">
        <f aca="false">+BS_IS!AB63/BS_IS!AB51</f>
        <v>1.12546020488229</v>
      </c>
    </row>
    <row r="57" customFormat="false" ht="12.75" hidden="false" customHeight="false" outlineLevel="0" collapsed="false">
      <c r="A57" s="399"/>
      <c r="E57" s="403"/>
      <c r="F57" s="405"/>
      <c r="G57" s="405"/>
      <c r="H57" s="405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</row>
    <row r="58" customFormat="false" ht="12.75" hidden="false" customHeight="false" outlineLevel="0" collapsed="false">
      <c r="A58" s="395" t="s">
        <v>443</v>
      </c>
      <c r="E58" s="403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</row>
    <row r="59" customFormat="false" ht="12.75" hidden="false" customHeight="false" outlineLevel="0" collapsed="false">
      <c r="A59" s="399" t="s">
        <v>404</v>
      </c>
      <c r="E59" s="407" t="n">
        <f aca="false">AVERAGE(F59:AA59)</f>
        <v>0.24866639771669</v>
      </c>
      <c r="F59" s="406" t="n">
        <f aca="false">+BS_IS!G38/(BS_IS!G18)</f>
        <v>0</v>
      </c>
      <c r="G59" s="406" t="n">
        <f aca="false">+BS_IS!H38/((BS_IS!H18+BS_IS!G18)/2)</f>
        <v>0</v>
      </c>
      <c r="H59" s="406" t="n">
        <f aca="false">+BS_IS!I38/((BS_IS!I18+BS_IS!H18)/2)</f>
        <v>0</v>
      </c>
      <c r="I59" s="406" t="n">
        <f aca="false">+BS_IS!J38/((BS_IS!J18+BS_IS!I18)/2)</f>
        <v>0.0925139225700442</v>
      </c>
      <c r="J59" s="406" t="n">
        <f aca="false">+BS_IS!K38/((BS_IS!K18+BS_IS!J18)/2)</f>
        <v>0.158470451639993</v>
      </c>
      <c r="K59" s="406" t="n">
        <f aca="false">+BS_IS!L38/((BS_IS!L18+BS_IS!K18)/2)</f>
        <v>0.169856140168749</v>
      </c>
      <c r="L59" s="406" t="n">
        <f aca="false">+BS_IS!M38/((BS_IS!M18+BS_IS!L18)/2)</f>
        <v>0.182529098934482</v>
      </c>
      <c r="M59" s="406" t="n">
        <f aca="false">+BS_IS!N38/((BS_IS!N18+BS_IS!M18)/2)</f>
        <v>0.19466792317085</v>
      </c>
      <c r="N59" s="406" t="n">
        <f aca="false">+BS_IS!O38/((BS_IS!O18+BS_IS!N18)/2)</f>
        <v>0.207404613604406</v>
      </c>
      <c r="O59" s="406" t="n">
        <f aca="false">+BS_IS!P38/((BS_IS!P18+BS_IS!O18)/2)</f>
        <v>0.222868086064987</v>
      </c>
      <c r="P59" s="406" t="n">
        <f aca="false">+BS_IS!Q38/((BS_IS!Q18+BS_IS!P18)/2)</f>
        <v>0.241587719877099</v>
      </c>
      <c r="Q59" s="406" t="n">
        <f aca="false">+BS_IS!R38/((BS_IS!R18+BS_IS!Q18)/2)</f>
        <v>0.254364762395022</v>
      </c>
      <c r="R59" s="406" t="n">
        <f aca="false">+BS_IS!S38/((BS_IS!S18+BS_IS!R18)/2)</f>
        <v>0.264578081550446</v>
      </c>
      <c r="S59" s="406" t="n">
        <f aca="false">+BS_IS!T38/((BS_IS!T18+BS_IS!S18)/2)</f>
        <v>0.277477655231845</v>
      </c>
      <c r="T59" s="406" t="n">
        <f aca="false">+BS_IS!U38/((BS_IS!U18+BS_IS!T18)/2)</f>
        <v>0.302942266977953</v>
      </c>
      <c r="U59" s="406" t="n">
        <f aca="false">+BS_IS!V38/((BS_IS!V18+BS_IS!U18)/2)</f>
        <v>0.339398078705004</v>
      </c>
      <c r="V59" s="406" t="n">
        <f aca="false">+BS_IS!W38/((BS_IS!W18+BS_IS!V18)/2)</f>
        <v>0.384325049338699</v>
      </c>
      <c r="W59" s="406" t="n">
        <f aca="false">+BS_IS!X38/((BS_IS!X18+BS_IS!W18)/2)</f>
        <v>0.434048904828165</v>
      </c>
      <c r="X59" s="406" t="n">
        <f aca="false">+BS_IS!Y38/((BS_IS!Y18+BS_IS!X18)/2)</f>
        <v>0.469381003622662</v>
      </c>
      <c r="Y59" s="406" t="n">
        <f aca="false">+BS_IS!Z38/((BS_IS!Z18+BS_IS!Y18)/2)</f>
        <v>0.485973465523851</v>
      </c>
      <c r="Z59" s="406" t="n">
        <f aca="false">+BS_IS!AA38/((BS_IS!AA18+BS_IS!Z18)/2)</f>
        <v>0.50450924887573</v>
      </c>
      <c r="AA59" s="406" t="n">
        <f aca="false">+BS_IS!AB38/((BS_IS!AB18+BS_IS!AA18)/2)</f>
        <v>0.283764276687182</v>
      </c>
    </row>
    <row r="60" customFormat="false" ht="12.75" hidden="false" customHeight="false" outlineLevel="0" collapsed="false">
      <c r="A60" s="399" t="s">
        <v>444</v>
      </c>
      <c r="E60" s="408" t="s">
        <v>445</v>
      </c>
      <c r="F60" s="409" t="s">
        <v>445</v>
      </c>
      <c r="G60" s="409" t="s">
        <v>445</v>
      </c>
      <c r="H60" s="409" t="s">
        <v>445</v>
      </c>
      <c r="I60" s="409" t="s">
        <v>445</v>
      </c>
      <c r="J60" s="409" t="s">
        <v>445</v>
      </c>
      <c r="K60" s="409" t="s">
        <v>445</v>
      </c>
      <c r="L60" s="409" t="s">
        <v>445</v>
      </c>
      <c r="M60" s="409" t="s">
        <v>445</v>
      </c>
      <c r="N60" s="409" t="s">
        <v>445</v>
      </c>
      <c r="O60" s="409" t="s">
        <v>445</v>
      </c>
      <c r="P60" s="409" t="s">
        <v>445</v>
      </c>
      <c r="Q60" s="409" t="s">
        <v>445</v>
      </c>
      <c r="R60" s="409" t="s">
        <v>445</v>
      </c>
      <c r="S60" s="409" t="s">
        <v>445</v>
      </c>
      <c r="T60" s="409" t="s">
        <v>445</v>
      </c>
      <c r="U60" s="409" t="s">
        <v>445</v>
      </c>
      <c r="V60" s="409" t="s">
        <v>445</v>
      </c>
      <c r="W60" s="409" t="s">
        <v>445</v>
      </c>
      <c r="X60" s="409" t="s">
        <v>445</v>
      </c>
      <c r="Y60" s="409" t="s">
        <v>445</v>
      </c>
      <c r="Z60" s="409" t="s">
        <v>445</v>
      </c>
      <c r="AA60" s="409" t="s">
        <v>445</v>
      </c>
    </row>
    <row r="61" customFormat="false" ht="12.75" hidden="false" customHeight="false" outlineLevel="0" collapsed="false">
      <c r="A61" s="399" t="s">
        <v>405</v>
      </c>
      <c r="E61" s="407" t="n">
        <f aca="false">AVERAGE(F61:AA61)</f>
        <v>0.487020693061454</v>
      </c>
      <c r="F61" s="406" t="n">
        <f aca="false">+BS_IS!G38/(BS_IS!G16)</f>
        <v>0</v>
      </c>
      <c r="G61" s="406" t="n">
        <f aca="false">+BS_IS!H38/((BS_IS!H16+BS_IS!G16)/2)</f>
        <v>0</v>
      </c>
      <c r="H61" s="406" t="n">
        <f aca="false">+BS_IS!I38/((BS_IS!I16+BS_IS!H16)/2)</f>
        <v>0</v>
      </c>
      <c r="I61" s="406" t="n">
        <f aca="false">+BS_IS!J38/((BS_IS!J16+BS_IS!I16)/2)</f>
        <v>0.101703395696439</v>
      </c>
      <c r="J61" s="406" t="n">
        <f aca="false">+BS_IS!K38/((BS_IS!K16+BS_IS!J16)/2)</f>
        <v>0.178720416379835</v>
      </c>
      <c r="K61" s="406" t="n">
        <f aca="false">+BS_IS!L38/((BS_IS!L16+BS_IS!K16)/2)</f>
        <v>0.194632582449796</v>
      </c>
      <c r="L61" s="406" t="n">
        <f aca="false">+BS_IS!M38/((BS_IS!M16+BS_IS!L16)/2)</f>
        <v>0.212967188840195</v>
      </c>
      <c r="M61" s="406" t="n">
        <f aca="false">+BS_IS!N38/((BS_IS!N16+BS_IS!M16)/2)</f>
        <v>0.232452908612752</v>
      </c>
      <c r="N61" s="406" t="n">
        <f aca="false">+BS_IS!O38/((BS_IS!O16+BS_IS!N16)/2)</f>
        <v>0.255298527666972</v>
      </c>
      <c r="O61" s="406" t="n">
        <f aca="false">+BS_IS!P38/((BS_IS!P16+BS_IS!O16)/2)</f>
        <v>0.281528610016112</v>
      </c>
      <c r="P61" s="406" t="n">
        <f aca="false">+BS_IS!Q38/((BS_IS!Q16+BS_IS!P16)/2)</f>
        <v>0.312778481572285</v>
      </c>
      <c r="Q61" s="406" t="n">
        <f aca="false">+BS_IS!R38/((BS_IS!R16+BS_IS!Q16)/2)</f>
        <v>0.347626677578592</v>
      </c>
      <c r="R61" s="406" t="n">
        <f aca="false">+BS_IS!S38/((BS_IS!S16+BS_IS!R16)/2)</f>
        <v>0.390094579957843</v>
      </c>
      <c r="S61" s="406" t="n">
        <f aca="false">+BS_IS!T38/((BS_IS!T16+BS_IS!S16)/2)</f>
        <v>0.441466229772277</v>
      </c>
      <c r="T61" s="406" t="n">
        <f aca="false">+BS_IS!U38/((BS_IS!U16+BS_IS!T16)/2)</f>
        <v>0.506222636189281</v>
      </c>
      <c r="U61" s="406" t="n">
        <f aca="false">+BS_IS!V38/((BS_IS!V16+BS_IS!U16)/2)</f>
        <v>0.585062619253476</v>
      </c>
      <c r="V61" s="406" t="n">
        <f aca="false">+BS_IS!W38/((BS_IS!W16+BS_IS!V16)/2)</f>
        <v>0.68978903695712</v>
      </c>
      <c r="W61" s="406" t="n">
        <f aca="false">+BS_IS!X38/((BS_IS!X16+BS_IS!W16)/2)</f>
        <v>0.832227338016503</v>
      </c>
      <c r="X61" s="406" t="n">
        <f aca="false">+BS_IS!Y38/((BS_IS!Y16+BS_IS!X16)/2)</f>
        <v>1.03956301667197</v>
      </c>
      <c r="Y61" s="406" t="n">
        <f aca="false">+BS_IS!Z38/((BS_IS!Z16+BS_IS!Y16)/2)</f>
        <v>1.35438517881644</v>
      </c>
      <c r="Z61" s="406" t="n">
        <f aca="false">+BS_IS!AA38/((BS_IS!AA16+BS_IS!Z16)/2)</f>
        <v>1.91233656538585</v>
      </c>
      <c r="AA61" s="406" t="n">
        <f aca="false">+BS_IS!AB38/((BS_IS!AB16+BS_IS!AA16)/2)</f>
        <v>0.845599257518241</v>
      </c>
    </row>
    <row r="62" customFormat="false" ht="12.75" hidden="false" customHeight="false" outlineLevel="0" collapsed="false">
      <c r="A62" s="399"/>
      <c r="E62" s="403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  <c r="AA62" s="406"/>
    </row>
    <row r="63" customFormat="false" ht="12.75" hidden="false" customHeight="false" outlineLevel="0" collapsed="false">
      <c r="A63" s="395" t="s">
        <v>446</v>
      </c>
      <c r="E63" s="403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  <c r="Q63" s="386"/>
      <c r="R63" s="386"/>
      <c r="S63" s="386"/>
      <c r="T63" s="386"/>
      <c r="U63" s="386"/>
      <c r="V63" s="386"/>
      <c r="W63" s="386"/>
      <c r="X63" s="386"/>
      <c r="Y63" s="386"/>
      <c r="Z63" s="386"/>
      <c r="AA63" s="386"/>
    </row>
    <row r="64" customFormat="false" ht="12.75" hidden="false" customHeight="false" outlineLevel="0" collapsed="false">
      <c r="A64" s="399" t="s">
        <v>447</v>
      </c>
      <c r="E64" s="408" t="s">
        <v>445</v>
      </c>
      <c r="F64" s="409" t="s">
        <v>445</v>
      </c>
      <c r="G64" s="409" t="s">
        <v>445</v>
      </c>
      <c r="H64" s="409" t="s">
        <v>445</v>
      </c>
      <c r="I64" s="409" t="s">
        <v>445</v>
      </c>
      <c r="J64" s="409" t="s">
        <v>445</v>
      </c>
      <c r="K64" s="409" t="s">
        <v>445</v>
      </c>
      <c r="L64" s="409" t="s">
        <v>445</v>
      </c>
      <c r="M64" s="409" t="s">
        <v>445</v>
      </c>
      <c r="N64" s="409" t="s">
        <v>445</v>
      </c>
      <c r="O64" s="409" t="s">
        <v>445</v>
      </c>
      <c r="P64" s="409" t="s">
        <v>445</v>
      </c>
      <c r="Q64" s="409" t="s">
        <v>445</v>
      </c>
      <c r="R64" s="409" t="s">
        <v>445</v>
      </c>
      <c r="S64" s="409" t="s">
        <v>445</v>
      </c>
      <c r="T64" s="409" t="s">
        <v>445</v>
      </c>
      <c r="U64" s="409" t="s">
        <v>445</v>
      </c>
      <c r="V64" s="409" t="s">
        <v>445</v>
      </c>
      <c r="W64" s="409" t="s">
        <v>445</v>
      </c>
      <c r="X64" s="409" t="s">
        <v>445</v>
      </c>
      <c r="Y64" s="409" t="s">
        <v>445</v>
      </c>
      <c r="Z64" s="409" t="s">
        <v>445</v>
      </c>
      <c r="AA64" s="409" t="s">
        <v>445</v>
      </c>
    </row>
    <row r="65" customFormat="false" ht="12.75" hidden="false" customHeight="false" outlineLevel="0" collapsed="false">
      <c r="A65" s="399" t="s">
        <v>448</v>
      </c>
      <c r="E65" s="408" t="s">
        <v>445</v>
      </c>
      <c r="F65" s="409" t="s">
        <v>445</v>
      </c>
      <c r="G65" s="409" t="s">
        <v>445</v>
      </c>
      <c r="H65" s="409" t="s">
        <v>445</v>
      </c>
      <c r="I65" s="409" t="s">
        <v>445</v>
      </c>
      <c r="J65" s="409" t="s">
        <v>445</v>
      </c>
      <c r="K65" s="409" t="s">
        <v>445</v>
      </c>
      <c r="L65" s="409" t="s">
        <v>445</v>
      </c>
      <c r="M65" s="409" t="s">
        <v>445</v>
      </c>
      <c r="N65" s="409" t="s">
        <v>445</v>
      </c>
      <c r="O65" s="409" t="s">
        <v>445</v>
      </c>
      <c r="P65" s="409" t="s">
        <v>445</v>
      </c>
      <c r="Q65" s="409" t="s">
        <v>445</v>
      </c>
      <c r="R65" s="409" t="s">
        <v>445</v>
      </c>
      <c r="S65" s="409" t="s">
        <v>445</v>
      </c>
      <c r="T65" s="409" t="s">
        <v>445</v>
      </c>
      <c r="U65" s="409" t="s">
        <v>445</v>
      </c>
      <c r="V65" s="409" t="s">
        <v>445</v>
      </c>
      <c r="W65" s="409" t="s">
        <v>445</v>
      </c>
      <c r="X65" s="409" t="s">
        <v>445</v>
      </c>
      <c r="Y65" s="409" t="s">
        <v>445</v>
      </c>
      <c r="Z65" s="409" t="s">
        <v>445</v>
      </c>
      <c r="AA65" s="409" t="s">
        <v>445</v>
      </c>
    </row>
    <row r="66" customFormat="false" ht="12.75" hidden="false" customHeight="false" outlineLevel="0" collapsed="false">
      <c r="A66" s="399" t="s">
        <v>449</v>
      </c>
      <c r="E66" s="410" t="n">
        <f aca="false">AVERAGE(I66:W66)</f>
        <v>9.277353566991</v>
      </c>
      <c r="F66" s="411" t="e">
        <f aca="false">+(BS_IS!J41+BS_IS!J43)/-SUM(BS_IS!G44:G46)</f>
        <v>#DIV/0!</v>
      </c>
      <c r="G66" s="411" t="e">
        <f aca="false">+(BS_IS!K41+BS_IS!K43)/-SUM(BS_IS!H44:H46)</f>
        <v>#DIV/0!</v>
      </c>
      <c r="H66" s="411" t="e">
        <f aca="false">+(BS_IS!L41+BS_IS!L43)/-SUM(BS_IS!I44:I46)</f>
        <v>#DIV/0!</v>
      </c>
      <c r="I66" s="405" t="n">
        <f aca="false">+(BS_IS!M41+BS_IS!M43)/-SUM(BS_IS!J44:J46)</f>
        <v>2.68194234020848</v>
      </c>
      <c r="J66" s="405" t="n">
        <f aca="false">+(BS_IS!N41+BS_IS!N43)/-SUM(BS_IS!K44:K46)</f>
        <v>1.1483635157665</v>
      </c>
      <c r="K66" s="405" t="n">
        <f aca="false">+(BS_IS!O41+BS_IS!O43)/-SUM(BS_IS!L44:L46)</f>
        <v>1.56019536162696</v>
      </c>
      <c r="L66" s="405" t="n">
        <f aca="false">+(BS_IS!P41+BS_IS!P43)/-SUM(BS_IS!M44:M46)</f>
        <v>1.7129897585131</v>
      </c>
      <c r="M66" s="405" t="n">
        <f aca="false">+(BS_IS!Q41+BS_IS!Q43)/-SUM(BS_IS!N44:N46)</f>
        <v>1.87598315464252</v>
      </c>
      <c r="N66" s="405" t="n">
        <f aca="false">+(BS_IS!R41+BS_IS!R43)/-SUM(BS_IS!O44:O46)</f>
        <v>2.26303438008421</v>
      </c>
      <c r="O66" s="405" t="n">
        <f aca="false">+(BS_IS!S41+BS_IS!S43)/-SUM(BS_IS!P44:P46)</f>
        <v>2.72877777474921</v>
      </c>
      <c r="P66" s="405" t="n">
        <f aca="false">+(BS_IS!T41+BS_IS!T43)/-SUM(BS_IS!Q44:Q46)</f>
        <v>3.44635449381056</v>
      </c>
      <c r="Q66" s="405" t="n">
        <f aca="false">+(BS_IS!U41+BS_IS!U43)/-SUM(BS_IS!R44:R46)</f>
        <v>4.30881647025902</v>
      </c>
      <c r="R66" s="405" t="n">
        <f aca="false">+(BS_IS!V41+BS_IS!V43)/-SUM(BS_IS!S44:S46)</f>
        <v>4.56364712922848</v>
      </c>
      <c r="S66" s="405" t="n">
        <f aca="false">+(BS_IS!W41+BS_IS!W43)/-SUM(BS_IS!T44:T46)</f>
        <v>5.95246396181694</v>
      </c>
      <c r="T66" s="405" t="n">
        <f aca="false">+(BS_IS!X41+BS_IS!X43)/-SUM(BS_IS!U44:U46)</f>
        <v>7.8520467104738</v>
      </c>
      <c r="U66" s="405" t="n">
        <f aca="false">+(BS_IS!Y41+BS_IS!Y43)/-SUM(BS_IS!V44:V46)</f>
        <v>11.4759076847381</v>
      </c>
      <c r="V66" s="405" t="n">
        <f aca="false">+(BS_IS!Z41+BS_IS!Z43)/-SUM(BS_IS!W44:W46)</f>
        <v>19.7675016810209</v>
      </c>
      <c r="W66" s="405" t="n">
        <f aca="false">+(BS_IS!AA41+BS_IS!AA43)/-SUM(BS_IS!X44:X46)</f>
        <v>67.8222790879262</v>
      </c>
      <c r="X66" s="412" t="s">
        <v>450</v>
      </c>
      <c r="Y66" s="412" t="s">
        <v>450</v>
      </c>
      <c r="Z66" s="412" t="s">
        <v>450</v>
      </c>
      <c r="AA66" s="412" t="s">
        <v>450</v>
      </c>
    </row>
    <row r="67" customFormat="false" ht="12.75" hidden="false" customHeight="false" outlineLevel="0" collapsed="false">
      <c r="A67" s="399" t="s">
        <v>451</v>
      </c>
      <c r="E67" s="410" t="n">
        <f aca="false">AVERAGE(I67:W67)</f>
        <v>2.18398520577749</v>
      </c>
      <c r="F67" s="405" t="s">
        <v>450</v>
      </c>
      <c r="G67" s="405" t="s">
        <v>450</v>
      </c>
      <c r="H67" s="405" t="s">
        <v>450</v>
      </c>
      <c r="I67" s="405" t="n">
        <f aca="false">+BS_IS!J41/('Debt Amort'!G14)</f>
        <v>2.00145663013155</v>
      </c>
      <c r="J67" s="405" t="n">
        <f aca="false">+BS_IS!K41/('Debt Amort'!H14)</f>
        <v>1.2170920430117</v>
      </c>
      <c r="K67" s="405" t="n">
        <f aca="false">+BS_IS!L41/('Debt Amort'!I14)</f>
        <v>1.08698122108558</v>
      </c>
      <c r="L67" s="405" t="n">
        <f aca="false">+BS_IS!M41/('Debt Amort'!J14)</f>
        <v>1.1639056819266</v>
      </c>
      <c r="M67" s="405" t="n">
        <f aca="false">+BS_IS!N41/('Debt Amort'!K14)</f>
        <v>1.11128614910343</v>
      </c>
      <c r="N67" s="405" t="n">
        <f aca="false">+BS_IS!O41/('Debt Amort'!L14)</f>
        <v>1.33097129326576</v>
      </c>
      <c r="O67" s="405" t="n">
        <f aca="false">+BS_IS!P41/('Debt Amort'!M14)</f>
        <v>1.41429796667539</v>
      </c>
      <c r="P67" s="405" t="n">
        <f aca="false">+BS_IS!Q41/('Debt Amort'!N14)</f>
        <v>1.80261877180595</v>
      </c>
      <c r="Q67" s="405" t="n">
        <f aca="false">+BS_IS!R41/('Debt Amort'!O14)</f>
        <v>2.49206433510346</v>
      </c>
      <c r="R67" s="405" t="n">
        <f aca="false">+BS_IS!S41/('Debt Amort'!P14)</f>
        <v>2.72050269320077</v>
      </c>
      <c r="S67" s="405" t="n">
        <f aca="false">+BS_IS!T41/('Debt Amort'!Q14)</f>
        <v>2.65268536509508</v>
      </c>
      <c r="T67" s="405" t="n">
        <f aca="false">+BS_IS!U41/('Debt Amort'!R14)</f>
        <v>2.71331873369326</v>
      </c>
      <c r="U67" s="405" t="n">
        <f aca="false">+BS_IS!V41/('Debt Amort'!S14)</f>
        <v>2.79438175419292</v>
      </c>
      <c r="V67" s="405" t="n">
        <f aca="false">+BS_IS!W41/('Debt Amort'!T14)</f>
        <v>3.24030501010501</v>
      </c>
      <c r="W67" s="405" t="n">
        <f aca="false">+BS_IS!X41/('Debt Amort'!U14)</f>
        <v>5.01791043826583</v>
      </c>
      <c r="X67" s="412" t="s">
        <v>450</v>
      </c>
      <c r="Y67" s="412" t="s">
        <v>450</v>
      </c>
      <c r="Z67" s="412" t="s">
        <v>450</v>
      </c>
      <c r="AA67" s="412" t="s">
        <v>450</v>
      </c>
    </row>
    <row r="68" customFormat="false" ht="12.75" hidden="false" customHeight="false" outlineLevel="0" collapsed="false">
      <c r="F68" s="405"/>
      <c r="G68" s="386"/>
      <c r="H68" s="386"/>
      <c r="I68" s="386"/>
      <c r="J68" s="386"/>
      <c r="K68" s="386"/>
      <c r="L68" s="386"/>
      <c r="M68" s="386"/>
      <c r="N68" s="386"/>
      <c r="O68" s="386"/>
      <c r="P68" s="386"/>
      <c r="Q68" s="386"/>
      <c r="R68" s="386"/>
      <c r="S68" s="386"/>
      <c r="T68" s="386"/>
      <c r="U68" s="386"/>
      <c r="V68" s="386"/>
      <c r="W68" s="386"/>
      <c r="X68" s="386"/>
      <c r="Y68" s="386"/>
      <c r="Z68" s="386"/>
      <c r="AA68" s="386"/>
    </row>
    <row r="69" customFormat="false" ht="12.75" hidden="false" customHeight="false" outlineLevel="0" collapsed="false"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6"/>
      <c r="Q69" s="386"/>
      <c r="R69" s="386"/>
      <c r="S69" s="386"/>
      <c r="T69" s="386"/>
      <c r="U69" s="386"/>
      <c r="V69" s="386"/>
      <c r="W69" s="386"/>
      <c r="X69" s="386"/>
      <c r="Y69" s="386"/>
      <c r="Z69" s="386"/>
      <c r="AA69" s="386"/>
    </row>
    <row r="70" customFormat="false" ht="12.75" hidden="false" customHeight="false" outlineLevel="0" collapsed="false"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  <c r="Q70" s="386"/>
      <c r="R70" s="386"/>
      <c r="S70" s="386"/>
      <c r="T70" s="386"/>
      <c r="U70" s="386"/>
      <c r="V70" s="386"/>
      <c r="W70" s="386"/>
      <c r="X70" s="386"/>
      <c r="Y70" s="386"/>
      <c r="Z70" s="386"/>
      <c r="AA70" s="386"/>
    </row>
    <row r="71" customFormat="false" ht="12.75" hidden="false" customHeight="false" outlineLevel="0" collapsed="false">
      <c r="F71" s="386"/>
      <c r="G71" s="386"/>
      <c r="H71" s="386"/>
      <c r="I71" s="386"/>
      <c r="J71" s="386"/>
      <c r="K71" s="386"/>
      <c r="L71" s="386"/>
      <c r="M71" s="386"/>
      <c r="N71" s="386"/>
      <c r="O71" s="386"/>
      <c r="P71" s="386"/>
      <c r="Q71" s="386"/>
      <c r="R71" s="386"/>
      <c r="S71" s="386"/>
      <c r="T71" s="386"/>
      <c r="U71" s="386"/>
      <c r="V71" s="386"/>
      <c r="W71" s="386"/>
      <c r="X71" s="386"/>
      <c r="Y71" s="386"/>
      <c r="Z71" s="386"/>
      <c r="AA71" s="386"/>
    </row>
    <row r="72" customFormat="false" ht="12.75" hidden="false" customHeight="false" outlineLevel="0" collapsed="false">
      <c r="F72" s="386"/>
      <c r="G72" s="386"/>
      <c r="H72" s="386"/>
      <c r="I72" s="386"/>
      <c r="J72" s="386"/>
      <c r="K72" s="386"/>
      <c r="L72" s="386"/>
      <c r="M72" s="386"/>
      <c r="N72" s="386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</row>
    <row r="73" customFormat="false" ht="12.75" hidden="false" customHeight="false" outlineLevel="0" collapsed="false">
      <c r="F73" s="386"/>
      <c r="G73" s="386"/>
      <c r="H73" s="386"/>
      <c r="I73" s="386"/>
      <c r="J73" s="386"/>
      <c r="K73" s="386"/>
      <c r="L73" s="386"/>
      <c r="M73" s="386"/>
      <c r="N73" s="386"/>
      <c r="O73" s="386"/>
      <c r="P73" s="386"/>
      <c r="Q73" s="386"/>
      <c r="R73" s="386"/>
      <c r="S73" s="386"/>
      <c r="T73" s="386"/>
      <c r="U73" s="386"/>
      <c r="V73" s="386"/>
      <c r="W73" s="386"/>
      <c r="X73" s="386"/>
      <c r="Y73" s="386"/>
      <c r="Z73" s="386"/>
      <c r="AA73" s="38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0"/>
  <sheetViews>
    <sheetView showFormulas="false" showGridLines="false" showRowColHeaders="true" showZeros="true" rightToLeft="false" tabSelected="false" showOutlineSymbols="true" defaultGridColor="true" view="normal" topLeftCell="A18" colorId="64" zoomScale="90" zoomScaleNormal="90" zoomScalePageLayoutView="100" workbookViewId="0">
      <selection pane="topLeft" activeCell="K38" activeCellId="0" sqref="K3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39" width="2.7"/>
    <col collapsed="false" customWidth="false" hidden="false" outlineLevel="0" max="3" min="3" style="39" width="9.14"/>
    <col collapsed="false" customWidth="true" hidden="false" outlineLevel="0" max="4" min="4" style="1" width="14.14"/>
    <col collapsed="false" customWidth="true" hidden="false" outlineLevel="0" max="5" min="5" style="1" width="8.41"/>
    <col collapsed="false" customWidth="true" hidden="false" outlineLevel="0" max="28" min="6" style="1" width="10.71"/>
    <col collapsed="false" customWidth="true" hidden="false" outlineLevel="0" max="29" min="29" style="39" width="10.71"/>
    <col collapsed="false" customWidth="false" hidden="false" outlineLevel="0" max="257" min="30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16"/>
      <c r="D1" s="414"/>
      <c r="E1" s="415"/>
      <c r="F1" s="15"/>
      <c r="G1" s="415"/>
      <c r="H1" s="415"/>
      <c r="I1" s="415"/>
      <c r="J1" s="416"/>
      <c r="K1" s="415"/>
      <c r="L1" s="415"/>
      <c r="M1" s="417"/>
      <c r="N1" s="415"/>
      <c r="O1" s="415"/>
      <c r="P1" s="415"/>
      <c r="Q1" s="415"/>
      <c r="R1" s="415"/>
      <c r="S1" s="415"/>
      <c r="T1" s="415"/>
      <c r="U1" s="418"/>
      <c r="V1" s="415"/>
      <c r="W1" s="415"/>
      <c r="X1" s="415"/>
      <c r="Y1" s="415"/>
      <c r="Z1" s="415"/>
      <c r="AA1" s="415"/>
      <c r="AB1" s="415"/>
      <c r="AC1" s="67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16"/>
      <c r="D2" s="414"/>
      <c r="E2" s="415"/>
      <c r="F2" s="15"/>
      <c r="G2" s="415"/>
      <c r="H2" s="415"/>
      <c r="I2" s="415"/>
      <c r="J2" s="416"/>
      <c r="K2" s="415"/>
      <c r="L2" s="415"/>
      <c r="M2" s="417"/>
      <c r="N2" s="415"/>
      <c r="O2" s="415"/>
      <c r="P2" s="415"/>
      <c r="Q2" s="415"/>
      <c r="R2" s="415"/>
      <c r="S2" s="415"/>
      <c r="T2" s="415"/>
      <c r="U2" s="418"/>
      <c r="V2" s="415"/>
      <c r="W2" s="415"/>
      <c r="X2" s="415"/>
      <c r="Y2" s="415"/>
      <c r="Z2" s="415"/>
      <c r="AA2" s="415"/>
      <c r="AB2" s="415"/>
      <c r="AC2" s="67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16"/>
      <c r="D3" s="420"/>
      <c r="E3" s="415"/>
      <c r="F3" s="15"/>
      <c r="G3" s="415"/>
      <c r="H3" s="421"/>
      <c r="I3" s="415"/>
      <c r="J3" s="416"/>
      <c r="K3" s="415"/>
      <c r="L3" s="415"/>
      <c r="M3" s="417"/>
      <c r="N3" s="415"/>
      <c r="O3" s="415"/>
      <c r="P3" s="415"/>
      <c r="Q3" s="415"/>
      <c r="R3" s="415"/>
      <c r="S3" s="415"/>
      <c r="T3" s="415"/>
      <c r="U3" s="415"/>
      <c r="V3" s="422"/>
      <c r="W3" s="422"/>
      <c r="X3" s="415"/>
      <c r="Y3" s="415"/>
      <c r="Z3" s="415"/>
      <c r="AA3" s="415"/>
      <c r="AB3" s="415"/>
      <c r="AC3" s="67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452</v>
      </c>
      <c r="B4" s="21"/>
      <c r="C4" s="423"/>
      <c r="D4" s="21"/>
      <c r="E4" s="424"/>
      <c r="F4" s="15"/>
      <c r="G4" s="415"/>
      <c r="H4" s="421"/>
      <c r="I4" s="415"/>
      <c r="J4" s="416"/>
      <c r="K4" s="415"/>
      <c r="L4" s="415"/>
      <c r="M4" s="417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67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419"/>
      <c r="AE5" s="419" t="s">
        <v>312</v>
      </c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/>
      <c r="B6" s="26"/>
      <c r="C6" s="26"/>
      <c r="D6" s="26"/>
      <c r="E6" s="26"/>
      <c r="F6" s="425" t="s">
        <v>453</v>
      </c>
      <c r="G6" s="426" t="n">
        <v>0</v>
      </c>
      <c r="H6" s="26" t="n">
        <f aca="false">IF(H$7&lt;YEAR(Startops1),0,G$6+1)</f>
        <v>0</v>
      </c>
      <c r="I6" s="26" t="n">
        <f aca="false">IF(I$7&lt;YEAR(Startops1),0,H$6+1)</f>
        <v>0</v>
      </c>
      <c r="J6" s="26" t="n">
        <f aca="false">IF(J$7&lt;YEAR(Startops1),0,I$6+1)</f>
        <v>1</v>
      </c>
      <c r="K6" s="26" t="n">
        <f aca="false">IF(K$7&lt;YEAR(Startops1),0,J$6+1)</f>
        <v>2</v>
      </c>
      <c r="L6" s="26" t="n">
        <f aca="false">IF(L$7&lt;YEAR(Startops1),0,K$6+1)</f>
        <v>3</v>
      </c>
      <c r="M6" s="26" t="n">
        <f aca="false">IF(M$7&lt;YEAR(Startops1),0,L$6+1)</f>
        <v>4</v>
      </c>
      <c r="N6" s="26" t="n">
        <f aca="false">IF(N$7&lt;YEAR(Startops1),0,M$6+1)</f>
        <v>5</v>
      </c>
      <c r="O6" s="26" t="n">
        <f aca="false">IF(O$7&lt;YEAR(Startops1),0,N$6+1)</f>
        <v>6</v>
      </c>
      <c r="P6" s="26" t="n">
        <f aca="false">IF(P$7&lt;YEAR(Startops1),0,O$6+1)</f>
        <v>7</v>
      </c>
      <c r="Q6" s="26" t="n">
        <f aca="false">IF(Q$7&lt;YEAR(Startops1),0,P$6+1)</f>
        <v>8</v>
      </c>
      <c r="R6" s="26" t="n">
        <f aca="false">IF(R$7&lt;YEAR(Startops1),0,Q$6+1)</f>
        <v>9</v>
      </c>
      <c r="S6" s="26" t="n">
        <f aca="false">IF(S$7&lt;YEAR(Startops1),0,R$6+1)</f>
        <v>10</v>
      </c>
      <c r="T6" s="26" t="n">
        <f aca="false">IF(T$7&lt;YEAR(Startops1),0,S$6+1)</f>
        <v>11</v>
      </c>
      <c r="U6" s="26" t="n">
        <f aca="false">IF(U$7&lt;YEAR(Startops1),0,T$6+1)</f>
        <v>12</v>
      </c>
      <c r="V6" s="26" t="n">
        <f aca="false">IF(V$7&lt;YEAR(Startops1),0,U$6+1)</f>
        <v>13</v>
      </c>
      <c r="W6" s="26" t="n">
        <f aca="false">IF(W$7&lt;YEAR(Startops1),0,V$6+1)</f>
        <v>14</v>
      </c>
      <c r="X6" s="26" t="n">
        <f aca="false">IF(X$7&lt;YEAR(Startops1),0,W$6+1)</f>
        <v>15</v>
      </c>
      <c r="Y6" s="26" t="n">
        <f aca="false">IF(Y$7&lt;YEAR(Startops1),0,X$6+1)</f>
        <v>16</v>
      </c>
      <c r="Z6" s="26" t="n">
        <f aca="false">IF(Z$7&lt;YEAR(Startops1),0,Y$6+1)</f>
        <v>17</v>
      </c>
      <c r="AA6" s="26" t="n">
        <f aca="false">IF(AA$7&lt;YEAR(Startops1),0,Z$6+1)</f>
        <v>18</v>
      </c>
      <c r="AB6" s="26" t="n">
        <f aca="false">IF(AB$7&lt;YEAR(Startops1),0,AA$6+1)</f>
        <v>19</v>
      </c>
      <c r="AC6" s="427"/>
      <c r="AE6" s="1" t="s">
        <v>454</v>
      </c>
    </row>
    <row r="7" customFormat="false" ht="13.5" hidden="false" customHeight="false" outlineLevel="0" collapsed="false">
      <c r="A7" s="428" t="s">
        <v>408</v>
      </c>
      <c r="B7" s="429"/>
      <c r="C7" s="429"/>
      <c r="D7" s="22"/>
      <c r="E7" s="22"/>
      <c r="F7" s="430" t="s">
        <v>455</v>
      </c>
      <c r="G7" s="292" t="n">
        <v>1998</v>
      </c>
      <c r="H7" s="293" t="n">
        <f aca="false">G7+1</f>
        <v>1999</v>
      </c>
      <c r="I7" s="293" t="n">
        <f aca="false">H7+1</f>
        <v>2000</v>
      </c>
      <c r="J7" s="293" t="n">
        <f aca="false">I7+1</f>
        <v>2001</v>
      </c>
      <c r="K7" s="293" t="n">
        <f aca="false">J7+1</f>
        <v>2002</v>
      </c>
      <c r="L7" s="293" t="n">
        <f aca="false">K7+1</f>
        <v>2003</v>
      </c>
      <c r="M7" s="293" t="n">
        <f aca="false">L7+1</f>
        <v>2004</v>
      </c>
      <c r="N7" s="293" t="n">
        <f aca="false">M7+1</f>
        <v>2005</v>
      </c>
      <c r="O7" s="293" t="n">
        <f aca="false">N7+1</f>
        <v>2006</v>
      </c>
      <c r="P7" s="293" t="n">
        <f aca="false">O7+1</f>
        <v>2007</v>
      </c>
      <c r="Q7" s="293" t="n">
        <f aca="false">P7+1</f>
        <v>2008</v>
      </c>
      <c r="R7" s="293" t="n">
        <f aca="false">Q7+1</f>
        <v>2009</v>
      </c>
      <c r="S7" s="293" t="n">
        <f aca="false">R7+1</f>
        <v>2010</v>
      </c>
      <c r="T7" s="293" t="n">
        <f aca="false">S7+1</f>
        <v>2011</v>
      </c>
      <c r="U7" s="293" t="n">
        <f aca="false">T7+1</f>
        <v>2012</v>
      </c>
      <c r="V7" s="293" t="n">
        <f aca="false">U7+1</f>
        <v>2013</v>
      </c>
      <c r="W7" s="293" t="n">
        <f aca="false">V7+1</f>
        <v>2014</v>
      </c>
      <c r="X7" s="293" t="n">
        <f aca="false">W7+1</f>
        <v>2015</v>
      </c>
      <c r="Y7" s="293" t="n">
        <f aca="false">X7+1</f>
        <v>2016</v>
      </c>
      <c r="Z7" s="293" t="n">
        <f aca="false">Y7+1</f>
        <v>2017</v>
      </c>
      <c r="AA7" s="293" t="n">
        <f aca="false">Z7+1</f>
        <v>2018</v>
      </c>
      <c r="AB7" s="293" t="n">
        <f aca="false">AA7+1</f>
        <v>2019</v>
      </c>
      <c r="AC7" s="431" t="s">
        <v>316</v>
      </c>
      <c r="AE7" s="432" t="n">
        <v>1</v>
      </c>
    </row>
    <row r="8" customFormat="false" ht="12.75" hidden="false" customHeight="false" outlineLevel="0" collapsed="false">
      <c r="A8" s="34" t="s">
        <v>409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02"/>
      <c r="AE8" s="433" t="n">
        <f aca="false">AE7+1</f>
        <v>2</v>
      </c>
    </row>
    <row r="9" customFormat="false" ht="12.75" hidden="false" customHeight="false" outlineLevel="0" collapsed="false">
      <c r="A9" s="37"/>
      <c r="B9" s="39" t="s">
        <v>410</v>
      </c>
      <c r="D9" s="39"/>
      <c r="E9" s="39"/>
      <c r="F9" s="99" t="n">
        <v>0</v>
      </c>
      <c r="G9" s="61" t="n">
        <f aca="false">G90</f>
        <v>0</v>
      </c>
      <c r="H9" s="61" t="n">
        <f aca="false">H90</f>
        <v>0</v>
      </c>
      <c r="I9" s="61" t="n">
        <f aca="false">I90</f>
        <v>0</v>
      </c>
      <c r="J9" s="61" t="n">
        <f aca="false">J90</f>
        <v>0</v>
      </c>
      <c r="K9" s="61" t="n">
        <f aca="false">K90</f>
        <v>0</v>
      </c>
      <c r="L9" s="61" t="n">
        <f aca="false">L90</f>
        <v>0</v>
      </c>
      <c r="M9" s="61" t="n">
        <f aca="false">M90</f>
        <v>0</v>
      </c>
      <c r="N9" s="61" t="n">
        <f aca="false">N90</f>
        <v>0</v>
      </c>
      <c r="O9" s="61" t="n">
        <f aca="false">O90</f>
        <v>0</v>
      </c>
      <c r="P9" s="61" t="n">
        <f aca="false">P90</f>
        <v>0</v>
      </c>
      <c r="Q9" s="61" t="n">
        <f aca="false">Q90</f>
        <v>0</v>
      </c>
      <c r="R9" s="61" t="n">
        <f aca="false">R90</f>
        <v>0</v>
      </c>
      <c r="S9" s="61" t="n">
        <f aca="false">S90</f>
        <v>0</v>
      </c>
      <c r="T9" s="61" t="n">
        <f aca="false">T90</f>
        <v>0</v>
      </c>
      <c r="U9" s="61" t="n">
        <f aca="false">U90</f>
        <v>0</v>
      </c>
      <c r="V9" s="61" t="n">
        <f aca="false">V90</f>
        <v>0</v>
      </c>
      <c r="W9" s="61" t="n">
        <f aca="false">W90</f>
        <v>0</v>
      </c>
      <c r="X9" s="61" t="n">
        <f aca="false">X90</f>
        <v>0</v>
      </c>
      <c r="Y9" s="61" t="n">
        <f aca="false">Y90</f>
        <v>0</v>
      </c>
      <c r="Z9" s="61" t="n">
        <f aca="false">Z90</f>
        <v>0</v>
      </c>
      <c r="AA9" s="61" t="n">
        <f aca="false">AA90</f>
        <v>0</v>
      </c>
      <c r="AB9" s="61" t="n">
        <f aca="false">AB90</f>
        <v>0</v>
      </c>
      <c r="AC9" s="309"/>
      <c r="AE9" s="433" t="n">
        <f aca="false">AE8+1</f>
        <v>3</v>
      </c>
    </row>
    <row r="10" customFormat="false" ht="12.75" hidden="false" customHeight="false" outlineLevel="0" collapsed="false">
      <c r="A10" s="37"/>
      <c r="B10" s="39" t="s">
        <v>411</v>
      </c>
      <c r="D10" s="39"/>
      <c r="E10" s="39"/>
      <c r="F10" s="99" t="n">
        <v>0</v>
      </c>
      <c r="G10" s="61" t="n">
        <f aca="false">HLOOKUP(G$7,Vat_Table,Trapped!$AB$83)</f>
        <v>825.143076156551</v>
      </c>
      <c r="H10" s="61" t="n">
        <f aca="false">HLOOKUP(H$7,Vat_Table,Trapped!$AB$83)</f>
        <v>6662.84571754275</v>
      </c>
      <c r="I10" s="61" t="n">
        <f aca="false">HLOOKUP(I$7,Vat_Table,Trapped!$AB$83)</f>
        <v>11754.0769209317</v>
      </c>
      <c r="J10" s="61" t="n">
        <f aca="false">HLOOKUP(J$7,Vat_Table,Trapped!$AB$83)</f>
        <v>9897.32515113903</v>
      </c>
      <c r="K10" s="61" t="n">
        <f aca="false">HLOOKUP(K$7,Vat_Table,Trapped!$AB$83)</f>
        <v>6770.16851974792</v>
      </c>
      <c r="L10" s="61" t="n">
        <f aca="false">HLOOKUP(L$7,Vat_Table,Trapped!$AB$83)</f>
        <v>3547.03086002708</v>
      </c>
      <c r="M10" s="61" t="n">
        <f aca="false">HLOOKUP(M$7,Vat_Table,Trapped!$AB$83)</f>
        <v>219.898008273805</v>
      </c>
      <c r="N10" s="61" t="n">
        <f aca="false">HLOOKUP(N$7,Vat_Table,Trapped!$AB$83)</f>
        <v>0</v>
      </c>
      <c r="O10" s="61" t="n">
        <f aca="false">HLOOKUP(O$7,Vat_Table,Trapped!$AB$83)</f>
        <v>0</v>
      </c>
      <c r="P10" s="61" t="n">
        <f aca="false">HLOOKUP(P$7,Vat_Table,Trapped!$AB$83)</f>
        <v>0</v>
      </c>
      <c r="Q10" s="61" t="n">
        <f aca="false">HLOOKUP(Q$7,Vat_Table,Trapped!$AB$83)</f>
        <v>0</v>
      </c>
      <c r="R10" s="61" t="n">
        <f aca="false">HLOOKUP(R$7,Vat_Table,Trapped!$AB$83)</f>
        <v>0</v>
      </c>
      <c r="S10" s="61" t="n">
        <f aca="false">HLOOKUP(S$7,Vat_Table,Trapped!$AB$83)</f>
        <v>0</v>
      </c>
      <c r="T10" s="61" t="n">
        <f aca="false">HLOOKUP(T$7,Vat_Table,Trapped!$AB$83)</f>
        <v>0</v>
      </c>
      <c r="U10" s="61" t="n">
        <f aca="false">HLOOKUP(U$7,Vat_Table,Trapped!$AB$83)</f>
        <v>0</v>
      </c>
      <c r="V10" s="61" t="n">
        <f aca="false">HLOOKUP(V$7,Vat_Table,Trapped!$AB$83)</f>
        <v>0</v>
      </c>
      <c r="W10" s="61" t="n">
        <f aca="false">HLOOKUP(W$7,Vat_Table,Trapped!$AB$83)</f>
        <v>0</v>
      </c>
      <c r="X10" s="61" t="n">
        <f aca="false">HLOOKUP(X$7,Vat_Table,Trapped!$AB$83)</f>
        <v>0</v>
      </c>
      <c r="Y10" s="61" t="n">
        <f aca="false">HLOOKUP(Y$7,Vat_Table,Trapped!$AB$83)</f>
        <v>0</v>
      </c>
      <c r="Z10" s="61" t="n">
        <f aca="false">HLOOKUP(Z$7,Vat_Table,Trapped!$AB$83)</f>
        <v>0</v>
      </c>
      <c r="AA10" s="61" t="n">
        <f aca="false">HLOOKUP(AA$7,Vat_Table,Trapped!$AB$83)</f>
        <v>0</v>
      </c>
      <c r="AB10" s="61" t="n">
        <f aca="false">HLOOKUP(AB$7,Vat_Table,Trapped!$AB$83)</f>
        <v>0</v>
      </c>
      <c r="AC10" s="309"/>
      <c r="AE10" s="433" t="n">
        <f aca="false">AE9+1</f>
        <v>4</v>
      </c>
    </row>
    <row r="11" customFormat="false" ht="12.75" hidden="false" customHeight="false" outlineLevel="0" collapsed="false">
      <c r="A11" s="37"/>
      <c r="B11" s="39" t="s">
        <v>412</v>
      </c>
      <c r="D11" s="39"/>
      <c r="E11" s="39"/>
      <c r="F11" s="99" t="n">
        <v>0</v>
      </c>
      <c r="G11" s="61" t="n">
        <f aca="false">-SUM($G74:G74)</f>
        <v>-0</v>
      </c>
      <c r="H11" s="61" t="n">
        <f aca="false">-SUM($G74:H74)</f>
        <v>-0</v>
      </c>
      <c r="I11" s="61" t="n">
        <f aca="false">-SUM($G74:I74)</f>
        <v>-0</v>
      </c>
      <c r="J11" s="61" t="n">
        <f aca="false">-SUM($G74:J74)</f>
        <v>220</v>
      </c>
      <c r="K11" s="61" t="n">
        <f aca="false">-SUM($G74:K74)</f>
        <v>220</v>
      </c>
      <c r="L11" s="61" t="n">
        <f aca="false">-SUM($G74:L74)</f>
        <v>220</v>
      </c>
      <c r="M11" s="61" t="n">
        <f aca="false">-SUM($G74:M74)</f>
        <v>220</v>
      </c>
      <c r="N11" s="61" t="n">
        <f aca="false">-SUM($G74:N74)</f>
        <v>220</v>
      </c>
      <c r="O11" s="61" t="n">
        <f aca="false">-SUM($G74:O74)</f>
        <v>220</v>
      </c>
      <c r="P11" s="61" t="n">
        <f aca="false">-SUM($G74:P74)</f>
        <v>220</v>
      </c>
      <c r="Q11" s="61" t="n">
        <f aca="false">-SUM($G74:Q74)</f>
        <v>220</v>
      </c>
      <c r="R11" s="61" t="n">
        <f aca="false">-SUM($G74:R74)</f>
        <v>220</v>
      </c>
      <c r="S11" s="61" t="n">
        <f aca="false">-SUM($G74:S74)</f>
        <v>220</v>
      </c>
      <c r="T11" s="61" t="n">
        <f aca="false">-SUM($G74:T74)</f>
        <v>220</v>
      </c>
      <c r="U11" s="61" t="n">
        <f aca="false">-SUM($G74:U74)</f>
        <v>220</v>
      </c>
      <c r="V11" s="61" t="n">
        <f aca="false">-SUM($G74:V74)</f>
        <v>220</v>
      </c>
      <c r="W11" s="61" t="n">
        <f aca="false">-SUM($G74:W74)</f>
        <v>220</v>
      </c>
      <c r="X11" s="61" t="n">
        <f aca="false">-SUM($G74:X74)</f>
        <v>220</v>
      </c>
      <c r="Y11" s="61" t="n">
        <f aca="false">-SUM($G74:Y74)</f>
        <v>220</v>
      </c>
      <c r="Z11" s="61" t="n">
        <f aca="false">-SUM($G74:Z74)</f>
        <v>220</v>
      </c>
      <c r="AA11" s="61" t="n">
        <f aca="false">-SUM($G74:AA74)</f>
        <v>220</v>
      </c>
      <c r="AB11" s="61" t="n">
        <f aca="false">-SUM($G74:AB74)</f>
        <v>220</v>
      </c>
      <c r="AC11" s="309"/>
      <c r="AE11" s="433" t="n">
        <f aca="false">AE10+1</f>
        <v>5</v>
      </c>
    </row>
    <row r="12" customFormat="false" ht="12.75" hidden="false" customHeight="false" outlineLevel="0" collapsed="false">
      <c r="A12" s="37"/>
      <c r="B12" s="39" t="s">
        <v>413</v>
      </c>
      <c r="D12" s="39"/>
      <c r="E12" s="39"/>
      <c r="F12" s="99" t="n">
        <v>0</v>
      </c>
      <c r="G12" s="61" t="n">
        <f aca="false">-SUM($G75:G76)</f>
        <v>-0</v>
      </c>
      <c r="H12" s="61" t="n">
        <f aca="false">-SUM($G75:H76)</f>
        <v>-0</v>
      </c>
      <c r="I12" s="61" t="n">
        <f aca="false">-SUM($G75:I76)</f>
        <v>-0</v>
      </c>
      <c r="J12" s="61" t="n">
        <f aca="false">-SUM($G75:J76)</f>
        <v>6028.02074865771</v>
      </c>
      <c r="K12" s="61" t="n">
        <f aca="false">-SUM($G75:K76)</f>
        <v>11262.8731920703</v>
      </c>
      <c r="L12" s="61" t="n">
        <f aca="false">-SUM($G75:L76)</f>
        <v>15142.660581692</v>
      </c>
      <c r="M12" s="61" t="n">
        <f aca="false">-SUM($G75:M76)</f>
        <v>20730.5637801125</v>
      </c>
      <c r="N12" s="61" t="n">
        <f aca="false">-SUM($G75:N76)</f>
        <v>22462.2853566889</v>
      </c>
      <c r="O12" s="61" t="n">
        <f aca="false">-SUM($G75:O76)</f>
        <v>25939.179127199</v>
      </c>
      <c r="P12" s="61" t="n">
        <f aca="false">-SUM($G75:P76)</f>
        <v>25495.5681891456</v>
      </c>
      <c r="Q12" s="61" t="n">
        <f aca="false">-SUM($G75:Q76)</f>
        <v>27892.2112975992</v>
      </c>
      <c r="R12" s="61" t="n">
        <f aca="false">-SUM($G75:R76)</f>
        <v>33354.2006423198</v>
      </c>
      <c r="S12" s="61" t="n">
        <f aca="false">-SUM($G75:S76)</f>
        <v>39180.2801246261</v>
      </c>
      <c r="T12" s="61" t="n">
        <f aca="false">-SUM($G75:T76)</f>
        <v>42766.5239302223</v>
      </c>
      <c r="U12" s="61" t="n">
        <f aca="false">-SUM($G75:U76)</f>
        <v>40658.9105135858</v>
      </c>
      <c r="V12" s="61" t="n">
        <f aca="false">-SUM($G75:V76)</f>
        <v>38927.8089686012</v>
      </c>
      <c r="W12" s="61" t="n">
        <f aca="false">-SUM($G75:W76)</f>
        <v>37044.8661679424</v>
      </c>
      <c r="X12" s="61" t="n">
        <f aca="false">-SUM($G75:X76)</f>
        <v>37480.7427952921</v>
      </c>
      <c r="Y12" s="61" t="n">
        <f aca="false">-SUM($G75:Y76)</f>
        <v>43829.7016935988</v>
      </c>
      <c r="Z12" s="61" t="n">
        <f aca="false">-SUM($G75:Z76)</f>
        <v>50219.0004943018</v>
      </c>
      <c r="AA12" s="61" t="n">
        <f aca="false">-SUM($G75:AA76)</f>
        <v>56652.0201860145</v>
      </c>
      <c r="AB12" s="61" t="n">
        <f aca="false">-SUM($G75:AB76)</f>
        <v>13.2759999379268</v>
      </c>
      <c r="AC12" s="309"/>
      <c r="AE12" s="433" t="n">
        <f aca="false">AE11+1</f>
        <v>6</v>
      </c>
    </row>
    <row r="13" customFormat="false" ht="12.75" hidden="false" customHeight="false" outlineLevel="0" collapsed="false">
      <c r="A13" s="37"/>
      <c r="B13" s="39" t="s">
        <v>414</v>
      </c>
      <c r="D13" s="39"/>
      <c r="E13" s="39"/>
      <c r="F13" s="434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309"/>
      <c r="AE13" s="433" t="n">
        <f aca="false">AE12+1</f>
        <v>7</v>
      </c>
    </row>
    <row r="14" customFormat="false" ht="12.75" hidden="false" customHeight="false" outlineLevel="0" collapsed="false">
      <c r="A14" s="37"/>
      <c r="C14" s="39" t="s">
        <v>456</v>
      </c>
      <c r="D14" s="39"/>
      <c r="E14" s="39"/>
      <c r="F14" s="99" t="n">
        <v>0</v>
      </c>
      <c r="G14" s="61" t="n">
        <f aca="false">-SUM($G73:G73)</f>
        <v>9547.19329384345</v>
      </c>
      <c r="H14" s="61" t="n">
        <f aca="false">-SUM($G73:H73)</f>
        <v>78028.5962920315</v>
      </c>
      <c r="I14" s="61" t="n">
        <f aca="false">-SUM($G73:I73)</f>
        <v>142672.867669161</v>
      </c>
      <c r="J14" s="61" t="n">
        <f aca="false">-SUM($G73:J73)</f>
        <v>144209.987096609</v>
      </c>
      <c r="K14" s="61" t="n">
        <f aca="false">-SUM($G73:K73)</f>
        <v>144209.987096609</v>
      </c>
      <c r="L14" s="61" t="n">
        <f aca="false">-SUM($G73:L73)</f>
        <v>144209.987096609</v>
      </c>
      <c r="M14" s="61" t="n">
        <f aca="false">-SUM($G73:M73)</f>
        <v>144209.987096609</v>
      </c>
      <c r="N14" s="61" t="n">
        <f aca="false">-SUM($G73:N73)</f>
        <v>144209.987096609</v>
      </c>
      <c r="O14" s="61" t="n">
        <f aca="false">-SUM($G73:O73)</f>
        <v>144209.987096609</v>
      </c>
      <c r="P14" s="61" t="n">
        <f aca="false">-SUM($G73:P73)</f>
        <v>144209.987096609</v>
      </c>
      <c r="Q14" s="61" t="n">
        <f aca="false">-SUM($G73:Q73)</f>
        <v>144209.987096609</v>
      </c>
      <c r="R14" s="61" t="n">
        <f aca="false">-SUM($G73:R73)</f>
        <v>144209.987096609</v>
      </c>
      <c r="S14" s="61" t="n">
        <f aca="false">-SUM($G73:S73)</f>
        <v>144209.987096609</v>
      </c>
      <c r="T14" s="61" t="n">
        <f aca="false">-SUM($G73:T73)</f>
        <v>144209.987096609</v>
      </c>
      <c r="U14" s="61" t="n">
        <f aca="false">-SUM($G73:U73)</f>
        <v>144209.987096609</v>
      </c>
      <c r="V14" s="61" t="n">
        <f aca="false">-SUM($G73:V73)</f>
        <v>144209.987096609</v>
      </c>
      <c r="W14" s="61" t="n">
        <f aca="false">-SUM($G73:W73)</f>
        <v>144209.987096609</v>
      </c>
      <c r="X14" s="61" t="n">
        <f aca="false">-SUM($G73:X73)</f>
        <v>144209.987096609</v>
      </c>
      <c r="Y14" s="61" t="n">
        <f aca="false">-SUM($G73:Y73)</f>
        <v>144209.987096609</v>
      </c>
      <c r="Z14" s="61" t="n">
        <f aca="false">-SUM($G73:Z73)</f>
        <v>144209.987096609</v>
      </c>
      <c r="AA14" s="61" t="n">
        <f aca="false">-SUM($G73:AA73)</f>
        <v>144209.987096609</v>
      </c>
      <c r="AB14" s="61" t="n">
        <f aca="false">-SUM($G73:AB73)</f>
        <v>144209.987096609</v>
      </c>
      <c r="AC14" s="309"/>
      <c r="AE14" s="433" t="n">
        <f aca="false">AE13+1</f>
        <v>8</v>
      </c>
    </row>
    <row r="15" customFormat="false" ht="12.75" hidden="false" customHeight="false" outlineLevel="0" collapsed="false">
      <c r="A15" s="37"/>
      <c r="C15" s="39" t="s">
        <v>457</v>
      </c>
      <c r="D15" s="39"/>
      <c r="E15" s="39"/>
      <c r="F15" s="435" t="n">
        <v>0</v>
      </c>
      <c r="G15" s="311" t="n">
        <f aca="false">SUM($G43:G43)</f>
        <v>0</v>
      </c>
      <c r="H15" s="311" t="n">
        <f aca="false">SUM($G43:H43)</f>
        <v>0</v>
      </c>
      <c r="I15" s="311" t="n">
        <f aca="false">SUM($G43:I43)</f>
        <v>0</v>
      </c>
      <c r="J15" s="311" t="n">
        <f aca="false">SUM($G43:J43)</f>
        <v>-6008.74946235871</v>
      </c>
      <c r="K15" s="311" t="n">
        <f aca="false">SUM($G43:K43)</f>
        <v>-13219.2488171892</v>
      </c>
      <c r="L15" s="311" t="n">
        <f aca="false">SUM($G43:L43)</f>
        <v>-20429.7481720196</v>
      </c>
      <c r="M15" s="311" t="n">
        <f aca="false">SUM($G43:M43)</f>
        <v>-27640.2475268501</v>
      </c>
      <c r="N15" s="311" t="n">
        <f aca="false">SUM($G43:N43)</f>
        <v>-34850.7468816805</v>
      </c>
      <c r="O15" s="311" t="n">
        <f aca="false">SUM($G43:O43)</f>
        <v>-42061.246236511</v>
      </c>
      <c r="P15" s="311" t="n">
        <f aca="false">SUM($G43:P43)</f>
        <v>-49271.7455913414</v>
      </c>
      <c r="Q15" s="311" t="n">
        <f aca="false">SUM($G43:Q43)</f>
        <v>-56482.2449461719</v>
      </c>
      <c r="R15" s="311" t="n">
        <f aca="false">SUM($G43:R43)</f>
        <v>-63692.7443010023</v>
      </c>
      <c r="S15" s="311" t="n">
        <f aca="false">SUM($G43:S43)</f>
        <v>-70903.2436558328</v>
      </c>
      <c r="T15" s="311" t="n">
        <f aca="false">SUM($G43:T43)</f>
        <v>-78113.7430106632</v>
      </c>
      <c r="U15" s="311" t="n">
        <f aca="false">SUM($G43:U43)</f>
        <v>-85324.2423654937</v>
      </c>
      <c r="V15" s="311" t="n">
        <f aca="false">SUM($G43:V43)</f>
        <v>-92534.7417203241</v>
      </c>
      <c r="W15" s="311" t="n">
        <f aca="false">SUM($G43:W43)</f>
        <v>-99745.2410751546</v>
      </c>
      <c r="X15" s="311" t="n">
        <f aca="false">SUM($G43:X43)</f>
        <v>-106955.740429985</v>
      </c>
      <c r="Y15" s="311" t="n">
        <f aca="false">SUM($G43:Y43)</f>
        <v>-114166.239784815</v>
      </c>
      <c r="Z15" s="311" t="n">
        <f aca="false">SUM($G43:Z43)</f>
        <v>-121376.739139646</v>
      </c>
      <c r="AA15" s="311" t="n">
        <f aca="false">SUM($G43:AA43)</f>
        <v>-128587.238494476</v>
      </c>
      <c r="AB15" s="311" t="n">
        <f aca="false">SUM($G43:AB43)</f>
        <v>-130990.73827942</v>
      </c>
      <c r="AC15" s="309"/>
      <c r="AE15" s="433" t="n">
        <f aca="false">AE14+1</f>
        <v>9</v>
      </c>
    </row>
    <row r="16" customFormat="false" ht="12.75" hidden="false" customHeight="false" outlineLevel="0" collapsed="false">
      <c r="A16" s="37"/>
      <c r="C16" s="39" t="s">
        <v>458</v>
      </c>
      <c r="D16" s="39"/>
      <c r="E16" s="39"/>
      <c r="F16" s="61" t="n">
        <f aca="false">SUM(F14:F15)</f>
        <v>0</v>
      </c>
      <c r="G16" s="61" t="n">
        <f aca="false">SUM(G14:G15)</f>
        <v>9547.19329384345</v>
      </c>
      <c r="H16" s="61" t="n">
        <f aca="false">SUM(H14:H15)</f>
        <v>78028.5962920315</v>
      </c>
      <c r="I16" s="61" t="n">
        <f aca="false">SUM(I14:I15)</f>
        <v>142672.867669161</v>
      </c>
      <c r="J16" s="61" t="n">
        <f aca="false">SUM(J14:J15)</f>
        <v>138201.23763425</v>
      </c>
      <c r="K16" s="61" t="n">
        <f aca="false">SUM(K14:K15)</f>
        <v>130990.73827942</v>
      </c>
      <c r="L16" s="61" t="n">
        <f aca="false">SUM(L14:L15)</f>
        <v>123780.238924589</v>
      </c>
      <c r="M16" s="61" t="n">
        <f aca="false">SUM(M14:M15)</f>
        <v>116569.739569759</v>
      </c>
      <c r="N16" s="61" t="n">
        <f aca="false">SUM(N14:N15)</f>
        <v>109359.240214929</v>
      </c>
      <c r="O16" s="61" t="n">
        <f aca="false">SUM(O14:O15)</f>
        <v>102148.740860098</v>
      </c>
      <c r="P16" s="61" t="n">
        <f aca="false">SUM(P14:P15)</f>
        <v>94938.2415052676</v>
      </c>
      <c r="Q16" s="61" t="n">
        <f aca="false">SUM(Q14:Q15)</f>
        <v>87727.7421504372</v>
      </c>
      <c r="R16" s="61" t="n">
        <f aca="false">SUM(R14:R15)</f>
        <v>80517.2427956067</v>
      </c>
      <c r="S16" s="61" t="n">
        <f aca="false">SUM(S14:S15)</f>
        <v>73306.7434407763</v>
      </c>
      <c r="T16" s="61" t="n">
        <f aca="false">SUM(T14:T15)</f>
        <v>66096.2440859458</v>
      </c>
      <c r="U16" s="61" t="n">
        <f aca="false">SUM(U14:U15)</f>
        <v>58885.7447311154</v>
      </c>
      <c r="V16" s="61" t="n">
        <f aca="false">SUM(V14:V15)</f>
        <v>51675.2453762849</v>
      </c>
      <c r="W16" s="61" t="n">
        <f aca="false">SUM(W14:W15)</f>
        <v>44464.7460214545</v>
      </c>
      <c r="X16" s="61" t="n">
        <f aca="false">SUM(X14:X15)</f>
        <v>37254.246666624</v>
      </c>
      <c r="Y16" s="61" t="n">
        <f aca="false">SUM(Y14:Y15)</f>
        <v>30043.7473117936</v>
      </c>
      <c r="Z16" s="61" t="n">
        <f aca="false">SUM(Z14:Z15)</f>
        <v>22833.2479569631</v>
      </c>
      <c r="AA16" s="61" t="n">
        <f aca="false">SUM(AA14:AA15)</f>
        <v>15622.7486021326</v>
      </c>
      <c r="AB16" s="61" t="n">
        <f aca="false">SUM(AB14:AB15)</f>
        <v>13219.2488171892</v>
      </c>
      <c r="AC16" s="309"/>
      <c r="AE16" s="433" t="n">
        <f aca="false">AE15+1</f>
        <v>10</v>
      </c>
    </row>
    <row r="17" customFormat="false" ht="12.75" hidden="false" customHeight="false" outlineLevel="0" collapsed="false">
      <c r="A17" s="37"/>
      <c r="B17" s="39" t="s">
        <v>415</v>
      </c>
      <c r="D17" s="39"/>
      <c r="E17" s="39"/>
      <c r="F17" s="435" t="n">
        <v>0</v>
      </c>
      <c r="G17" s="311" t="n">
        <f aca="false">IF(G$7&lt;YEAR(Startops1),0,IF(HLOOKUP(G$7,Tax_Table,Taxes!$AA$60)&gt;0,HLOOKUP(G$7,Tax_Table,Taxes!$AA$60),0))</f>
        <v>0</v>
      </c>
      <c r="H17" s="311" t="n">
        <f aca="false">IF(H$7&lt;YEAR(Startops1),0,IF(HLOOKUP(H$7,Tax_Table,Taxes!$AA$60)&gt;0,HLOOKUP(H$7,Tax_Table,Taxes!$AA$60),0))</f>
        <v>0</v>
      </c>
      <c r="I17" s="311" t="n">
        <f aca="false">IF(I$7&lt;YEAR(Startops1),0,IF(HLOOKUP(I$7,Tax_Table,Taxes!$AA$60)&gt;0,HLOOKUP(I$7,Tax_Table,Taxes!$AA$60),0))</f>
        <v>0</v>
      </c>
      <c r="J17" s="311" t="n">
        <f aca="false">IF(J$7&lt;YEAR(Startops1),0,IF(HLOOKUP(J$7,Tax_Table,Taxes!$AA$60)&gt;0,HLOOKUP(J$7,Tax_Table,Taxes!$AA$60),0))</f>
        <v>0</v>
      </c>
      <c r="K17" s="311" t="n">
        <f aca="false">IF(K$7&lt;YEAR(Startops1),0,IF(HLOOKUP(K$7,Tax_Table,Taxes!$AA$60)&gt;0,HLOOKUP(K$7,Tax_Table,Taxes!$AA$60),0))</f>
        <v>0</v>
      </c>
      <c r="L17" s="311" t="n">
        <f aca="false">IF(L$7&lt;YEAR(Startops1),0,IF(HLOOKUP(L$7,Tax_Table,Taxes!$AA$60)&gt;0,HLOOKUP(L$7,Tax_Table,Taxes!$AA$60),0))</f>
        <v>0</v>
      </c>
      <c r="M17" s="311" t="n">
        <f aca="false">IF(M$7&lt;YEAR(Startops1),0,IF(HLOOKUP(M$7,Tax_Table,Taxes!$AA$60)&gt;0,HLOOKUP(M$7,Tax_Table,Taxes!$AA$60),0))</f>
        <v>0</v>
      </c>
      <c r="N17" s="311" t="n">
        <f aca="false">IF(N$7&lt;YEAR(Startops1),0,IF(HLOOKUP(N$7,Tax_Table,Taxes!$AA$60)&gt;0,HLOOKUP(N$7,Tax_Table,Taxes!$AA$60),0))</f>
        <v>0</v>
      </c>
      <c r="O17" s="311" t="n">
        <f aca="false">IF(O$7&lt;YEAR(Startops1),0,IF(HLOOKUP(O$7,Tax_Table,Taxes!$AA$60)&gt;0,HLOOKUP(O$7,Tax_Table,Taxes!$AA$60),0))</f>
        <v>0</v>
      </c>
      <c r="P17" s="311" t="n">
        <f aca="false">IF(P$7&lt;YEAR(Startops1),0,IF(HLOOKUP(P$7,Tax_Table,Taxes!$AA$60)&gt;0,HLOOKUP(P$7,Tax_Table,Taxes!$AA$60),0))</f>
        <v>0</v>
      </c>
      <c r="Q17" s="311" t="n">
        <f aca="false">IF(Q$7&lt;YEAR(Startops1),0,IF(HLOOKUP(Q$7,Tax_Table,Taxes!$AA$60)&gt;0,HLOOKUP(Q$7,Tax_Table,Taxes!$AA$60),0))</f>
        <v>0</v>
      </c>
      <c r="R17" s="311" t="n">
        <f aca="false">IF(R$7&lt;YEAR(Startops1),0,IF(HLOOKUP(R$7,Tax_Table,Taxes!$AA$60)&gt;0,HLOOKUP(R$7,Tax_Table,Taxes!$AA$60),0))</f>
        <v>0</v>
      </c>
      <c r="S17" s="311" t="n">
        <f aca="false">IF(S$7&lt;YEAR(Startops1),0,IF(HLOOKUP(S$7,Tax_Table,Taxes!$AA$60)&gt;0,HLOOKUP(S$7,Tax_Table,Taxes!$AA$60),0))</f>
        <v>0</v>
      </c>
      <c r="T17" s="311" t="n">
        <f aca="false">IF(T$7&lt;YEAR(Startops1),0,IF(HLOOKUP(T$7,Tax_Table,Taxes!$AA$60)&gt;0,HLOOKUP(T$7,Tax_Table,Taxes!$AA$60),0))</f>
        <v>0</v>
      </c>
      <c r="U17" s="311" t="n">
        <f aca="false">IF(U$7&lt;YEAR(Startops1),0,IF(HLOOKUP(U$7,Tax_Table,Taxes!$AA$60)&gt;0,HLOOKUP(U$7,Tax_Table,Taxes!$AA$60),0))</f>
        <v>0</v>
      </c>
      <c r="V17" s="311" t="n">
        <f aca="false">IF(V$7&lt;YEAR(Startops1),0,IF(HLOOKUP(V$7,Tax_Table,Taxes!$AA$60)&gt;0,HLOOKUP(V$7,Tax_Table,Taxes!$AA$60),0))</f>
        <v>0</v>
      </c>
      <c r="W17" s="311" t="n">
        <f aca="false">IF(W$7&lt;YEAR(Startops1),0,IF(HLOOKUP(W$7,Tax_Table,Taxes!$AA$60)&gt;0,HLOOKUP(W$7,Tax_Table,Taxes!$AA$60),0))</f>
        <v>0</v>
      </c>
      <c r="X17" s="311" t="n">
        <f aca="false">IF(X$7&lt;YEAR(Startops1),0,IF(HLOOKUP(X$7,Tax_Table,Taxes!$AA$60)&gt;0,HLOOKUP(X$7,Tax_Table,Taxes!$AA$60),0))</f>
        <v>0</v>
      </c>
      <c r="Y17" s="311" t="n">
        <f aca="false">IF(Y$7&lt;YEAR(Startops1),0,IF(HLOOKUP(Y$7,Tax_Table,Taxes!$AA$60)&gt;0,HLOOKUP(Y$7,Tax_Table,Taxes!$AA$60),0))</f>
        <v>0</v>
      </c>
      <c r="Z17" s="311" t="n">
        <f aca="false">IF(Z$7&lt;YEAR(Startops1),0,IF(HLOOKUP(Z$7,Tax_Table,Taxes!$AA$60)&gt;0,HLOOKUP(Z$7,Tax_Table,Taxes!$AA$60),0))</f>
        <v>0</v>
      </c>
      <c r="AA17" s="311" t="n">
        <f aca="false">IF(AA$7&lt;YEAR(Startops1),0,IF(HLOOKUP(AA$7,Tax_Table,Taxes!$AA$60)&gt;0,HLOOKUP(AA$7,Tax_Table,Taxes!$AA$60),0))</f>
        <v>0</v>
      </c>
      <c r="AB17" s="311" t="n">
        <f aca="false">IF(AB$7&lt;YEAR(Startops1),0,IF(HLOOKUP(AB$7,Tax_Table,Taxes!$AA$60)&gt;0,HLOOKUP(AB$7,Tax_Table,Taxes!$AA$60),0))</f>
        <v>0</v>
      </c>
      <c r="AC17" s="313"/>
      <c r="AE17" s="433" t="n">
        <f aca="false">AE16+1</f>
        <v>11</v>
      </c>
    </row>
    <row r="18" customFormat="false" ht="12.75" hidden="false" customHeight="false" outlineLevel="0" collapsed="false">
      <c r="A18" s="37"/>
      <c r="B18" s="39" t="s">
        <v>416</v>
      </c>
      <c r="D18" s="39"/>
      <c r="E18" s="39"/>
      <c r="F18" s="436" t="n">
        <f aca="false">SUM(F9:F12,F16:F17)</f>
        <v>0</v>
      </c>
      <c r="G18" s="436" t="n">
        <f aca="false">SUM(G9:G12,G16:G17)</f>
        <v>10372.33637</v>
      </c>
      <c r="H18" s="436" t="n">
        <f aca="false">SUM(H9:H12,H16:H17)</f>
        <v>84691.4420095743</v>
      </c>
      <c r="I18" s="436" t="n">
        <f aca="false">SUM(I9:I12,I16:I17)</f>
        <v>154426.944590093</v>
      </c>
      <c r="J18" s="436" t="n">
        <f aca="false">SUM(J9:J12,J16:J17)</f>
        <v>154346.583534047</v>
      </c>
      <c r="K18" s="436" t="n">
        <f aca="false">SUM(K9:K12,K16:K17)</f>
        <v>149243.779991238</v>
      </c>
      <c r="L18" s="436" t="n">
        <f aca="false">SUM(L9:L12,L16:L17)</f>
        <v>142689.930366308</v>
      </c>
      <c r="M18" s="436" t="n">
        <f aca="false">SUM(M9:M12,M16:M17)</f>
        <v>137740.201358145</v>
      </c>
      <c r="N18" s="436" t="n">
        <f aca="false">SUM(N9:N12,N16:N17)</f>
        <v>132041.525571617</v>
      </c>
      <c r="O18" s="436" t="n">
        <f aca="false">SUM(O9:O12,O16:O17)</f>
        <v>128307.919987297</v>
      </c>
      <c r="P18" s="436" t="n">
        <f aca="false">SUM(P9:P12,P16:P17)</f>
        <v>120653.809694413</v>
      </c>
      <c r="Q18" s="436" t="n">
        <f aca="false">SUM(Q9:Q12,Q16:Q17)</f>
        <v>115839.953448036</v>
      </c>
      <c r="R18" s="436" t="n">
        <f aca="false">SUM(R9:R12,R16:R17)</f>
        <v>114091.443437927</v>
      </c>
      <c r="S18" s="436" t="n">
        <f aca="false">SUM(S9:S12,S16:S17)</f>
        <v>112707.023565402</v>
      </c>
      <c r="T18" s="436" t="n">
        <f aca="false">SUM(T9:T12,T16:T17)</f>
        <v>109082.768016168</v>
      </c>
      <c r="U18" s="436" t="n">
        <f aca="false">SUM(U9:U12,U16:U17)</f>
        <v>99764.6552447012</v>
      </c>
      <c r="V18" s="436" t="n">
        <f aca="false">SUM(V9:V12,V16:V17)</f>
        <v>90823.0543448861</v>
      </c>
      <c r="W18" s="436" t="n">
        <f aca="false">SUM(W9:W12,W16:W17)</f>
        <v>81729.6121893969</v>
      </c>
      <c r="X18" s="436" t="n">
        <f aca="false">SUM(X9:X12,X16:X17)</f>
        <v>74954.9894619161</v>
      </c>
      <c r="Y18" s="436" t="n">
        <f aca="false">SUM(Y9:Y12,Y16:Y17)</f>
        <v>74093.4490053924</v>
      </c>
      <c r="Z18" s="436" t="n">
        <f aca="false">SUM(Z9:Z12,Z16:Z17)</f>
        <v>73272.2484512649</v>
      </c>
      <c r="AA18" s="436" t="n">
        <f aca="false">SUM(AA9:AA12,AA16:AA17)</f>
        <v>72494.7687881472</v>
      </c>
      <c r="AB18" s="436" t="n">
        <f aca="false">SUM(AB9:AB12,AB16:AB17)</f>
        <v>13452.5248171271</v>
      </c>
      <c r="AC18" s="309"/>
      <c r="AE18" s="433" t="n">
        <f aca="false">AE17+1</f>
        <v>12</v>
      </c>
    </row>
    <row r="19" customFormat="false" ht="12.75" hidden="false" customHeight="false" outlineLevel="0" collapsed="false">
      <c r="A19" s="37"/>
      <c r="D19" s="39"/>
      <c r="E19" s="39"/>
      <c r="F19" s="434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309"/>
      <c r="AE19" s="433" t="n">
        <f aca="false">AE18+1</f>
        <v>13</v>
      </c>
    </row>
    <row r="20" customFormat="false" ht="12.75" hidden="false" customHeight="false" outlineLevel="0" collapsed="false">
      <c r="A20" s="97" t="s">
        <v>417</v>
      </c>
      <c r="D20" s="39"/>
      <c r="E20" s="39"/>
      <c r="F20" s="434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309"/>
      <c r="AE20" s="433" t="n">
        <f aca="false">AE19+1</f>
        <v>14</v>
      </c>
    </row>
    <row r="21" customFormat="false" ht="12.75" hidden="false" customHeight="false" outlineLevel="0" collapsed="false">
      <c r="A21" s="37"/>
      <c r="B21" s="39" t="s">
        <v>418</v>
      </c>
      <c r="D21" s="39"/>
      <c r="E21" s="39"/>
      <c r="F21" s="99" t="n">
        <v>0</v>
      </c>
      <c r="G21" s="61" t="n">
        <f aca="false">IF(G$7&lt;YEAR(Startops1),0,IF(HLOOKUP(G$7,Tax_Table,Taxes!$AA$60)&lt;0,-HLOOKUP(G$7,Tax_Table,Taxes!$AA$60),0))</f>
        <v>0</v>
      </c>
      <c r="H21" s="61" t="n">
        <f aca="false">IF(H$7&lt;YEAR(Startops1),0,IF(HLOOKUP(H$7,Tax_Table,Taxes!$AA$60)&lt;0,-HLOOKUP(H$7,Tax_Table,Taxes!$AA$60),0))</f>
        <v>0</v>
      </c>
      <c r="I21" s="61" t="n">
        <f aca="false">IF(I$7&lt;YEAR(Startops1),0,IF(HLOOKUP(I$7,Tax_Table,Taxes!$AA$60)&lt;0,-HLOOKUP(I$7,Tax_Table,Taxes!$AA$60),0))</f>
        <v>0</v>
      </c>
      <c r="J21" s="61" t="n">
        <f aca="false">IF(J$7&lt;YEAR(Startops1),0,IF(HLOOKUP(J$7,Tax_Table,Taxes!$AA$60)&lt;0,-HLOOKUP(J$7,Tax_Table,Taxes!$AA$60),0))</f>
        <v>0</v>
      </c>
      <c r="K21" s="61" t="n">
        <f aca="false">IF(K$7&lt;YEAR(Startops1),0,IF(HLOOKUP(K$7,Tax_Table,Taxes!$AA$60)&lt;0,-HLOOKUP(K$7,Tax_Table,Taxes!$AA$60),0))</f>
        <v>0</v>
      </c>
      <c r="L21" s="61" t="n">
        <f aca="false">IF(L$7&lt;YEAR(Startops1),0,IF(HLOOKUP(L$7,Tax_Table,Taxes!$AA$60)&lt;0,-HLOOKUP(L$7,Tax_Table,Taxes!$AA$60),0))</f>
        <v>0</v>
      </c>
      <c r="M21" s="61" t="n">
        <f aca="false">IF(M$7&lt;YEAR(Startops1),0,IF(HLOOKUP(M$7,Tax_Table,Taxes!$AA$60)&lt;0,-HLOOKUP(M$7,Tax_Table,Taxes!$AA$60),0))</f>
        <v>0</v>
      </c>
      <c r="N21" s="61" t="n">
        <f aca="false">IF(N$7&lt;YEAR(Startops1),0,IF(HLOOKUP(N$7,Tax_Table,Taxes!$AA$60)&lt;0,-HLOOKUP(N$7,Tax_Table,Taxes!$AA$60),0))</f>
        <v>0</v>
      </c>
      <c r="O21" s="61" t="n">
        <f aca="false">IF(O$7&lt;YEAR(Startops1),0,IF(HLOOKUP(O$7,Tax_Table,Taxes!$AA$60)&lt;0,-HLOOKUP(O$7,Tax_Table,Taxes!$AA$60),0))</f>
        <v>840.855935528842</v>
      </c>
      <c r="P21" s="61" t="n">
        <f aca="false">IF(P$7&lt;YEAR(Startops1),0,IF(HLOOKUP(P$7,Tax_Table,Taxes!$AA$60)&lt;0,-HLOOKUP(P$7,Tax_Table,Taxes!$AA$60),0))</f>
        <v>3348.27801446321</v>
      </c>
      <c r="Q21" s="61" t="n">
        <f aca="false">IF(Q$7&lt;YEAR(Startops1),0,IF(HLOOKUP(Q$7,Tax_Table,Taxes!$AA$60)&lt;0,-HLOOKUP(Q$7,Tax_Table,Taxes!$AA$60),0))</f>
        <v>6182.19831754868</v>
      </c>
      <c r="R21" s="61" t="n">
        <f aca="false">IF(R$7&lt;YEAR(Startops1),0,IF(HLOOKUP(R$7,Tax_Table,Taxes!$AA$60)&lt;0,-HLOOKUP(R$7,Tax_Table,Taxes!$AA$60),0))</f>
        <v>9541.60758636636</v>
      </c>
      <c r="S21" s="61" t="n">
        <f aca="false">IF(S$7&lt;YEAR(Startops1),0,IF(HLOOKUP(S$7,Tax_Table,Taxes!$AA$60)&lt;0,-HLOOKUP(S$7,Tax_Table,Taxes!$AA$60),0))</f>
        <v>13248.8468155989</v>
      </c>
      <c r="T21" s="61" t="n">
        <f aca="false">IF(T$7&lt;YEAR(Startops1),0,IF(HLOOKUP(T$7,Tax_Table,Taxes!$AA$60)&lt;0,-HLOOKUP(T$7,Tax_Table,Taxes!$AA$60),0))</f>
        <v>15939.1552994459</v>
      </c>
      <c r="U21" s="61" t="n">
        <f aca="false">IF(U$7&lt;YEAR(Startops1),0,IF(HLOOKUP(U$7,Tax_Table,Taxes!$AA$60)&lt;0,-HLOOKUP(U$7,Tax_Table,Taxes!$AA$60),0))</f>
        <v>14126.9141277979</v>
      </c>
      <c r="V21" s="61" t="n">
        <f aca="false">IF(V$7&lt;YEAR(Startops1),0,IF(HLOOKUP(V$7,Tax_Table,Taxes!$AA$60)&lt;0,-HLOOKUP(V$7,Tax_Table,Taxes!$AA$60),0))</f>
        <v>12324.2892890903</v>
      </c>
      <c r="W21" s="61" t="n">
        <f aca="false">IF(W$7&lt;YEAR(Startops1),0,IF(HLOOKUP(W$7,Tax_Table,Taxes!$AA$60)&lt;0,-HLOOKUP(W$7,Tax_Table,Taxes!$AA$60),0))</f>
        <v>10521.6644503827</v>
      </c>
      <c r="X21" s="61" t="n">
        <f aca="false">IF(X$7&lt;YEAR(Startops1),0,IF(HLOOKUP(X$7,Tax_Table,Taxes!$AA$60)&lt;0,-HLOOKUP(X$7,Tax_Table,Taxes!$AA$60),0))</f>
        <v>8719.03961167505</v>
      </c>
      <c r="Y21" s="61" t="n">
        <f aca="false">IF(Y$7&lt;YEAR(Startops1),0,IF(HLOOKUP(Y$7,Tax_Table,Taxes!$AA$60)&lt;0,-HLOOKUP(Y$7,Tax_Table,Taxes!$AA$60),0))</f>
        <v>6916.41477296744</v>
      </c>
      <c r="Z21" s="61" t="n">
        <f aca="false">IF(Z$7&lt;YEAR(Startops1),0,IF(HLOOKUP(Z$7,Tax_Table,Taxes!$AA$60)&lt;0,-HLOOKUP(Z$7,Tax_Table,Taxes!$AA$60),0))</f>
        <v>5113.78993425983</v>
      </c>
      <c r="AA21" s="61" t="n">
        <f aca="false">IF(AA$7&lt;YEAR(Startops1),0,IF(HLOOKUP(AA$7,Tax_Table,Taxes!$AA$60)&lt;0,-HLOOKUP(AA$7,Tax_Table,Taxes!$AA$60),0))</f>
        <v>3311.16509555221</v>
      </c>
      <c r="AB21" s="61" t="n">
        <f aca="false">IF(AB$7&lt;YEAR(Startops1),0,IF(HLOOKUP(AB$7,Tax_Table,Taxes!$AA$60)&lt;0,-HLOOKUP(AB$7,Tax_Table,Taxes!$AA$60),0))</f>
        <v>2710.29014931634</v>
      </c>
      <c r="AC21" s="309"/>
      <c r="AE21" s="433" t="n">
        <f aca="false">AE20+1</f>
        <v>15</v>
      </c>
    </row>
    <row r="22" customFormat="false" ht="12.75" hidden="false" customHeight="false" outlineLevel="0" collapsed="false">
      <c r="A22" s="37"/>
      <c r="B22" s="39" t="s">
        <v>419</v>
      </c>
      <c r="D22" s="39"/>
      <c r="E22" s="39"/>
      <c r="F22" s="99" t="n">
        <v>0</v>
      </c>
      <c r="G22" s="61" t="n">
        <f aca="false">SUM($G67:G68)</f>
        <v>0</v>
      </c>
      <c r="H22" s="61" t="n">
        <f aca="false">SUM($G67:H68)</f>
        <v>44691.4419995743</v>
      </c>
      <c r="I22" s="61" t="n">
        <f aca="false">SUM($G67:I68)</f>
        <v>0</v>
      </c>
      <c r="J22" s="61" t="n">
        <f aca="false">SUM($G67:J68)</f>
        <v>0</v>
      </c>
      <c r="K22" s="61" t="n">
        <f aca="false">SUM($G67:K68)</f>
        <v>0</v>
      </c>
      <c r="L22" s="61" t="n">
        <f aca="false">SUM($G67:L68)</f>
        <v>0</v>
      </c>
      <c r="M22" s="61" t="n">
        <f aca="false">SUM($G67:M68)</f>
        <v>0</v>
      </c>
      <c r="N22" s="61" t="n">
        <f aca="false">SUM($G67:N68)</f>
        <v>0</v>
      </c>
      <c r="O22" s="61" t="n">
        <f aca="false">SUM($G67:O68)</f>
        <v>0</v>
      </c>
      <c r="P22" s="61" t="n">
        <f aca="false">SUM($G67:P68)</f>
        <v>0</v>
      </c>
      <c r="Q22" s="61" t="n">
        <f aca="false">SUM($G67:Q68)</f>
        <v>0</v>
      </c>
      <c r="R22" s="61" t="n">
        <f aca="false">SUM($G67:R68)</f>
        <v>0</v>
      </c>
      <c r="S22" s="61" t="n">
        <f aca="false">SUM($G67:S68)</f>
        <v>0</v>
      </c>
      <c r="T22" s="61" t="n">
        <f aca="false">SUM($G67:T68)</f>
        <v>0</v>
      </c>
      <c r="U22" s="61" t="n">
        <f aca="false">SUM($G67:U68)</f>
        <v>0</v>
      </c>
      <c r="V22" s="61" t="n">
        <f aca="false">SUM($G67:V68)</f>
        <v>0</v>
      </c>
      <c r="W22" s="61" t="n">
        <f aca="false">SUM($G67:W68)</f>
        <v>0</v>
      </c>
      <c r="X22" s="61" t="n">
        <f aca="false">SUM($G67:X68)</f>
        <v>0</v>
      </c>
      <c r="Y22" s="61" t="n">
        <f aca="false">SUM($G67:Y68)</f>
        <v>0</v>
      </c>
      <c r="Z22" s="61" t="n">
        <f aca="false">SUM($G67:Z68)</f>
        <v>0</v>
      </c>
      <c r="AA22" s="61" t="n">
        <f aca="false">SUM($G67:AA68)</f>
        <v>0</v>
      </c>
      <c r="AB22" s="61" t="n">
        <f aca="false">SUM($G67:AB68)</f>
        <v>0</v>
      </c>
      <c r="AC22" s="309"/>
      <c r="AE22" s="433" t="n">
        <f aca="false">AE21+1</f>
        <v>16</v>
      </c>
    </row>
    <row r="23" customFormat="false" ht="12.75" hidden="false" customHeight="false" outlineLevel="0" collapsed="false">
      <c r="A23" s="37"/>
      <c r="B23" s="39" t="s">
        <v>265</v>
      </c>
      <c r="D23" s="39"/>
      <c r="E23" s="39"/>
      <c r="F23" s="99" t="n">
        <v>0</v>
      </c>
      <c r="G23" s="61" t="n">
        <f aca="false">SUM($G69:G70)</f>
        <v>0</v>
      </c>
      <c r="H23" s="61" t="n">
        <f aca="false">SUM($G69:H70)</f>
        <v>0</v>
      </c>
      <c r="I23" s="61" t="n">
        <f aca="false">SUM($G69:I70)</f>
        <v>91998.4974484965</v>
      </c>
      <c r="J23" s="61" t="n">
        <f aca="false">SUM($G69:J70)</f>
        <v>93710.4555092785</v>
      </c>
      <c r="K23" s="61" t="n">
        <f aca="false">SUM($G69:K70)</f>
        <v>92304.9325487186</v>
      </c>
      <c r="L23" s="61" t="n">
        <f aca="false">SUM($G69:L70)</f>
        <v>89922.009537197</v>
      </c>
      <c r="M23" s="61" t="n">
        <f aca="false">SUM($G69:M70)</f>
        <v>83228.4055722485</v>
      </c>
      <c r="N23" s="61" t="n">
        <f aca="false">SUM($G69:N70)</f>
        <v>74730.7860906936</v>
      </c>
      <c r="O23" s="61" t="n">
        <f aca="false">SUM($G69:O70)</f>
        <v>65103.9556202518</v>
      </c>
      <c r="P23" s="61" t="n">
        <f aca="false">SUM($G69:P70)</f>
        <v>54774.2967334905</v>
      </c>
      <c r="Q23" s="61" t="n">
        <f aca="false">SUM($G69:Q70)</f>
        <v>46937.335963276</v>
      </c>
      <c r="R23" s="61" t="n">
        <f aca="false">SUM($G69:R70)</f>
        <v>41593.0733096082</v>
      </c>
      <c r="S23" s="61" t="n">
        <f aca="false">SUM($G69:S70)</f>
        <v>36248.8106559405</v>
      </c>
      <c r="T23" s="61" t="n">
        <f aca="false">SUM($G69:T70)</f>
        <v>29658.1989439994</v>
      </c>
      <c r="U23" s="61" t="n">
        <f aca="false">SUM($G69:U70)</f>
        <v>21821.2381737849</v>
      </c>
      <c r="V23" s="61" t="n">
        <f aca="false">SUM($G69:V70)</f>
        <v>13984.2774035703</v>
      </c>
      <c r="W23" s="61" t="n">
        <f aca="false">SUM($G69:W70)</f>
        <v>5866.18526682799</v>
      </c>
      <c r="X23" s="61" t="n">
        <f aca="false">SUM($G69:X70)</f>
        <v>0</v>
      </c>
      <c r="Y23" s="61" t="n">
        <f aca="false">SUM($G69:Y70)</f>
        <v>0</v>
      </c>
      <c r="Z23" s="61" t="n">
        <f aca="false">SUM($G69:Z70)</f>
        <v>0</v>
      </c>
      <c r="AA23" s="61" t="n">
        <f aca="false">SUM($G69:AA70)</f>
        <v>0</v>
      </c>
      <c r="AB23" s="61" t="n">
        <f aca="false">SUM($G69:AB70)</f>
        <v>0</v>
      </c>
      <c r="AC23" s="309"/>
      <c r="AE23" s="433" t="n">
        <f aca="false">AE22+1</f>
        <v>17</v>
      </c>
    </row>
    <row r="24" customFormat="false" ht="12.75" hidden="false" customHeight="false" outlineLevel="0" collapsed="false">
      <c r="A24" s="37"/>
      <c r="B24" s="39" t="s">
        <v>267</v>
      </c>
      <c r="D24" s="39"/>
      <c r="E24" s="39"/>
      <c r="F24" s="435" t="n">
        <v>0</v>
      </c>
      <c r="G24" s="311" t="n">
        <f aca="false">SUM($G71:G72)</f>
        <v>0</v>
      </c>
      <c r="H24" s="311" t="n">
        <f aca="false">SUM($G71:H72)</f>
        <v>0</v>
      </c>
      <c r="I24" s="311" t="n">
        <f aca="false">SUM($G71:I72)</f>
        <v>2428.44713159636</v>
      </c>
      <c r="J24" s="311" t="n">
        <f aca="false">SUM($G71:J72)</f>
        <v>2473.63699618568</v>
      </c>
      <c r="K24" s="311" t="n">
        <f aca="false">SUM($G71:K72)</f>
        <v>2362.83701443408</v>
      </c>
      <c r="L24" s="311" t="n">
        <f aca="false">SUM($G71:L72)</f>
        <v>2237.16490513186</v>
      </c>
      <c r="M24" s="311" t="n">
        <f aca="false">SUM($G71:M72)</f>
        <v>2094.62445695856</v>
      </c>
      <c r="N24" s="311" t="n">
        <f aca="false">SUM($G71:N72)</f>
        <v>1932.95151712919</v>
      </c>
      <c r="O24" s="311" t="n">
        <f aca="false">SUM($G71:O72)</f>
        <v>1749.57802695123</v>
      </c>
      <c r="P24" s="311" t="n">
        <f aca="false">SUM($G71:P72)</f>
        <v>1541.59123005413</v>
      </c>
      <c r="Q24" s="311" t="n">
        <f aca="false">SUM($G71:Q72)</f>
        <v>1305.68740534351</v>
      </c>
      <c r="R24" s="311" t="n">
        <f aca="false">SUM($G71:R72)</f>
        <v>1038.11938976112</v>
      </c>
      <c r="S24" s="311" t="n">
        <f aca="false">SUM($G71:S72)</f>
        <v>734.637057287175</v>
      </c>
      <c r="T24" s="311" t="n">
        <f aca="false">SUM($G71:T72)</f>
        <v>390.419808736916</v>
      </c>
      <c r="U24" s="311" t="n">
        <f aca="false">SUM($G71:U72)</f>
        <v>0</v>
      </c>
      <c r="V24" s="311" t="n">
        <f aca="false">SUM($G71:V72)</f>
        <v>0</v>
      </c>
      <c r="W24" s="311" t="n">
        <f aca="false">SUM($G71:W72)</f>
        <v>0</v>
      </c>
      <c r="X24" s="311" t="n">
        <f aca="false">SUM($G71:X72)</f>
        <v>0</v>
      </c>
      <c r="Y24" s="311" t="n">
        <f aca="false">SUM($G71:Y72)</f>
        <v>0</v>
      </c>
      <c r="Z24" s="311" t="n">
        <f aca="false">SUM($G71:Z72)</f>
        <v>0</v>
      </c>
      <c r="AA24" s="311" t="n">
        <f aca="false">SUM($G71:AA72)</f>
        <v>0</v>
      </c>
      <c r="AB24" s="311" t="n">
        <f aca="false">SUM($G71:AB72)</f>
        <v>0</v>
      </c>
      <c r="AC24" s="309"/>
      <c r="AE24" s="433" t="n">
        <f aca="false">AE23+1</f>
        <v>18</v>
      </c>
    </row>
    <row r="25" customFormat="false" ht="12.75" hidden="false" customHeight="false" outlineLevel="0" collapsed="false">
      <c r="A25" s="37"/>
      <c r="C25" s="39" t="s">
        <v>420</v>
      </c>
      <c r="D25" s="39"/>
      <c r="E25" s="39"/>
      <c r="F25" s="61" t="n">
        <f aca="false">SUM(F21:F24)</f>
        <v>0</v>
      </c>
      <c r="G25" s="61" t="n">
        <f aca="false">SUM(G21:G24)</f>
        <v>0</v>
      </c>
      <c r="H25" s="61" t="n">
        <f aca="false">SUM(H21:H24)</f>
        <v>44691.4419995743</v>
      </c>
      <c r="I25" s="61" t="n">
        <f aca="false">SUM(I21:I24)</f>
        <v>94426.9445800929</v>
      </c>
      <c r="J25" s="61" t="n">
        <f aca="false">SUM(J21:J24)</f>
        <v>96184.0925054642</v>
      </c>
      <c r="K25" s="61" t="n">
        <f aca="false">SUM(K21:K24)</f>
        <v>94667.7695631527</v>
      </c>
      <c r="L25" s="61" t="n">
        <f aca="false">SUM(L21:L24)</f>
        <v>92159.1744423288</v>
      </c>
      <c r="M25" s="61" t="n">
        <f aca="false">SUM(M21:M24)</f>
        <v>85323.0300292071</v>
      </c>
      <c r="N25" s="61" t="n">
        <f aca="false">SUM(N21:N24)</f>
        <v>76663.7376078227</v>
      </c>
      <c r="O25" s="61" t="n">
        <f aca="false">SUM(O21:O24)</f>
        <v>67694.3895827319</v>
      </c>
      <c r="P25" s="61" t="n">
        <f aca="false">SUM(P21:P24)</f>
        <v>59664.1659780078</v>
      </c>
      <c r="Q25" s="61" t="n">
        <f aca="false">SUM(Q21:Q24)</f>
        <v>54425.2216861682</v>
      </c>
      <c r="R25" s="61" t="n">
        <f aca="false">SUM(R21:R24)</f>
        <v>52172.8002857357</v>
      </c>
      <c r="S25" s="61" t="n">
        <f aca="false">SUM(S21:S24)</f>
        <v>50232.2945288266</v>
      </c>
      <c r="T25" s="61" t="n">
        <f aca="false">SUM(T21:T24)</f>
        <v>45987.7740521822</v>
      </c>
      <c r="U25" s="61" t="n">
        <f aca="false">SUM(U21:U24)</f>
        <v>35948.1523015828</v>
      </c>
      <c r="V25" s="61" t="n">
        <f aca="false">SUM(V21:V24)</f>
        <v>26308.5666926606</v>
      </c>
      <c r="W25" s="61" t="n">
        <f aca="false">SUM(W21:W24)</f>
        <v>16387.8497172107</v>
      </c>
      <c r="X25" s="61" t="n">
        <f aca="false">SUM(X21:X24)</f>
        <v>8719.03961167505</v>
      </c>
      <c r="Y25" s="61" t="n">
        <f aca="false">SUM(Y21:Y24)</f>
        <v>6916.41477296744</v>
      </c>
      <c r="Z25" s="61" t="n">
        <f aca="false">SUM(Z21:Z24)</f>
        <v>5113.78993425983</v>
      </c>
      <c r="AA25" s="61" t="n">
        <f aca="false">SUM(AA21:AA24)</f>
        <v>3311.16509555221</v>
      </c>
      <c r="AB25" s="61" t="n">
        <f aca="false">SUM(AB21:AB24)</f>
        <v>2710.29014931634</v>
      </c>
      <c r="AC25" s="309"/>
      <c r="AE25" s="433" t="n">
        <f aca="false">AE24+1</f>
        <v>19</v>
      </c>
    </row>
    <row r="26" customFormat="false" ht="12.75" hidden="false" customHeight="false" outlineLevel="0" collapsed="false">
      <c r="A26" s="37"/>
      <c r="D26" s="39"/>
      <c r="E26" s="39"/>
      <c r="F26" s="434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309"/>
      <c r="AE26" s="433" t="n">
        <f aca="false">AE25+1</f>
        <v>20</v>
      </c>
    </row>
    <row r="27" customFormat="false" ht="12.75" hidden="false" customHeight="false" outlineLevel="0" collapsed="false">
      <c r="A27" s="97" t="s">
        <v>421</v>
      </c>
      <c r="D27" s="39"/>
      <c r="E27" s="39"/>
      <c r="F27" s="434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309"/>
      <c r="AE27" s="433" t="n">
        <f aca="false">AE26+1</f>
        <v>21</v>
      </c>
    </row>
    <row r="28" customFormat="false" ht="12.75" hidden="false" customHeight="false" outlineLevel="0" collapsed="false">
      <c r="A28" s="37"/>
      <c r="B28" s="39" t="s">
        <v>422</v>
      </c>
      <c r="D28" s="39"/>
      <c r="E28" s="39"/>
      <c r="F28" s="99" t="n">
        <v>0</v>
      </c>
      <c r="G28" s="61" t="n">
        <f aca="false">SUM($G66:G66)</f>
        <v>10372.33637</v>
      </c>
      <c r="H28" s="61" t="n">
        <f aca="false">SUM($G66:H66)</f>
        <v>40000.00001</v>
      </c>
      <c r="I28" s="61" t="n">
        <f aca="false">SUM($G66:I66)</f>
        <v>60000.00001</v>
      </c>
      <c r="J28" s="61" t="n">
        <f aca="false">SUM($G66:J66)</f>
        <v>60000.00001</v>
      </c>
      <c r="K28" s="61" t="n">
        <f aca="false">SUM($G66:K66)</f>
        <v>60000.00001</v>
      </c>
      <c r="L28" s="61" t="n">
        <f aca="false">SUM($G66:L66)</f>
        <v>60000.00001</v>
      </c>
      <c r="M28" s="61" t="n">
        <f aca="false">SUM($G66:M66)</f>
        <v>60000.00001</v>
      </c>
      <c r="N28" s="61" t="n">
        <f aca="false">SUM($G66:N66)</f>
        <v>60000.00001</v>
      </c>
      <c r="O28" s="61" t="n">
        <f aca="false">SUM($G66:O66)</f>
        <v>60000.00001</v>
      </c>
      <c r="P28" s="61" t="n">
        <f aca="false">SUM($G66:P66)</f>
        <v>60000.00001</v>
      </c>
      <c r="Q28" s="61" t="n">
        <f aca="false">SUM($G66:Q66)</f>
        <v>60000.00001</v>
      </c>
      <c r="R28" s="61" t="n">
        <f aca="false">SUM($G66:R66)</f>
        <v>60000.00001</v>
      </c>
      <c r="S28" s="61" t="n">
        <f aca="false">SUM($G66:S66)</f>
        <v>60000.00001</v>
      </c>
      <c r="T28" s="61" t="n">
        <f aca="false">SUM($G66:T66)</f>
        <v>60000.00001</v>
      </c>
      <c r="U28" s="61" t="n">
        <f aca="false">SUM($G66:U66)</f>
        <v>60000.00001</v>
      </c>
      <c r="V28" s="61" t="n">
        <f aca="false">SUM($G66:V66)</f>
        <v>60000.00001</v>
      </c>
      <c r="W28" s="61" t="n">
        <f aca="false">SUM($G66:W66)</f>
        <v>60000.00001</v>
      </c>
      <c r="X28" s="61" t="n">
        <f aca="false">SUM($G66:X66)</f>
        <v>60000.00001</v>
      </c>
      <c r="Y28" s="61" t="n">
        <f aca="false">SUM($G66:Y66)</f>
        <v>60000.00001</v>
      </c>
      <c r="Z28" s="61" t="n">
        <f aca="false">SUM($G66:Z66)</f>
        <v>60000.00001</v>
      </c>
      <c r="AA28" s="61" t="n">
        <f aca="false">SUM($G66:AA66)</f>
        <v>60000.00001</v>
      </c>
      <c r="AB28" s="61" t="n">
        <f aca="false">SUM($G66:AB66)</f>
        <v>60000.00001</v>
      </c>
      <c r="AC28" s="309"/>
      <c r="AE28" s="433" t="n">
        <f aca="false">AE27+1</f>
        <v>22</v>
      </c>
    </row>
    <row r="29" customFormat="false" ht="12.75" hidden="false" customHeight="false" outlineLevel="0" collapsed="false">
      <c r="A29" s="37"/>
      <c r="B29" s="39" t="s">
        <v>423</v>
      </c>
      <c r="D29" s="39"/>
      <c r="E29" s="39"/>
      <c r="F29" s="99" t="n">
        <v>0</v>
      </c>
      <c r="G29" s="61" t="n">
        <f aca="false">F29+G51</f>
        <v>0</v>
      </c>
      <c r="H29" s="61" t="n">
        <f aca="false">G29+H51</f>
        <v>0</v>
      </c>
      <c r="I29" s="61" t="n">
        <f aca="false">H29+I51</f>
        <v>0</v>
      </c>
      <c r="J29" s="61" t="n">
        <f aca="false">I29+J51</f>
        <v>-1837.50898141714</v>
      </c>
      <c r="K29" s="61" t="n">
        <f aca="false">J29+K51</f>
        <v>-5423.98958191461</v>
      </c>
      <c r="L29" s="61" t="n">
        <f aca="false">K29+L51</f>
        <v>-9469.2440860204</v>
      </c>
      <c r="M29" s="61" t="n">
        <f aca="false">L29+M51</f>
        <v>-7582.82868106182</v>
      </c>
      <c r="N29" s="61" t="n">
        <f aca="false">M29+N51</f>
        <v>-4622.21204620534</v>
      </c>
      <c r="O29" s="61" t="n">
        <f aca="false">N29+O51</f>
        <v>2535.84380652445</v>
      </c>
      <c r="P29" s="61" t="n">
        <f aca="false">O29+P51</f>
        <v>10058.1100433276</v>
      </c>
      <c r="Q29" s="61" t="n">
        <f aca="false">P29+Q51</f>
        <v>18559.870952584</v>
      </c>
      <c r="R29" s="61" t="n">
        <f aca="false">Q29+R51</f>
        <v>28638.098759037</v>
      </c>
      <c r="S29" s="61" t="n">
        <f aca="false">R29+S51</f>
        <v>39759.8164467347</v>
      </c>
      <c r="T29" s="61" t="n">
        <f aca="false">S29+T51</f>
        <v>52165.1149949378</v>
      </c>
      <c r="U29" s="61" t="n">
        <f aca="false">T29+U51</f>
        <v>66595.2945775889</v>
      </c>
      <c r="V29" s="61" t="n">
        <f aca="false">U29+V51</f>
        <v>80554.9887597298</v>
      </c>
      <c r="W29" s="61" t="n">
        <f aca="false">V29+W51</f>
        <v>97100.4851589451</v>
      </c>
      <c r="X29" s="61" t="n">
        <f aca="false">W29+X51</f>
        <v>114984.232720041</v>
      </c>
      <c r="Y29" s="61" t="n">
        <f aca="false">X29+Y51</f>
        <v>133805.920363719</v>
      </c>
      <c r="Z29" s="61" t="n">
        <f aca="false">Y29+Z51</f>
        <v>153434.406055322</v>
      </c>
      <c r="AA29" s="61" t="n">
        <f aca="false">Z29+AA51</f>
        <v>173937.30956712</v>
      </c>
      <c r="AB29" s="61" t="n">
        <f aca="false">AA29+AB51</f>
        <v>180781.278694584</v>
      </c>
      <c r="AC29" s="309"/>
      <c r="AE29" s="433" t="n">
        <f aca="false">AE28+1</f>
        <v>23</v>
      </c>
    </row>
    <row r="30" customFormat="false" ht="12.75" hidden="false" customHeight="false" outlineLevel="0" collapsed="false">
      <c r="A30" s="37"/>
      <c r="B30" s="39" t="s">
        <v>424</v>
      </c>
      <c r="D30" s="39"/>
      <c r="E30" s="39"/>
      <c r="F30" s="435" t="n">
        <v>0</v>
      </c>
      <c r="G30" s="311" t="n">
        <f aca="false">SUM($G83:G83)</f>
        <v>0</v>
      </c>
      <c r="H30" s="311" t="n">
        <f aca="false">SUM($G83:H83)</f>
        <v>0</v>
      </c>
      <c r="I30" s="311" t="n">
        <f aca="false">SUM($G83:I83)</f>
        <v>0</v>
      </c>
      <c r="J30" s="311" t="n">
        <f aca="false">SUM($G83:J83)</f>
        <v>0</v>
      </c>
      <c r="K30" s="311" t="n">
        <f aca="false">SUM($G83:K83)</f>
        <v>0</v>
      </c>
      <c r="L30" s="311" t="n">
        <f aca="false">SUM($G83:L83)</f>
        <v>0</v>
      </c>
      <c r="M30" s="311" t="n">
        <f aca="false">SUM($G83:M83)</f>
        <v>0</v>
      </c>
      <c r="N30" s="311" t="n">
        <f aca="false">SUM($G83:N83)</f>
        <v>0</v>
      </c>
      <c r="O30" s="311" t="n">
        <f aca="false">SUM($G83:O83)</f>
        <v>-1922.31341195928</v>
      </c>
      <c r="P30" s="311" t="n">
        <f aca="false">SUM($G83:P83)</f>
        <v>-9068.46633692223</v>
      </c>
      <c r="Q30" s="311" t="n">
        <f aca="false">SUM($G83:Q83)</f>
        <v>-17145.1392007158</v>
      </c>
      <c r="R30" s="311" t="n">
        <f aca="false">SUM($G83:R83)</f>
        <v>-26719.4556168462</v>
      </c>
      <c r="S30" s="311" t="n">
        <f aca="false">SUM($G83:S83)</f>
        <v>-37285.087420159</v>
      </c>
      <c r="T30" s="311" t="n">
        <f aca="false">SUM($G83:T83)</f>
        <v>-49070.1210409519</v>
      </c>
      <c r="U30" s="311" t="n">
        <f aca="false">SUM($G83:U83)</f>
        <v>-62778.7916444705</v>
      </c>
      <c r="V30" s="311" t="n">
        <f aca="false">SUM($G83:V83)</f>
        <v>-76040.5011175044</v>
      </c>
      <c r="W30" s="311" t="n">
        <f aca="false">SUM($G83:W83)</f>
        <v>-91758.7226967589</v>
      </c>
      <c r="X30" s="311" t="n">
        <f aca="false">SUM($G83:X83)</f>
        <v>-108748.2828798</v>
      </c>
      <c r="Y30" s="311" t="n">
        <f aca="false">SUM($G83:Y83)</f>
        <v>-126628.886141294</v>
      </c>
      <c r="Z30" s="311" t="n">
        <f aca="false">SUM($G83:Z83)</f>
        <v>-145275.947548317</v>
      </c>
      <c r="AA30" s="311" t="n">
        <f aca="false">SUM($G83:AA83)</f>
        <v>-164753.705884525</v>
      </c>
      <c r="AB30" s="311" t="n">
        <f aca="false">SUM($G83:AB83)</f>
        <v>-230039.044036773</v>
      </c>
      <c r="AC30" s="309"/>
      <c r="AE30" s="433" t="n">
        <f aca="false">AE29+1</f>
        <v>24</v>
      </c>
    </row>
    <row r="31" customFormat="false" ht="12.75" hidden="false" customHeight="false" outlineLevel="0" collapsed="false">
      <c r="A31" s="37"/>
      <c r="B31" s="39" t="s">
        <v>425</v>
      </c>
      <c r="D31" s="39"/>
      <c r="E31" s="39"/>
      <c r="F31" s="61" t="n">
        <f aca="false">SUM(F28:F30)</f>
        <v>0</v>
      </c>
      <c r="G31" s="61" t="n">
        <f aca="false">SUM(G28:G30)</f>
        <v>10372.33637</v>
      </c>
      <c r="H31" s="61" t="n">
        <f aca="false">SUM(H28:H30)</f>
        <v>40000.00001</v>
      </c>
      <c r="I31" s="61" t="n">
        <f aca="false">SUM(I28:I30)</f>
        <v>60000.00001</v>
      </c>
      <c r="J31" s="61" t="n">
        <f aca="false">SUM(J28:J30)</f>
        <v>58162.4910285829</v>
      </c>
      <c r="K31" s="61" t="n">
        <f aca="false">SUM(K28:K30)</f>
        <v>54576.0104280854</v>
      </c>
      <c r="L31" s="61" t="n">
        <f aca="false">SUM(L28:L30)</f>
        <v>50530.7559239796</v>
      </c>
      <c r="M31" s="61" t="n">
        <f aca="false">SUM(M28:M30)</f>
        <v>52417.1713289382</v>
      </c>
      <c r="N31" s="61" t="n">
        <f aca="false">SUM(N28:N30)</f>
        <v>55377.7879637947</v>
      </c>
      <c r="O31" s="61" t="n">
        <f aca="false">SUM(O28:O30)</f>
        <v>60613.5304045652</v>
      </c>
      <c r="P31" s="61" t="n">
        <f aca="false">SUM(P28:P30)</f>
        <v>60989.6437164053</v>
      </c>
      <c r="Q31" s="61" t="n">
        <f aca="false">SUM(Q28:Q30)</f>
        <v>61414.7317618681</v>
      </c>
      <c r="R31" s="61" t="n">
        <f aca="false">SUM(R28:R30)</f>
        <v>61918.6431521908</v>
      </c>
      <c r="S31" s="61" t="n">
        <f aca="false">SUM(S28:S30)</f>
        <v>62474.7290365757</v>
      </c>
      <c r="T31" s="61" t="n">
        <f aca="false">SUM(T28:T30)</f>
        <v>63094.9939639858</v>
      </c>
      <c r="U31" s="61" t="n">
        <f aca="false">SUM(U28:U30)</f>
        <v>63816.5029431184</v>
      </c>
      <c r="V31" s="61" t="n">
        <f aca="false">SUM(V28:V30)</f>
        <v>64514.4876522254</v>
      </c>
      <c r="W31" s="61" t="n">
        <f aca="false">SUM(W28:W30)</f>
        <v>65341.7624721862</v>
      </c>
      <c r="X31" s="61" t="n">
        <f aca="false">SUM(X28:X30)</f>
        <v>66235.949850241</v>
      </c>
      <c r="Y31" s="61" t="n">
        <f aca="false">SUM(Y28:Y30)</f>
        <v>67177.0342324249</v>
      </c>
      <c r="Z31" s="61" t="n">
        <f aca="false">SUM(Z28:Z30)</f>
        <v>68158.458517005</v>
      </c>
      <c r="AA31" s="61" t="n">
        <f aca="false">SUM(AA28:AA30)</f>
        <v>69183.6036925949</v>
      </c>
      <c r="AB31" s="61" t="n">
        <f aca="false">SUM(AB28:AB30)</f>
        <v>10742.2346678108</v>
      </c>
      <c r="AC31" s="309"/>
      <c r="AE31" s="433" t="n">
        <f aca="false">AE30+1</f>
        <v>25</v>
      </c>
    </row>
    <row r="32" customFormat="false" ht="12.75" hidden="false" customHeight="false" outlineLevel="0" collapsed="false">
      <c r="A32" s="37"/>
      <c r="D32" s="39"/>
      <c r="E32" s="39"/>
      <c r="F32" s="434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309"/>
      <c r="AE32" s="433" t="n">
        <f aca="false">AE31+1</f>
        <v>26</v>
      </c>
    </row>
    <row r="33" customFormat="false" ht="12.75" hidden="false" customHeight="false" outlineLevel="0" collapsed="false">
      <c r="A33" s="37" t="s">
        <v>426</v>
      </c>
      <c r="D33" s="39"/>
      <c r="E33" s="39"/>
      <c r="F33" s="436" t="n">
        <f aca="false">SUM(F25,F31)</f>
        <v>0</v>
      </c>
      <c r="G33" s="436" t="n">
        <f aca="false">SUM(G25,G31)</f>
        <v>10372.33637</v>
      </c>
      <c r="H33" s="436" t="n">
        <f aca="false">SUM(H25,H31)</f>
        <v>84691.4420095743</v>
      </c>
      <c r="I33" s="436" t="n">
        <f aca="false">SUM(I25,I31)</f>
        <v>154426.944590093</v>
      </c>
      <c r="J33" s="436" t="n">
        <f aca="false">SUM(J25,J31)</f>
        <v>154346.583534047</v>
      </c>
      <c r="K33" s="436" t="n">
        <f aca="false">SUM(K25,K31)</f>
        <v>149243.779991238</v>
      </c>
      <c r="L33" s="436" t="n">
        <f aca="false">SUM(L25,L31)</f>
        <v>142689.930366308</v>
      </c>
      <c r="M33" s="436" t="n">
        <f aca="false">SUM(M25,M31)</f>
        <v>137740.201358145</v>
      </c>
      <c r="N33" s="436" t="n">
        <f aca="false">SUM(N25,N31)</f>
        <v>132041.525571617</v>
      </c>
      <c r="O33" s="436" t="n">
        <f aca="false">SUM(O25,O31)</f>
        <v>128307.919987297</v>
      </c>
      <c r="P33" s="436" t="n">
        <f aca="false">SUM(P25,P31)</f>
        <v>120653.809694413</v>
      </c>
      <c r="Q33" s="436" t="n">
        <f aca="false">SUM(Q25,Q31)</f>
        <v>115839.953448036</v>
      </c>
      <c r="R33" s="436" t="n">
        <f aca="false">SUM(R25,R31)</f>
        <v>114091.443437927</v>
      </c>
      <c r="S33" s="436" t="n">
        <f aca="false">SUM(S25,S31)</f>
        <v>112707.023565402</v>
      </c>
      <c r="T33" s="436" t="n">
        <f aca="false">SUM(T25,T31)</f>
        <v>109082.768016168</v>
      </c>
      <c r="U33" s="436" t="n">
        <f aca="false">SUM(U25,U31)</f>
        <v>99764.6552447012</v>
      </c>
      <c r="V33" s="436" t="n">
        <f aca="false">SUM(V25,V31)</f>
        <v>90823.0543448861</v>
      </c>
      <c r="W33" s="436" t="n">
        <f aca="false">SUM(W25,W31)</f>
        <v>81729.6121893969</v>
      </c>
      <c r="X33" s="436" t="n">
        <f aca="false">SUM(X25,X31)</f>
        <v>74954.989461916</v>
      </c>
      <c r="Y33" s="436" t="n">
        <f aca="false">SUM(Y25,Y31)</f>
        <v>74093.4490053923</v>
      </c>
      <c r="Z33" s="436" t="n">
        <f aca="false">SUM(Z25,Z31)</f>
        <v>73272.2484512649</v>
      </c>
      <c r="AA33" s="436" t="n">
        <f aca="false">SUM(AA25,AA31)</f>
        <v>72494.7687881471</v>
      </c>
      <c r="AB33" s="436" t="n">
        <f aca="false">SUM(AB25,AB31)</f>
        <v>13452.5248171271</v>
      </c>
      <c r="AC33" s="309"/>
      <c r="AE33" s="433" t="n">
        <f aca="false">AE32+1</f>
        <v>27</v>
      </c>
    </row>
    <row r="34" customFormat="false" ht="12.75" hidden="false" customHeight="false" outlineLevel="0" collapsed="false">
      <c r="A34" s="37"/>
      <c r="D34" s="39"/>
      <c r="E34" s="39"/>
      <c r="F34" s="434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309"/>
      <c r="AE34" s="433" t="n">
        <f aca="false">AE33+1</f>
        <v>28</v>
      </c>
    </row>
    <row r="35" customFormat="false" ht="12.75" hidden="false" customHeight="false" outlineLevel="0" collapsed="false">
      <c r="A35" s="437" t="s">
        <v>427</v>
      </c>
      <c r="B35" s="438"/>
      <c r="C35" s="438"/>
      <c r="D35" s="438"/>
      <c r="E35" s="438"/>
      <c r="F35" s="439" t="n">
        <f aca="false">F18-F33</f>
        <v>0</v>
      </c>
      <c r="G35" s="439" t="n">
        <f aca="false">G18-G33</f>
        <v>0</v>
      </c>
      <c r="H35" s="439" t="n">
        <f aca="false">H18-H33</f>
        <v>0</v>
      </c>
      <c r="I35" s="439" t="n">
        <f aca="false">I18-I33</f>
        <v>0</v>
      </c>
      <c r="J35" s="439" t="n">
        <f aca="false">J18-J33</f>
        <v>0</v>
      </c>
      <c r="K35" s="439" t="n">
        <f aca="false">K18-K33</f>
        <v>0</v>
      </c>
      <c r="L35" s="439" t="n">
        <f aca="false">L18-L33</f>
        <v>0</v>
      </c>
      <c r="M35" s="439" t="n">
        <f aca="false">M18-M33</f>
        <v>0</v>
      </c>
      <c r="N35" s="439" t="n">
        <f aca="false">N18-N33</f>
        <v>0</v>
      </c>
      <c r="O35" s="439" t="n">
        <f aca="false">O18-O33</f>
        <v>0</v>
      </c>
      <c r="P35" s="439" t="n">
        <f aca="false">P18-P33</f>
        <v>0</v>
      </c>
      <c r="Q35" s="439" t="n">
        <f aca="false">Q18-Q33</f>
        <v>0</v>
      </c>
      <c r="R35" s="439" t="n">
        <f aca="false">R18-R33</f>
        <v>0</v>
      </c>
      <c r="S35" s="439" t="n">
        <f aca="false">S18-S33</f>
        <v>0</v>
      </c>
      <c r="T35" s="439" t="n">
        <f aca="false">T18-T33</f>
        <v>0</v>
      </c>
      <c r="U35" s="439" t="n">
        <f aca="false">U18-U33</f>
        <v>0</v>
      </c>
      <c r="V35" s="439" t="n">
        <f aca="false">V18-V33</f>
        <v>0</v>
      </c>
      <c r="W35" s="439" t="n">
        <f aca="false">W18-W33</f>
        <v>0</v>
      </c>
      <c r="X35" s="439" t="n">
        <f aca="false">X18-X33</f>
        <v>0</v>
      </c>
      <c r="Y35" s="439" t="n">
        <f aca="false">Y18-Y33</f>
        <v>0</v>
      </c>
      <c r="Z35" s="439" t="n">
        <f aca="false">Z18-Z33</f>
        <v>0</v>
      </c>
      <c r="AA35" s="439" t="n">
        <f aca="false">AA18-AA33</f>
        <v>0</v>
      </c>
      <c r="AB35" s="439" t="n">
        <f aca="false">AB18-AB33</f>
        <v>0</v>
      </c>
      <c r="AC35" s="440" t="n">
        <f aca="false">SUM(F35:AB35)</f>
        <v>0</v>
      </c>
      <c r="AE35" s="433" t="n">
        <f aca="false">AE34+1</f>
        <v>29</v>
      </c>
    </row>
    <row r="36" customFormat="false" ht="12.75" hidden="false" customHeight="false" outlineLevel="0" collapsed="false">
      <c r="A36" s="37"/>
      <c r="D36" s="39"/>
      <c r="E36" s="39"/>
      <c r="F36" s="39"/>
      <c r="G36" s="329"/>
      <c r="H36" s="39"/>
      <c r="I36" s="39"/>
      <c r="J36" s="32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02"/>
    </row>
    <row r="37" customFormat="false" ht="13.5" hidden="false" customHeight="false" outlineLevel="0" collapsed="false">
      <c r="A37" s="428" t="s">
        <v>428</v>
      </c>
      <c r="B37" s="429"/>
      <c r="C37" s="429"/>
      <c r="D37" s="22"/>
      <c r="E37" s="22"/>
      <c r="F37" s="22"/>
      <c r="G37" s="50" t="n">
        <f aca="false">G$7</f>
        <v>1998</v>
      </c>
      <c r="H37" s="50" t="n">
        <f aca="false">H$7</f>
        <v>1999</v>
      </c>
      <c r="I37" s="50" t="n">
        <f aca="false">I$7</f>
        <v>2000</v>
      </c>
      <c r="J37" s="50" t="n">
        <f aca="false">J$7</f>
        <v>2001</v>
      </c>
      <c r="K37" s="50" t="n">
        <f aca="false">K$7</f>
        <v>2002</v>
      </c>
      <c r="L37" s="50" t="n">
        <f aca="false">L$7</f>
        <v>2003</v>
      </c>
      <c r="M37" s="50" t="n">
        <f aca="false">M$7</f>
        <v>2004</v>
      </c>
      <c r="N37" s="50" t="n">
        <f aca="false">N$7</f>
        <v>2005</v>
      </c>
      <c r="O37" s="50" t="n">
        <f aca="false">O$7</f>
        <v>2006</v>
      </c>
      <c r="P37" s="50" t="n">
        <f aca="false">P$7</f>
        <v>2007</v>
      </c>
      <c r="Q37" s="50" t="n">
        <f aca="false">Q$7</f>
        <v>2008</v>
      </c>
      <c r="R37" s="50" t="n">
        <f aca="false">R$7</f>
        <v>2009</v>
      </c>
      <c r="S37" s="50" t="n">
        <f aca="false">S$7</f>
        <v>2010</v>
      </c>
      <c r="T37" s="50" t="n">
        <f aca="false">T$7</f>
        <v>2011</v>
      </c>
      <c r="U37" s="50" t="n">
        <f aca="false">U$7</f>
        <v>2012</v>
      </c>
      <c r="V37" s="50" t="n">
        <f aca="false">V$7</f>
        <v>2013</v>
      </c>
      <c r="W37" s="50" t="n">
        <f aca="false">W$7</f>
        <v>2014</v>
      </c>
      <c r="X37" s="50" t="n">
        <f aca="false">X$7</f>
        <v>2015</v>
      </c>
      <c r="Y37" s="50" t="n">
        <f aca="false">Y$7</f>
        <v>2016</v>
      </c>
      <c r="Z37" s="50" t="n">
        <f aca="false">Z$7</f>
        <v>2017</v>
      </c>
      <c r="AA37" s="50" t="n">
        <f aca="false">AA$7</f>
        <v>2018</v>
      </c>
      <c r="AB37" s="50" t="n">
        <f aca="false">AB$7</f>
        <v>2019</v>
      </c>
      <c r="AC37" s="294" t="str">
        <f aca="false">AC$7</f>
        <v>Totals</v>
      </c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</row>
    <row r="38" customFormat="false" ht="12.75" hidden="false" customHeight="false" outlineLevel="0" collapsed="false">
      <c r="A38" s="285" t="s">
        <v>429</v>
      </c>
      <c r="D38" s="39"/>
      <c r="E38" s="39"/>
      <c r="F38" s="39"/>
      <c r="G38" s="61" t="n">
        <f aca="false">IF(G$37&lt;YEAR(Startops1),0,HLOOKUP(G$37,CF_Table,CF!$AB$18))</f>
        <v>0</v>
      </c>
      <c r="H38" s="61" t="n">
        <f aca="false">IF(H$37&lt;YEAR(Startops1),0,HLOOKUP(H$37,CF_Table,CF!$AB$18))</f>
        <v>0</v>
      </c>
      <c r="I38" s="61" t="n">
        <f aca="false">IF(I$37&lt;YEAR(Startops1),0,HLOOKUP(I$37,CF_Table,CF!$AB$18))</f>
        <v>0</v>
      </c>
      <c r="J38" s="61" t="n">
        <f aca="false">IF(J$37&lt;YEAR(Startops1),0,HLOOKUP(J$37,CF_Table,CF!$AB$18))</f>
        <v>14282.925136278</v>
      </c>
      <c r="K38" s="318" t="n">
        <f aca="false">IF(K$37&lt;YEAR(Startops1),0,HLOOKUP(K$37,CF_Table,CF!$AB$18))</f>
        <v>24055.0510107009</v>
      </c>
      <c r="L38" s="61" t="n">
        <f aca="false">IF(L$37&lt;YEAR(Startops1),0,HLOOKUP(L$37,CF_Table,CF!$AB$18))</f>
        <v>24793.3666132372</v>
      </c>
      <c r="M38" s="61" t="n">
        <f aca="false">IF(M$37&lt;YEAR(Startops1),0,HLOOKUP(M$37,CF_Table,CF!$AB$18))</f>
        <v>25593.3296288714</v>
      </c>
      <c r="N38" s="61" t="n">
        <f aca="false">IF(N$37&lt;YEAR(Startops1),0,HLOOKUP(N$37,CF_Table,CF!$AB$18))</f>
        <v>26258.9242454311</v>
      </c>
      <c r="O38" s="61" t="n">
        <f aca="false">IF(O$37&lt;YEAR(Startops1),0,HLOOKUP(O$37,CF_Table,CF!$AB$18))</f>
        <v>26998.838079134</v>
      </c>
      <c r="P38" s="61" t="n">
        <f aca="false">IF(P$37&lt;YEAR(Startops1),0,HLOOKUP(P$37,CF_Table,CF!$AB$18))</f>
        <v>27742.8120987957</v>
      </c>
      <c r="Q38" s="61" t="n">
        <f aca="false">IF(Q$37&lt;YEAR(Startops1),0,HLOOKUP(Q$37,CF_Table,CF!$AB$18))</f>
        <v>28566.9945013695</v>
      </c>
      <c r="R38" s="61" t="n">
        <f aca="false">IF(R$37&lt;YEAR(Startops1),0,HLOOKUP(R$37,CF_Table,CF!$AB$18))</f>
        <v>29243.2225680268</v>
      </c>
      <c r="S38" s="61" t="n">
        <f aca="false">IF(S$37&lt;YEAR(Startops1),0,HLOOKUP(S$37,CF_Table,CF!$AB$18))</f>
        <v>30002.9516491615</v>
      </c>
      <c r="T38" s="61" t="n">
        <f aca="false">IF(T$37&lt;YEAR(Startops1),0,HLOOKUP(T$37,CF_Table,CF!$AB$18))</f>
        <v>30770.8556612069</v>
      </c>
      <c r="U38" s="61" t="n">
        <f aca="false">IF(U$37&lt;YEAR(Startops1),0,HLOOKUP(U$37,CF_Table,CF!$AB$18))</f>
        <v>31634.3559275759</v>
      </c>
      <c r="V38" s="61" t="n">
        <f aca="false">IF(V$37&lt;YEAR(Startops1),0,HLOOKUP(V$37,CF_Table,CF!$AB$18))</f>
        <v>32342.5512297466</v>
      </c>
      <c r="W38" s="61" t="n">
        <f aca="false">IF(W$37&lt;YEAR(Startops1),0,HLOOKUP(W$37,CF_Table,CF!$AB$18))</f>
        <v>33158.1560396562</v>
      </c>
      <c r="X38" s="61" t="n">
        <f aca="false">IF(X$37&lt;YEAR(Startops1),0,HLOOKUP(X$37,CF_Table,CF!$AB$18))</f>
        <v>34004.3898750948</v>
      </c>
      <c r="Y38" s="61" t="n">
        <f aca="false">IF(Y$37&lt;YEAR(Startops1),0,HLOOKUP(Y$37,CF_Table,CF!$AB$18))</f>
        <v>34980.2528180879</v>
      </c>
      <c r="Z38" s="61" t="n">
        <f aca="false">IF(Z$37&lt;YEAR(Startops1),0,HLOOKUP(Z$37,CF_Table,CF!$AB$18))</f>
        <v>35807.9093461755</v>
      </c>
      <c r="AA38" s="61" t="n">
        <f aca="false">IF(AA$37&lt;YEAR(Startops1),0,HLOOKUP(AA$37,CF_Table,CF!$AB$18))</f>
        <v>36770.4041891557</v>
      </c>
      <c r="AB38" s="61" t="n">
        <f aca="false">IF(AB$37&lt;YEAR(Startops1),0,HLOOKUP(AB$37,CF_Table,CF!$AB$18))</f>
        <v>12194.3858015608</v>
      </c>
      <c r="AC38" s="309" t="n">
        <f aca="false">SUM(G38:AB38)</f>
        <v>539201.676419266</v>
      </c>
    </row>
    <row r="39" customFormat="false" ht="12.75" hidden="false" customHeight="false" outlineLevel="0" collapsed="false">
      <c r="A39" s="37" t="s">
        <v>430</v>
      </c>
      <c r="D39" s="39"/>
      <c r="E39" s="39"/>
      <c r="F39" s="39"/>
      <c r="G39" s="61" t="n">
        <f aca="false">IF(G$37&lt;YEAR(Startops1),0,-HLOOKUP(G$37,CF_Table,CF!$AB$35))</f>
        <v>0</v>
      </c>
      <c r="H39" s="61" t="n">
        <f aca="false">IF(H$37&lt;YEAR(Startops1),0,-HLOOKUP(H$37,CF_Table,CF!$AB$35))</f>
        <v>0</v>
      </c>
      <c r="I39" s="61" t="n">
        <f aca="false">IF(I$37&lt;YEAR(Startops1),0,-HLOOKUP(I$37,CF_Table,CF!$AB$35))</f>
        <v>0</v>
      </c>
      <c r="J39" s="61" t="n">
        <f aca="false">IF(J$37&lt;YEAR(Startops1),0,-HLOOKUP(J$37,CF_Table,CF!$AB$35))</f>
        <v>-2921.73899095548</v>
      </c>
      <c r="K39" s="318" t="n">
        <f aca="false">IF(K$37&lt;YEAR(Startops1),0,-HLOOKUP(K$37,CF_Table,CF!$AB$35))</f>
        <v>-3916.86368778221</v>
      </c>
      <c r="L39" s="61" t="n">
        <f aca="false">IF(L$37&lt;YEAR(Startops1),0,-HLOOKUP(L$37,CF_Table,CF!$AB$35))</f>
        <v>-5556.79859184387</v>
      </c>
      <c r="M39" s="61" t="n">
        <f aca="false">IF(M$37&lt;YEAR(Startops1),0,-HLOOKUP(M$37,CF_Table,CF!$AB$35))</f>
        <v>-4688.32812762819</v>
      </c>
      <c r="N39" s="61" t="n">
        <f aca="false">IF(N$37&lt;YEAR(Startops1),0,-HLOOKUP(N$37,CF_Table,CF!$AB$35))</f>
        <v>-4175.41675121637</v>
      </c>
      <c r="O39" s="61" t="n">
        <f aca="false">IF(O$37&lt;YEAR(Startops1),0,-HLOOKUP(O$37,CF_Table,CF!$AB$35))</f>
        <v>-4434.02615073526</v>
      </c>
      <c r="P39" s="61" t="n">
        <f aca="false">IF(P$37&lt;YEAR(Startops1),0,-HLOOKUP(P$37,CF_Table,CF!$AB$35))</f>
        <v>-4449.23358131172</v>
      </c>
      <c r="Q39" s="61" t="n">
        <f aca="false">IF(Q$37&lt;YEAR(Startops1),0,-HLOOKUP(Q$37,CF_Table,CF!$AB$35))</f>
        <v>-5178.01047802683</v>
      </c>
      <c r="R39" s="61" t="n">
        <f aca="false">IF(R$37&lt;YEAR(Startops1),0,-HLOOKUP(R$37,CF_Table,CF!$AB$35))</f>
        <v>-4647.45388645709</v>
      </c>
      <c r="S39" s="61" t="n">
        <f aca="false">IF(S$37&lt;YEAR(Startops1),0,-HLOOKUP(S$37,CF_Table,CF!$AB$35))</f>
        <v>-4920.63526970574</v>
      </c>
      <c r="T39" s="61" t="n">
        <f aca="false">IF(T$37&lt;YEAR(Startops1),0,-HLOOKUP(T$37,CF_Table,CF!$AB$35))</f>
        <v>-4889.31602101987</v>
      </c>
      <c r="U39" s="61" t="n">
        <f aca="false">IF(U$37&lt;YEAR(Startops1),0,-HLOOKUP(U$37,CF_Table,CF!$AB$35))</f>
        <v>-4067.07613381975</v>
      </c>
      <c r="V39" s="61" t="n">
        <f aca="false">IF(V$37&lt;YEAR(Startops1),0,-HLOOKUP(V$37,CF_Table,CF!$AB$35))</f>
        <v>-6314.6856331596</v>
      </c>
      <c r="W39" s="61" t="n">
        <f aca="false">IF(W$37&lt;YEAR(Startops1),0,-HLOOKUP(W$37,CF_Table,CF!$AB$35))</f>
        <v>-4447.29433878389</v>
      </c>
      <c r="X39" s="61" t="n">
        <f aca="false">IF(X$37&lt;YEAR(Startops1),0,-HLOOKUP(X$37,CF_Table,CF!$AB$35))</f>
        <v>-4383.18355558411</v>
      </c>
      <c r="Y39" s="61" t="n">
        <f aca="false">IF(Y$37&lt;YEAR(Startops1),0,-HLOOKUP(Y$37,CF_Table,CF!$AB$35))</f>
        <v>-4547.54327812127</v>
      </c>
      <c r="Z39" s="61" t="n">
        <f aca="false">IF(Z$37&lt;YEAR(Startops1),0,-HLOOKUP(Z$37,CF_Table,CF!$AB$35))</f>
        <v>-4616.91702055747</v>
      </c>
      <c r="AA39" s="61" t="n">
        <f aca="false">IF(AA$37&lt;YEAR(Startops1),0,-HLOOKUP(AA$37,CF_Table,CF!$AB$35))</f>
        <v>-4732.98637664623</v>
      </c>
      <c r="AB39" s="61" t="n">
        <f aca="false">IF(AB$37&lt;YEAR(Startops1),0,-HLOOKUP(AB$37,CF_Table,CF!$AB$35))</f>
        <v>-1609.57291643338</v>
      </c>
      <c r="AC39" s="309" t="n">
        <f aca="false">SUM(G39:AB39)</f>
        <v>-84497.0807897883</v>
      </c>
      <c r="AD39" s="19"/>
    </row>
    <row r="40" customFormat="false" ht="12.75" hidden="false" customHeight="false" outlineLevel="0" collapsed="false">
      <c r="A40" s="37" t="s">
        <v>433</v>
      </c>
      <c r="D40" s="39"/>
      <c r="E40" s="39"/>
      <c r="F40" s="39"/>
      <c r="G40" s="311" t="n">
        <f aca="false">IF(G$37&lt;YEAR(Startops1),0,HLOOKUP(G$37,CF_Table,CF!$AB$44))</f>
        <v>0</v>
      </c>
      <c r="H40" s="311" t="n">
        <f aca="false">IF(H$37&lt;YEAR(Startops1),0,HLOOKUP(H$37,CF_Table,CF!$AB$44))</f>
        <v>0</v>
      </c>
      <c r="I40" s="311" t="n">
        <f aca="false">IF(I$37&lt;YEAR(Startops1),0,HLOOKUP(I$37,CF_Table,CF!$AB$44))</f>
        <v>0</v>
      </c>
      <c r="J40" s="311" t="n">
        <f aca="false">IF(J$37&lt;YEAR(Startops1),0,HLOOKUP(J$37,CF_Table,CF!$AB$44))</f>
        <v>-2756.9898472661</v>
      </c>
      <c r="K40" s="312" t="n">
        <f aca="false">IF(K$37&lt;YEAR(Startops1),0,HLOOKUP(K$37,CF_Table,CF!$AB$44))</f>
        <v>-5917.2492777567</v>
      </c>
      <c r="L40" s="311" t="n">
        <f aca="false">IF(L$37&lt;YEAR(Startops1),0,HLOOKUP(L$37,CF_Table,CF!$AB$44))</f>
        <v>-5670.92702175064</v>
      </c>
      <c r="M40" s="311" t="n">
        <f aca="false">IF(M$37&lt;YEAR(Startops1),0,HLOOKUP(M$37,CF_Table,CF!$AB$44))</f>
        <v>-1805.57024821884</v>
      </c>
      <c r="N40" s="311" t="n">
        <f aca="false">IF(N$37&lt;YEAR(Startops1),0,HLOOKUP(N$37,CF_Table,CF!$AB$44))</f>
        <v>-2703.89264627407</v>
      </c>
      <c r="O40" s="311" t="n">
        <f aca="false">IF(O$37&lt;YEAR(Startops1),0,HLOOKUP(O$37,CF_Table,CF!$AB$44))</f>
        <v>872.337257056458</v>
      </c>
      <c r="P40" s="311" t="n">
        <f aca="false">IF(P$37&lt;YEAR(Startops1),0,HLOOKUP(P$37,CF_Table,CF!$AB$44))</f>
        <v>1051.12914961689</v>
      </c>
      <c r="Q40" s="311" t="n">
        <f aca="false">IF(Q$37&lt;YEAR(Startops1),0,HLOOKUP(Q$37,CF_Table,CF!$AB$44))</f>
        <v>1096.50406911663</v>
      </c>
      <c r="R40" s="311" t="n">
        <f aca="false">IF(R$37&lt;YEAR(Startops1),0,HLOOKUP(R$37,CF_Table,CF!$AB$44))</f>
        <v>1234.38473346203</v>
      </c>
      <c r="S40" s="311" t="n">
        <f aca="false">IF(S$37&lt;YEAR(Startops1),0,HLOOKUP(S$37,CF_Table,CF!$AB$44))</f>
        <v>1514.83924217518</v>
      </c>
      <c r="T40" s="311" t="n">
        <f aca="false">IF(T$37&lt;YEAR(Startops1),0,HLOOKUP(T$37,CF_Table,CF!$AB$44))</f>
        <v>1797.91889453918</v>
      </c>
      <c r="U40" s="311" t="n">
        <f aca="false">IF(U$37&lt;YEAR(Startops1),0,HLOOKUP(U$37,CF_Table,CF!$AB$44))</f>
        <v>1971.57969490486</v>
      </c>
      <c r="V40" s="311" t="n">
        <f aca="false">IF(V$37&lt;YEAR(Startops1),0,HLOOKUP(V$37,CF_Table,CF!$AB$44))</f>
        <v>1982.36531216487</v>
      </c>
      <c r="W40" s="311" t="n">
        <f aca="false">IF(W$37&lt;YEAR(Startops1),0,HLOOKUP(W$37,CF_Table,CF!$AB$44))</f>
        <v>1884.25611651145</v>
      </c>
      <c r="X40" s="311" t="n">
        <f aca="false">IF(X$37&lt;YEAR(Startops1),0,HLOOKUP(X$37,CF_Table,CF!$AB$44))</f>
        <v>1837.36094310213</v>
      </c>
      <c r="Y40" s="311" t="n">
        <f aca="false">IF(Y$37&lt;YEAR(Startops1),0,HLOOKUP(Y$37,CF_Table,CF!$AB$44))</f>
        <v>1873.37333976771</v>
      </c>
      <c r="Z40" s="311" t="n">
        <f aca="false">IF(Z$37&lt;YEAR(Startops1),0,HLOOKUP(Z$37,CF_Table,CF!$AB$44))</f>
        <v>2190.82128468304</v>
      </c>
      <c r="AA40" s="311" t="n">
        <f aca="false">IF(AA$37&lt;YEAR(Startops1),0,HLOOKUP(AA$37,CF_Table,CF!$AB$44))</f>
        <v>2510.28622471819</v>
      </c>
      <c r="AB40" s="311" t="n">
        <f aca="false">IF(AB$37&lt;YEAR(Startops1),0,HLOOKUP(AB$37,CF_Table,CF!$AB$44))</f>
        <v>943.979069767943</v>
      </c>
      <c r="AC40" s="313" t="n">
        <f aca="false">SUM(G40:AB40)</f>
        <v>3906.50629032022</v>
      </c>
      <c r="AD40" s="441"/>
    </row>
    <row r="41" customFormat="false" ht="12.75" hidden="false" customHeight="false" outlineLevel="0" collapsed="false">
      <c r="A41" s="37" t="s">
        <v>459</v>
      </c>
      <c r="D41" s="39"/>
      <c r="E41" s="39"/>
      <c r="F41" s="39"/>
      <c r="G41" s="61" t="n">
        <f aca="false">SUM(G38:G40)</f>
        <v>0</v>
      </c>
      <c r="H41" s="61" t="n">
        <f aca="false">SUM(H38:H40)</f>
        <v>0</v>
      </c>
      <c r="I41" s="61" t="n">
        <f aca="false">SUM(I38:I40)</f>
        <v>0</v>
      </c>
      <c r="J41" s="61" t="n">
        <f aca="false">SUM(J38:J40)</f>
        <v>8604.19629805644</v>
      </c>
      <c r="K41" s="318" t="n">
        <f aca="false">SUM(K38:K40)</f>
        <v>14220.938045162</v>
      </c>
      <c r="L41" s="61" t="n">
        <f aca="false">SUM(L38:L40)</f>
        <v>13565.6409996427</v>
      </c>
      <c r="M41" s="61" t="n">
        <f aca="false">SUM(M38:M40)</f>
        <v>19099.4312530243</v>
      </c>
      <c r="N41" s="61" t="n">
        <f aca="false">SUM(N38:N40)</f>
        <v>19379.6148479407</v>
      </c>
      <c r="O41" s="61" t="n">
        <f aca="false">SUM(O38:O40)</f>
        <v>23437.1491854552</v>
      </c>
      <c r="P41" s="61" t="n">
        <f aca="false">SUM(P38:P40)</f>
        <v>24344.7076671009</v>
      </c>
      <c r="Q41" s="61" t="n">
        <f aca="false">SUM(Q38:Q40)</f>
        <v>24485.4880924593</v>
      </c>
      <c r="R41" s="61" t="n">
        <f aca="false">SUM(R38:R40)</f>
        <v>25830.1534150317</v>
      </c>
      <c r="S41" s="61" t="n">
        <f aca="false">SUM(S38:S40)</f>
        <v>26597.1556216309</v>
      </c>
      <c r="T41" s="61" t="n">
        <f aca="false">SUM(T38:T40)</f>
        <v>27679.4585347262</v>
      </c>
      <c r="U41" s="61" t="n">
        <f aca="false">SUM(U38:U40)</f>
        <v>29538.859488661</v>
      </c>
      <c r="V41" s="61" t="n">
        <f aca="false">SUM(V38:V40)</f>
        <v>28010.2309087519</v>
      </c>
      <c r="W41" s="61" t="n">
        <f aca="false">SUM(W38:W40)</f>
        <v>30595.1178173838</v>
      </c>
      <c r="X41" s="61" t="n">
        <f aca="false">SUM(X38:X40)</f>
        <v>31458.5672626128</v>
      </c>
      <c r="Y41" s="61" t="n">
        <f aca="false">SUM(Y38:Y40)</f>
        <v>32306.0828797343</v>
      </c>
      <c r="Z41" s="61" t="n">
        <f aca="false">SUM(Z38:Z40)</f>
        <v>33381.8136103011</v>
      </c>
      <c r="AA41" s="61" t="n">
        <f aca="false">SUM(AA38:AA40)</f>
        <v>34547.7040372276</v>
      </c>
      <c r="AB41" s="61" t="n">
        <f aca="false">SUM(AB38:AB40)</f>
        <v>11528.7919548953</v>
      </c>
      <c r="AC41" s="309" t="n">
        <f aca="false">SUM(G41:AB41)</f>
        <v>458611.101919798</v>
      </c>
      <c r="AD41" s="441"/>
    </row>
    <row r="42" customFormat="false" ht="12.75" hidden="false" customHeight="false" outlineLevel="0" collapsed="false">
      <c r="A42" s="37"/>
      <c r="D42" s="39"/>
      <c r="E42" s="39"/>
      <c r="F42" s="39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309" t="s">
        <v>150</v>
      </c>
    </row>
    <row r="43" customFormat="false" ht="12.75" hidden="false" customHeight="false" outlineLevel="0" collapsed="false">
      <c r="A43" s="37" t="s">
        <v>27</v>
      </c>
      <c r="D43" s="39"/>
      <c r="E43" s="39"/>
      <c r="F43" s="39"/>
      <c r="G43" s="61" t="n">
        <f aca="false">IF(G$37&lt;YEAR(Startops1),0,HLOOKUP(G$37,CF_Table,CF!$AB$47))</f>
        <v>0</v>
      </c>
      <c r="H43" s="61" t="n">
        <f aca="false">IF(H$37&lt;YEAR(Startops1),0,HLOOKUP(H$37,CF_Table,CF!$AB$47))</f>
        <v>0</v>
      </c>
      <c r="I43" s="61" t="n">
        <f aca="false">IF(I$37&lt;YEAR(Startops1),0,HLOOKUP(I$37,CF_Table,CF!$AB$47))</f>
        <v>0</v>
      </c>
      <c r="J43" s="61" t="n">
        <f aca="false">IF(J$37&lt;YEAR(Startops1),0,HLOOKUP(J$37,CF_Table,CF!$AB$47))</f>
        <v>-6008.74946235871</v>
      </c>
      <c r="K43" s="61" t="n">
        <f aca="false">IF(K$37&lt;YEAR(Startops1),0,HLOOKUP(K$37,CF_Table,CF!$AB$47))</f>
        <v>-7210.49935483045</v>
      </c>
      <c r="L43" s="61" t="n">
        <f aca="false">IF(L$37&lt;YEAR(Startops1),0,HLOOKUP(L$37,CF_Table,CF!$AB$47))</f>
        <v>-7210.49935483045</v>
      </c>
      <c r="M43" s="61" t="n">
        <f aca="false">IF(M$37&lt;YEAR(Startops1),0,HLOOKUP(M$37,CF_Table,CF!$AB$47))</f>
        <v>-7210.49935483045</v>
      </c>
      <c r="N43" s="61" t="n">
        <f aca="false">IF(N$37&lt;YEAR(Startops1),0,HLOOKUP(N$37,CF_Table,CF!$AB$47))</f>
        <v>-7210.49935483045</v>
      </c>
      <c r="O43" s="61" t="n">
        <f aca="false">IF(O$37&lt;YEAR(Startops1),0,HLOOKUP(O$37,CF_Table,CF!$AB$47))</f>
        <v>-7210.49935483045</v>
      </c>
      <c r="P43" s="61" t="n">
        <f aca="false">IF(P$37&lt;YEAR(Startops1),0,HLOOKUP(P$37,CF_Table,CF!$AB$47))</f>
        <v>-7210.49935483045</v>
      </c>
      <c r="Q43" s="61" t="n">
        <f aca="false">IF(Q$37&lt;YEAR(Startops1),0,HLOOKUP(Q$37,CF_Table,CF!$AB$47))</f>
        <v>-7210.49935483045</v>
      </c>
      <c r="R43" s="61" t="n">
        <f aca="false">IF(R$37&lt;YEAR(Startops1),0,HLOOKUP(R$37,CF_Table,CF!$AB$47))</f>
        <v>-7210.49935483045</v>
      </c>
      <c r="S43" s="61" t="n">
        <f aca="false">IF(S$37&lt;YEAR(Startops1),0,HLOOKUP(S$37,CF_Table,CF!$AB$47))</f>
        <v>-7210.49935483045</v>
      </c>
      <c r="T43" s="61" t="n">
        <f aca="false">IF(T$37&lt;YEAR(Startops1),0,HLOOKUP(T$37,CF_Table,CF!$AB$47))</f>
        <v>-7210.49935483045</v>
      </c>
      <c r="U43" s="61" t="n">
        <f aca="false">IF(U$37&lt;YEAR(Startops1),0,HLOOKUP(U$37,CF_Table,CF!$AB$47))</f>
        <v>-7210.49935483045</v>
      </c>
      <c r="V43" s="61" t="n">
        <f aca="false">IF(V$37&lt;YEAR(Startops1),0,HLOOKUP(V$37,CF_Table,CF!$AB$47))</f>
        <v>-7210.49935483045</v>
      </c>
      <c r="W43" s="61" t="n">
        <f aca="false">IF(W$37&lt;YEAR(Startops1),0,HLOOKUP(W$37,CF_Table,CF!$AB$47))</f>
        <v>-7210.49935483045</v>
      </c>
      <c r="X43" s="61" t="n">
        <f aca="false">IF(X$37&lt;YEAR(Startops1),0,HLOOKUP(X$37,CF_Table,CF!$AB$47))</f>
        <v>-7210.49935483045</v>
      </c>
      <c r="Y43" s="61" t="n">
        <f aca="false">IF(Y$37&lt;YEAR(Startops1),0,HLOOKUP(Y$37,CF_Table,CF!$AB$47))</f>
        <v>-7210.49935483045</v>
      </c>
      <c r="Z43" s="61" t="n">
        <f aca="false">IF(Z$37&lt;YEAR(Startops1),0,HLOOKUP(Z$37,CF_Table,CF!$AB$47))</f>
        <v>-7210.49935483045</v>
      </c>
      <c r="AA43" s="61" t="n">
        <f aca="false">IF(AA$37&lt;YEAR(Startops1),0,HLOOKUP(AA$37,CF_Table,CF!$AB$47))</f>
        <v>-7210.49935483045</v>
      </c>
      <c r="AB43" s="61" t="n">
        <f aca="false">IF(AB$37&lt;YEAR(Startops1),0,HLOOKUP(AB$37,CF_Table,CF!$AB$47))</f>
        <v>-2403.49978494348</v>
      </c>
      <c r="AC43" s="309" t="n">
        <f aca="false">SUM(G43:AB43)</f>
        <v>-130990.73827942</v>
      </c>
    </row>
    <row r="44" customFormat="false" ht="12.75" hidden="false" customHeight="false" outlineLevel="0" collapsed="false">
      <c r="A44" s="37" t="s">
        <v>431</v>
      </c>
      <c r="D44" s="39"/>
      <c r="E44" s="39"/>
      <c r="F44" s="39"/>
      <c r="G44" s="61" t="n">
        <f aca="false">IF(G$37&lt;YEAR(Startops1),0,HLOOKUP(G$37,CF_Table,CF!$AB$50))</f>
        <v>0</v>
      </c>
      <c r="H44" s="61" t="n">
        <f aca="false">IF(H$37&lt;YEAR(Startops1),0,HLOOKUP(H$37,CF_Table,CF!$AB$50))</f>
        <v>0</v>
      </c>
      <c r="I44" s="61" t="n">
        <f aca="false">IF(I$37&lt;YEAR(Startops1),0,HLOOKUP(I$37,CF_Table,CF!$AB$50))</f>
        <v>0</v>
      </c>
      <c r="J44" s="61" t="n">
        <f aca="false">IF(J$37&lt;YEAR(Startops1),0,HLOOKUP(J$37,CF_Table,CF!$AB$50))</f>
        <v>-4298.96714648815</v>
      </c>
      <c r="K44" s="61" t="n">
        <f aca="false">IF(K$37&lt;YEAR(Startops1),0,HLOOKUP(K$37,CF_Table,CF!$AB$50))</f>
        <v>-10278.8341320822</v>
      </c>
      <c r="L44" s="61" t="n">
        <f aca="false">IF(L$37&lt;YEAR(Startops1),0,HLOOKUP(L$37,CF_Table,CF!$AB$50))</f>
        <v>-10097.1831177218</v>
      </c>
      <c r="M44" s="61" t="n">
        <f aca="false">IF(M$37&lt;YEAR(Startops1),0,HLOOKUP(M$37,CF_Table,CF!$AB$50))</f>
        <v>-9716.17180091018</v>
      </c>
      <c r="N44" s="61" t="n">
        <f aca="false">IF(N$37&lt;YEAR(Startops1),0,HLOOKUP(N$37,CF_Table,CF!$AB$50))</f>
        <v>-8941.28665758468</v>
      </c>
      <c r="O44" s="61" t="n">
        <f aca="false">IF(O$37&lt;YEAR(Startops1),0,HLOOKUP(O$37,CF_Table,CF!$AB$50))</f>
        <v>-7982.22639204565</v>
      </c>
      <c r="P44" s="61" t="n">
        <f aca="false">IF(P$37&lt;YEAR(Startops1),0,HLOOKUP(P$37,CF_Table,CF!$AB$50))</f>
        <v>-6883.62165293162</v>
      </c>
      <c r="Q44" s="61" t="n">
        <f aca="false">IF(Q$37&lt;YEAR(Startops1),0,HLOOKUP(Q$37,CF_Table,CF!$AB$50))</f>
        <v>-5746.3262094992</v>
      </c>
      <c r="R44" s="61" t="n">
        <f aca="false">IF(R$37&lt;YEAR(Startops1),0,HLOOKUP(R$37,CF_Table,CF!$AB$50))</f>
        <v>-5020.69986001448</v>
      </c>
      <c r="S44" s="61" t="n">
        <f aca="false">IF(S$37&lt;YEAR(Startops1),0,HLOOKUP(S$37,CF_Table,CF!$AB$50))</f>
        <v>-4432.29654184567</v>
      </c>
      <c r="T44" s="61" t="n">
        <f aca="false">IF(T$37&lt;YEAR(Startops1),0,HLOOKUP(T$37,CF_Table,CF!$AB$50))</f>
        <v>-3843.89322367685</v>
      </c>
      <c r="U44" s="61" t="n">
        <f aca="false">IF(U$37&lt;YEAR(Startops1),0,HLOOKUP(U$37,CF_Table,CF!$AB$50))</f>
        <v>-3049.65535853418</v>
      </c>
      <c r="V44" s="61" t="n">
        <f aca="false">IF(V$37&lt;YEAR(Startops1),0,HLOOKUP(V$37,CF_Table,CF!$AB$50))</f>
        <v>-2186.80597773356</v>
      </c>
      <c r="W44" s="61" t="n">
        <f aca="false">IF(W$37&lt;YEAR(Startops1),0,HLOOKUP(W$37,CF_Table,CF!$AB$50))</f>
        <v>-1323.95659693294</v>
      </c>
      <c r="X44" s="61" t="n">
        <f aca="false">IF(X$37&lt;YEAR(Startops1),0,HLOOKUP(X$37,CF_Table,CF!$AB$50))</f>
        <v>-403.071159654731</v>
      </c>
      <c r="Y44" s="61" t="n">
        <f aca="false">IF(Y$37&lt;YEAR(Startops1),0,HLOOKUP(Y$37,CF_Table,CF!$AB$50))</f>
        <v>-0</v>
      </c>
      <c r="Z44" s="61" t="n">
        <f aca="false">IF(Z$37&lt;YEAR(Startops1),0,HLOOKUP(Z$37,CF_Table,CF!$AB$50))</f>
        <v>-0</v>
      </c>
      <c r="AA44" s="61" t="n">
        <f aca="false">IF(AA$37&lt;YEAR(Startops1),0,HLOOKUP(AA$37,CF_Table,CF!$AB$50))</f>
        <v>-0</v>
      </c>
      <c r="AB44" s="61" t="n">
        <f aca="false">IF(AB$37&lt;YEAR(Startops1),0,HLOOKUP(AB$37,CF_Table,CF!$AB$50))</f>
        <v>-0</v>
      </c>
      <c r="AC44" s="309" t="n">
        <f aca="false">SUM(G44:AB44)</f>
        <v>-84204.9958276558</v>
      </c>
    </row>
    <row r="45" customFormat="false" ht="12.75" hidden="false" customHeight="false" outlineLevel="0" collapsed="false">
      <c r="A45" s="37" t="s">
        <v>432</v>
      </c>
      <c r="D45" s="39"/>
      <c r="E45" s="39"/>
      <c r="F45" s="39"/>
      <c r="G45" s="61" t="n">
        <f aca="false">IF(G$37&lt;YEAR(Startops1),0,HLOOKUP(G$37,CF_Table,CF!$AB$51))</f>
        <v>0</v>
      </c>
      <c r="H45" s="61" t="n">
        <f aca="false">IF(H$37&lt;YEAR(Startops1),0,HLOOKUP(H$37,CF_Table,CF!$AB$51))</f>
        <v>0</v>
      </c>
      <c r="I45" s="61" t="n">
        <f aca="false">IF(I$37&lt;YEAR(Startops1),0,HLOOKUP(I$37,CF_Table,CF!$AB$51))</f>
        <v>0</v>
      </c>
      <c r="J45" s="61" t="n">
        <f aca="false">IF(J$37&lt;YEAR(Startops1),0,HLOOKUP(J$37,CF_Table,CF!$AB$51))</f>
        <v>-133.988670626725</v>
      </c>
      <c r="K45" s="61" t="n">
        <f aca="false">IF(K$37&lt;YEAR(Startops1),0,HLOOKUP(K$37,CF_Table,CF!$AB$51))</f>
        <v>-318.085158746824</v>
      </c>
      <c r="L45" s="61" t="n">
        <f aca="false">IF(L$37&lt;YEAR(Startops1),0,HLOOKUP(L$37,CF_Table,CF!$AB$51))</f>
        <v>-303.213031196215</v>
      </c>
      <c r="M45" s="61" t="n">
        <f aca="false">IF(M$37&lt;YEAR(Startops1),0,HLOOKUP(M$37,CF_Table,CF!$AB$51))</f>
        <v>-286.344692325125</v>
      </c>
      <c r="N45" s="61" t="n">
        <f aca="false">IF(N$37&lt;YEAR(Startops1),0,HLOOKUP(N$37,CF_Table,CF!$AB$51))</f>
        <v>-267.212200669063</v>
      </c>
      <c r="O45" s="61" t="n">
        <f aca="false">IF(O$37&lt;YEAR(Startops1),0,HLOOKUP(O$37,CF_Table,CF!$AB$51))</f>
        <v>-245.511650320467</v>
      </c>
      <c r="P45" s="61" t="n">
        <f aca="false">IF(P$37&lt;YEAR(Startops1),0,HLOOKUP(P$37,CF_Table,CF!$AB$51))</f>
        <v>-220.89834360133</v>
      </c>
      <c r="Q45" s="61" t="n">
        <f aca="false">IF(Q$37&lt;YEAR(Startops1),0,HLOOKUP(Q$37,CF_Table,CF!$AB$51))</f>
        <v>-192.981315787816</v>
      </c>
      <c r="R45" s="61" t="n">
        <f aca="false">IF(R$37&lt;YEAR(Startops1),0,HLOOKUP(R$37,CF_Table,CF!$AB$51))</f>
        <v>-161.317124916034</v>
      </c>
      <c r="S45" s="61" t="n">
        <f aca="false">IF(S$37&lt;YEAR(Startops1),0,HLOOKUP(S$37,CF_Table,CF!$AB$51))</f>
        <v>-125.402808024487</v>
      </c>
      <c r="T45" s="61" t="n">
        <f aca="false">IF(T$37&lt;YEAR(Startops1),0,HLOOKUP(T$37,CF_Table,CF!$AB$51))</f>
        <v>-84.667891948172</v>
      </c>
      <c r="U45" s="61" t="n">
        <f aca="false">IF(U$37&lt;YEAR(Startops1),0,HLOOKUP(U$37,CF_Table,CF!$AB$51))</f>
        <v>-38.4653317615136</v>
      </c>
      <c r="V45" s="61" t="n">
        <f aca="false">IF(V$37&lt;YEAR(Startops1),0,HLOOKUP(V$37,CF_Table,CF!$AB$51))</f>
        <v>-0</v>
      </c>
      <c r="W45" s="61" t="n">
        <f aca="false">IF(W$37&lt;YEAR(Startops1),0,HLOOKUP(W$37,CF_Table,CF!$AB$51))</f>
        <v>-0</v>
      </c>
      <c r="X45" s="61" t="n">
        <f aca="false">IF(X$37&lt;YEAR(Startops1),0,HLOOKUP(X$37,CF_Table,CF!$AB$51))</f>
        <v>-0</v>
      </c>
      <c r="Y45" s="61" t="n">
        <f aca="false">IF(Y$37&lt;YEAR(Startops1),0,HLOOKUP(Y$37,CF_Table,CF!$AB$51))</f>
        <v>-0</v>
      </c>
      <c r="Z45" s="61" t="n">
        <f aca="false">IF(Z$37&lt;YEAR(Startops1),0,HLOOKUP(Z$37,CF_Table,CF!$AB$51))</f>
        <v>-0</v>
      </c>
      <c r="AA45" s="61" t="n">
        <f aca="false">IF(AA$37&lt;YEAR(Startops1),0,HLOOKUP(AA$37,CF_Table,CF!$AB$51))</f>
        <v>-0</v>
      </c>
      <c r="AB45" s="61" t="n">
        <f aca="false">IF(AB$37&lt;YEAR(Startops1),0,HLOOKUP(AB$37,CF_Table,CF!$AB$51))</f>
        <v>-0</v>
      </c>
      <c r="AC45" s="309" t="n">
        <f aca="false">SUM(G45:AB45)</f>
        <v>-2378.08821992377</v>
      </c>
    </row>
    <row r="46" customFormat="false" ht="12.75" hidden="false" customHeight="false" outlineLevel="0" collapsed="false">
      <c r="A46" s="37" t="s">
        <v>460</v>
      </c>
      <c r="D46" s="39"/>
      <c r="E46" s="39"/>
      <c r="F46" s="39"/>
      <c r="G46" s="311" t="n">
        <f aca="false">IF(G$37&lt;YEAR(Startops1),0,HLOOKUP(G$37,CF_Table,CF!$AB$52))</f>
        <v>0</v>
      </c>
      <c r="H46" s="311" t="n">
        <f aca="false">IF(H$37&lt;YEAR(Startops1),0,HLOOKUP(H$37,CF_Table,CF!$AB$52))</f>
        <v>0</v>
      </c>
      <c r="I46" s="311" t="n">
        <f aca="false">IF(I$37&lt;YEAR(Startops1),0,HLOOKUP(I$37,CF_Table,CF!$AB$52))</f>
        <v>0</v>
      </c>
      <c r="J46" s="311" t="n">
        <f aca="false">IF(J$37&lt;YEAR(Startops1),0,HLOOKUP(J$37,CF_Table,CF!$AB$52))</f>
        <v>-0</v>
      </c>
      <c r="K46" s="311" t="n">
        <f aca="false">IF(K$37&lt;YEAR(Startops1),0,HLOOKUP(K$37,CF_Table,CF!$AB$52))</f>
        <v>-0</v>
      </c>
      <c r="L46" s="311" t="n">
        <f aca="false">IF(L$37&lt;YEAR(Startops1),0,HLOOKUP(L$37,CF_Table,CF!$AB$52))</f>
        <v>-0</v>
      </c>
      <c r="M46" s="311" t="n">
        <f aca="false">IF(M$37&lt;YEAR(Startops1),0,HLOOKUP(M$37,CF_Table,CF!$AB$52))</f>
        <v>-0</v>
      </c>
      <c r="N46" s="311" t="n">
        <f aca="false">IF(N$37&lt;YEAR(Startops1),0,HLOOKUP(N$37,CF_Table,CF!$AB$52))</f>
        <v>-0</v>
      </c>
      <c r="O46" s="311" t="n">
        <f aca="false">IF(O$37&lt;YEAR(Startops1),0,HLOOKUP(O$37,CF_Table,CF!$AB$52))</f>
        <v>-0</v>
      </c>
      <c r="P46" s="311" t="n">
        <f aca="false">IF(P$37&lt;YEAR(Startops1),0,HLOOKUP(P$37,CF_Table,CF!$AB$52))</f>
        <v>-0</v>
      </c>
      <c r="Q46" s="311" t="n">
        <f aca="false">IF(Q$37&lt;YEAR(Startops1),0,HLOOKUP(Q$37,CF_Table,CF!$AB$52))</f>
        <v>-0</v>
      </c>
      <c r="R46" s="311" t="n">
        <f aca="false">IF(R$37&lt;YEAR(Startops1),0,HLOOKUP(R$37,CF_Table,CF!$AB$52))</f>
        <v>-0</v>
      </c>
      <c r="S46" s="311" t="n">
        <f aca="false">IF(S$37&lt;YEAR(Startops1),0,HLOOKUP(S$37,CF_Table,CF!$AB$52))</f>
        <v>-0</v>
      </c>
      <c r="T46" s="311" t="n">
        <f aca="false">IF(T$37&lt;YEAR(Startops1),0,HLOOKUP(T$37,CF_Table,CF!$AB$52))</f>
        <v>-0</v>
      </c>
      <c r="U46" s="311" t="n">
        <f aca="false">IF(U$37&lt;YEAR(Startops1),0,HLOOKUP(U$37,CF_Table,CF!$AB$52))</f>
        <v>-0</v>
      </c>
      <c r="V46" s="311" t="n">
        <f aca="false">IF(V$37&lt;YEAR(Startops1),0,HLOOKUP(V$37,CF_Table,CF!$AB$52))</f>
        <v>-0</v>
      </c>
      <c r="W46" s="311" t="n">
        <f aca="false">IF(W$37&lt;YEAR(Startops1),0,HLOOKUP(W$37,CF_Table,CF!$AB$52))</f>
        <v>-0</v>
      </c>
      <c r="X46" s="311" t="n">
        <f aca="false">IF(X$37&lt;YEAR(Startops1),0,HLOOKUP(X$37,CF_Table,CF!$AB$52))</f>
        <v>-0</v>
      </c>
      <c r="Y46" s="311" t="n">
        <f aca="false">IF(Y$37&lt;YEAR(Startops1),0,HLOOKUP(Y$37,CF_Table,CF!$AB$52))</f>
        <v>-0</v>
      </c>
      <c r="Z46" s="311" t="n">
        <f aca="false">IF(Z$37&lt;YEAR(Startops1),0,HLOOKUP(Z$37,CF_Table,CF!$AB$52))</f>
        <v>-0</v>
      </c>
      <c r="AA46" s="311" t="n">
        <f aca="false">IF(AA$37&lt;YEAR(Startops1),0,HLOOKUP(AA$37,CF_Table,CF!$AB$52))</f>
        <v>-0</v>
      </c>
      <c r="AB46" s="311" t="n">
        <f aca="false">IF(AB$37&lt;YEAR(Startops1),0,HLOOKUP(AB$37,CF_Table,CF!$AB$52))</f>
        <v>-0</v>
      </c>
      <c r="AC46" s="313" t="n">
        <f aca="false">SUM(G46:AB46)</f>
        <v>0</v>
      </c>
    </row>
    <row r="47" customFormat="false" ht="12.75" hidden="false" customHeight="false" outlineLevel="0" collapsed="false">
      <c r="A47" s="37" t="s">
        <v>461</v>
      </c>
      <c r="D47" s="39"/>
      <c r="E47" s="39"/>
      <c r="F47" s="39"/>
      <c r="G47" s="61" t="n">
        <f aca="false">SUM(G43:G46)</f>
        <v>0</v>
      </c>
      <c r="H47" s="61" t="n">
        <f aca="false">SUM(H43:H46)</f>
        <v>0</v>
      </c>
      <c r="I47" s="61" t="n">
        <f aca="false">SUM(I43:I46)</f>
        <v>0</v>
      </c>
      <c r="J47" s="61" t="n">
        <f aca="false">SUM(J43:J46)</f>
        <v>-10441.7052794736</v>
      </c>
      <c r="K47" s="61" t="n">
        <f aca="false">SUM(K43:K46)</f>
        <v>-17807.4186456594</v>
      </c>
      <c r="L47" s="61" t="n">
        <f aca="false">SUM(L43:L46)</f>
        <v>-17610.8955037485</v>
      </c>
      <c r="M47" s="61" t="n">
        <f aca="false">SUM(M43:M46)</f>
        <v>-17213.0158480658</v>
      </c>
      <c r="N47" s="61" t="n">
        <f aca="false">SUM(N43:N46)</f>
        <v>-16418.9982130842</v>
      </c>
      <c r="O47" s="61" t="n">
        <f aca="false">SUM(O43:O46)</f>
        <v>-15438.2373971966</v>
      </c>
      <c r="P47" s="61" t="n">
        <f aca="false">SUM(P43:P46)</f>
        <v>-14315.0193513634</v>
      </c>
      <c r="Q47" s="61" t="n">
        <f aca="false">SUM(Q43:Q46)</f>
        <v>-13149.8068801175</v>
      </c>
      <c r="R47" s="61" t="n">
        <f aca="false">SUM(R43:R46)</f>
        <v>-12392.516339761</v>
      </c>
      <c r="S47" s="61" t="n">
        <f aca="false">SUM(S43:S46)</f>
        <v>-11768.1987047006</v>
      </c>
      <c r="T47" s="61" t="n">
        <f aca="false">SUM(T43:T46)</f>
        <v>-11139.0604704555</v>
      </c>
      <c r="U47" s="61" t="n">
        <f aca="false">SUM(U43:U46)</f>
        <v>-10298.6200451261</v>
      </c>
      <c r="V47" s="61" t="n">
        <f aca="false">SUM(V43:V46)</f>
        <v>-9397.30533256401</v>
      </c>
      <c r="W47" s="61" t="n">
        <f aca="false">SUM(W43:W46)</f>
        <v>-8534.45595176339</v>
      </c>
      <c r="X47" s="61" t="n">
        <f aca="false">SUM(X43:X46)</f>
        <v>-7613.57051448518</v>
      </c>
      <c r="Y47" s="61" t="n">
        <f aca="false">SUM(Y43:Y46)</f>
        <v>-7210.49935483045</v>
      </c>
      <c r="Z47" s="61" t="n">
        <f aca="false">SUM(Z43:Z46)</f>
        <v>-7210.49935483045</v>
      </c>
      <c r="AA47" s="61" t="n">
        <f aca="false">SUM(AA43:AA46)</f>
        <v>-7210.49935483045</v>
      </c>
      <c r="AB47" s="61" t="n">
        <f aca="false">SUM(AB43:AB46)</f>
        <v>-2403.49978494348</v>
      </c>
      <c r="AC47" s="309" t="n">
        <f aca="false">SUM(G47:AB47)</f>
        <v>-217573.822326999</v>
      </c>
    </row>
    <row r="48" customFormat="false" ht="12.75" hidden="false" customHeight="false" outlineLevel="0" collapsed="false">
      <c r="A48" s="37"/>
      <c r="D48" s="39"/>
      <c r="E48" s="39"/>
      <c r="F48" s="39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309"/>
    </row>
    <row r="49" customFormat="false" ht="12.75" hidden="false" customHeight="false" outlineLevel="0" collapsed="false">
      <c r="A49" s="37" t="s">
        <v>462</v>
      </c>
      <c r="D49" s="39"/>
      <c r="E49" s="39" t="s">
        <v>150</v>
      </c>
      <c r="F49" s="39"/>
      <c r="G49" s="61" t="n">
        <f aca="false">SUM(G41,G47)</f>
        <v>0</v>
      </c>
      <c r="H49" s="61" t="n">
        <f aca="false">SUM(H41,H47)</f>
        <v>0</v>
      </c>
      <c r="I49" s="61" t="n">
        <f aca="false">SUM(I41,I47)</f>
        <v>0</v>
      </c>
      <c r="J49" s="61" t="n">
        <f aca="false">SUM(J41,J47)</f>
        <v>-1837.50898141714</v>
      </c>
      <c r="K49" s="318" t="n">
        <f aca="false">SUM(K41,K47)</f>
        <v>-3586.48060049747</v>
      </c>
      <c r="L49" s="61" t="n">
        <f aca="false">SUM(L41,L47)</f>
        <v>-4045.25450410579</v>
      </c>
      <c r="M49" s="61" t="n">
        <f aca="false">SUM(M41,M47)</f>
        <v>1886.41540495857</v>
      </c>
      <c r="N49" s="61" t="n">
        <f aca="false">SUM(N41,N47)</f>
        <v>2960.61663485648</v>
      </c>
      <c r="O49" s="61" t="n">
        <f aca="false">SUM(O41,O47)</f>
        <v>7998.91178825863</v>
      </c>
      <c r="P49" s="61" t="n">
        <f aca="false">SUM(P41,P47)</f>
        <v>10029.6883157375</v>
      </c>
      <c r="Q49" s="61" t="n">
        <f aca="false">SUM(Q41,Q47)</f>
        <v>11335.6812123419</v>
      </c>
      <c r="R49" s="61" t="n">
        <f aca="false">SUM(R41,R47)</f>
        <v>13437.6370752707</v>
      </c>
      <c r="S49" s="61" t="n">
        <f aca="false">SUM(S41,S47)</f>
        <v>14828.9569169303</v>
      </c>
      <c r="T49" s="61" t="n">
        <f aca="false">SUM(T41,T47)</f>
        <v>16540.3980642707</v>
      </c>
      <c r="U49" s="61" t="n">
        <f aca="false">SUM(U41,U47)</f>
        <v>19240.2394435349</v>
      </c>
      <c r="V49" s="61" t="n">
        <f aca="false">SUM(V41,V47)</f>
        <v>18612.9255761878</v>
      </c>
      <c r="W49" s="61" t="n">
        <f aca="false">SUM(W41,W47)</f>
        <v>22060.6618656204</v>
      </c>
      <c r="X49" s="61" t="n">
        <f aca="false">SUM(X41,X47)</f>
        <v>23844.9967481276</v>
      </c>
      <c r="Y49" s="61" t="n">
        <f aca="false">SUM(Y41,Y47)</f>
        <v>25095.5835249039</v>
      </c>
      <c r="Z49" s="61" t="n">
        <f aca="false">SUM(Z41,Z47)</f>
        <v>26171.3142554706</v>
      </c>
      <c r="AA49" s="61" t="n">
        <f aca="false">SUM(AA41,AA47)</f>
        <v>27337.2046823972</v>
      </c>
      <c r="AB49" s="61" t="n">
        <f aca="false">SUM(AB41,AB47)</f>
        <v>9125.29216995186</v>
      </c>
      <c r="AC49" s="309" t="n">
        <f aca="false">SUM(G49:AB49)</f>
        <v>241037.279592799</v>
      </c>
      <c r="AD49" s="441"/>
    </row>
    <row r="50" customFormat="false" ht="12.75" hidden="false" customHeight="false" outlineLevel="0" collapsed="false">
      <c r="A50" s="37" t="s">
        <v>435</v>
      </c>
      <c r="D50" s="39"/>
      <c r="E50" s="39"/>
      <c r="F50" s="39"/>
      <c r="G50" s="311" t="n">
        <f aca="false">IF(G$37&lt;YEAR(Startops1),0,HLOOKUP(G$37,CF_Table,CF!$AB$55))</f>
        <v>0</v>
      </c>
      <c r="H50" s="311" t="n">
        <f aca="false">IF(H$37&lt;YEAR(Startops1),0,HLOOKUP(H$37,CF_Table,CF!$AB$55))</f>
        <v>0</v>
      </c>
      <c r="I50" s="311" t="n">
        <f aca="false">IF(I$37&lt;YEAR(Startops1),0,HLOOKUP(I$37,CF_Table,CF!$AB$55))</f>
        <v>0</v>
      </c>
      <c r="J50" s="311" t="n">
        <f aca="false">IF(J$37&lt;YEAR(Startops1),0,HLOOKUP(J$37,CF_Table,CF!$AB$55))</f>
        <v>-0</v>
      </c>
      <c r="K50" s="311" t="n">
        <f aca="false">IF(K$37&lt;YEAR(Startops1),0,HLOOKUP(K$37,CF_Table,CF!$AB$55))</f>
        <v>-0</v>
      </c>
      <c r="L50" s="311" t="n">
        <f aca="false">IF(L$37&lt;YEAR(Startops1),0,HLOOKUP(L$37,CF_Table,CF!$AB$55))</f>
        <v>-0</v>
      </c>
      <c r="M50" s="311" t="n">
        <f aca="false">IF(M$37&lt;YEAR(Startops1),0,HLOOKUP(M$37,CF_Table,CF!$AB$55))</f>
        <v>-0</v>
      </c>
      <c r="N50" s="311" t="n">
        <f aca="false">IF(N$37&lt;YEAR(Startops1),0,HLOOKUP(N$37,CF_Table,CF!$AB$55))</f>
        <v>-0</v>
      </c>
      <c r="O50" s="311" t="n">
        <f aca="false">IF(O$37&lt;YEAR(Startops1),0,HLOOKUP(O$37,CF_Table,CF!$AB$55))</f>
        <v>-840.855935528842</v>
      </c>
      <c r="P50" s="311" t="n">
        <f aca="false">IF(P$37&lt;YEAR(Startops1),0,HLOOKUP(P$37,CF_Table,CF!$AB$55))</f>
        <v>-2507.42207893437</v>
      </c>
      <c r="Q50" s="311" t="n">
        <f aca="false">IF(Q$37&lt;YEAR(Startops1),0,HLOOKUP(Q$37,CF_Table,CF!$AB$55))</f>
        <v>-2833.92030308547</v>
      </c>
      <c r="R50" s="311" t="n">
        <f aca="false">IF(R$37&lt;YEAR(Startops1),0,HLOOKUP(R$37,CF_Table,CF!$AB$55))</f>
        <v>-3359.40926881768</v>
      </c>
      <c r="S50" s="311" t="n">
        <f aca="false">IF(S$37&lt;YEAR(Startops1),0,HLOOKUP(S$37,CF_Table,CF!$AB$55))</f>
        <v>-3707.23922923257</v>
      </c>
      <c r="T50" s="311" t="n">
        <f aca="false">IF(T$37&lt;YEAR(Startops1),0,HLOOKUP(T$37,CF_Table,CF!$AB$55))</f>
        <v>-4135.09951606768</v>
      </c>
      <c r="U50" s="311" t="n">
        <f aca="false">IF(U$37&lt;YEAR(Startops1),0,HLOOKUP(U$37,CF_Table,CF!$AB$55))</f>
        <v>-4810.05986088372</v>
      </c>
      <c r="V50" s="311" t="n">
        <f aca="false">IF(V$37&lt;YEAR(Startops1),0,HLOOKUP(V$37,CF_Table,CF!$AB$55))</f>
        <v>-4653.23139404696</v>
      </c>
      <c r="W50" s="311" t="n">
        <f aca="false">IF(W$37&lt;YEAR(Startops1),0,HLOOKUP(W$37,CF_Table,CF!$AB$55))</f>
        <v>-5515.16546640509</v>
      </c>
      <c r="X50" s="311" t="n">
        <f aca="false">IF(X$37&lt;YEAR(Startops1),0,HLOOKUP(X$37,CF_Table,CF!$AB$55))</f>
        <v>-5961.24918703191</v>
      </c>
      <c r="Y50" s="311" t="n">
        <f aca="false">IF(Y$37&lt;YEAR(Startops1),0,HLOOKUP(Y$37,CF_Table,CF!$AB$55))</f>
        <v>-6273.89588122597</v>
      </c>
      <c r="Z50" s="311" t="n">
        <f aca="false">IF(Z$37&lt;YEAR(Startops1),0,HLOOKUP(Z$37,CF_Table,CF!$AB$55))</f>
        <v>-6542.82856386766</v>
      </c>
      <c r="AA50" s="311" t="n">
        <f aca="false">IF(AA$37&lt;YEAR(Startops1),0,HLOOKUP(AA$37,CF_Table,CF!$AB$55))</f>
        <v>-6834.3011705993</v>
      </c>
      <c r="AB50" s="311" t="n">
        <f aca="false">IF(AB$37&lt;YEAR(Startops1),0,HLOOKUP(AB$37,CF_Table,CF!$AB$55))</f>
        <v>-2281.32304248797</v>
      </c>
      <c r="AC50" s="313" t="n">
        <f aca="false">SUM(G50:AB50)</f>
        <v>-60256.0008982152</v>
      </c>
      <c r="AD50" s="19"/>
    </row>
    <row r="51" customFormat="false" ht="12.75" hidden="false" customHeight="false" outlineLevel="0" collapsed="false">
      <c r="A51" s="37" t="s">
        <v>423</v>
      </c>
      <c r="D51" s="39"/>
      <c r="E51" s="39" t="s">
        <v>150</v>
      </c>
      <c r="F51" s="39"/>
      <c r="G51" s="436" t="n">
        <f aca="false">SUM(G49:G50)</f>
        <v>0</v>
      </c>
      <c r="H51" s="436" t="n">
        <f aca="false">SUM(H49:H50)</f>
        <v>0</v>
      </c>
      <c r="I51" s="436" t="n">
        <f aca="false">SUM(I49:I50)</f>
        <v>0</v>
      </c>
      <c r="J51" s="436" t="n">
        <f aca="false">SUM(J49:J50)</f>
        <v>-1837.50898141714</v>
      </c>
      <c r="K51" s="442" t="n">
        <f aca="false">SUM(K49:K50)</f>
        <v>-3586.48060049747</v>
      </c>
      <c r="L51" s="436" t="n">
        <f aca="false">SUM(L49:L50)</f>
        <v>-4045.25450410579</v>
      </c>
      <c r="M51" s="436" t="n">
        <f aca="false">SUM(M49:M50)</f>
        <v>1886.41540495857</v>
      </c>
      <c r="N51" s="436" t="n">
        <f aca="false">SUM(N49:N50)</f>
        <v>2960.61663485648</v>
      </c>
      <c r="O51" s="436" t="n">
        <f aca="false">SUM(O49:O50)</f>
        <v>7158.05585272979</v>
      </c>
      <c r="P51" s="436" t="n">
        <f aca="false">SUM(P49:P50)</f>
        <v>7522.2662368031</v>
      </c>
      <c r="Q51" s="436" t="n">
        <f aca="false">SUM(Q49:Q50)</f>
        <v>8501.76090925641</v>
      </c>
      <c r="R51" s="436" t="n">
        <f aca="false">SUM(R49:R50)</f>
        <v>10078.227806453</v>
      </c>
      <c r="S51" s="436" t="n">
        <f aca="false">SUM(S49:S50)</f>
        <v>11121.7176876977</v>
      </c>
      <c r="T51" s="436" t="n">
        <f aca="false">SUM(T49:T50)</f>
        <v>12405.298548203</v>
      </c>
      <c r="U51" s="436" t="n">
        <f aca="false">SUM(U49:U50)</f>
        <v>14430.1795826512</v>
      </c>
      <c r="V51" s="436" t="n">
        <f aca="false">SUM(V49:V50)</f>
        <v>13959.6941821409</v>
      </c>
      <c r="W51" s="436" t="n">
        <f aca="false">SUM(W49:W50)</f>
        <v>16545.4963992153</v>
      </c>
      <c r="X51" s="436" t="n">
        <f aca="false">SUM(X49:X50)</f>
        <v>17883.7475610957</v>
      </c>
      <c r="Y51" s="436" t="n">
        <f aca="false">SUM(Y49:Y50)</f>
        <v>18821.6876436779</v>
      </c>
      <c r="Z51" s="436" t="n">
        <f aca="false">SUM(Z49:Z50)</f>
        <v>19628.485691603</v>
      </c>
      <c r="AA51" s="436" t="n">
        <f aca="false">SUM(AA49:AA50)</f>
        <v>20502.9035117979</v>
      </c>
      <c r="AB51" s="436" t="n">
        <f aca="false">SUM(AB49:AB50)</f>
        <v>6843.9691274639</v>
      </c>
      <c r="AC51" s="443" t="n">
        <f aca="false">SUM(G51:AB51)</f>
        <v>180781.278694584</v>
      </c>
      <c r="AD51" s="444" t="str">
        <f aca="false">IF(ROUND(AC51-CF!Z57,2)=0," ","DOES NOT TIE TO NET INCOME ON CASHFLOW SHEET")</f>
        <v>DOES NOT TIE TO NET INCOME ON CASHFLOW SHEET</v>
      </c>
    </row>
    <row r="52" customFormat="false" ht="12.75" hidden="false" customHeight="false" outlineLevel="0" collapsed="false">
      <c r="A52" s="445"/>
      <c r="B52" s="446"/>
      <c r="C52" s="446"/>
      <c r="D52" s="446"/>
      <c r="E52" s="446"/>
      <c r="F52" s="446"/>
      <c r="G52" s="447"/>
      <c r="H52" s="447"/>
      <c r="I52" s="447"/>
      <c r="J52" s="447"/>
      <c r="K52" s="447"/>
      <c r="L52" s="447"/>
      <c r="M52" s="447"/>
      <c r="N52" s="447"/>
      <c r="O52" s="447"/>
      <c r="P52" s="447"/>
      <c r="Q52" s="447"/>
      <c r="R52" s="447"/>
      <c r="S52" s="447"/>
      <c r="T52" s="447"/>
      <c r="U52" s="447"/>
      <c r="V52" s="447"/>
      <c r="W52" s="447"/>
      <c r="X52" s="447"/>
      <c r="Y52" s="447"/>
      <c r="Z52" s="447"/>
      <c r="AA52" s="447"/>
      <c r="AB52" s="447"/>
      <c r="AC52" s="448"/>
    </row>
    <row r="53" customFormat="false" ht="12.75" hidden="false" customHeight="false" outlineLevel="0" collapsed="false">
      <c r="A53" s="37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02"/>
    </row>
    <row r="54" customFormat="false" ht="13.5" hidden="false" customHeight="false" outlineLevel="0" collapsed="false">
      <c r="A54" s="428" t="s">
        <v>463</v>
      </c>
      <c r="B54" s="429"/>
      <c r="C54" s="429"/>
      <c r="D54" s="429"/>
      <c r="E54" s="22"/>
      <c r="F54" s="22"/>
      <c r="G54" s="50" t="n">
        <f aca="false">G$7</f>
        <v>1998</v>
      </c>
      <c r="H54" s="50" t="n">
        <f aca="false">H$7</f>
        <v>1999</v>
      </c>
      <c r="I54" s="50" t="n">
        <f aca="false">I$7</f>
        <v>2000</v>
      </c>
      <c r="J54" s="50" t="n">
        <f aca="false">J$7</f>
        <v>2001</v>
      </c>
      <c r="K54" s="50" t="n">
        <f aca="false">K$7</f>
        <v>2002</v>
      </c>
      <c r="L54" s="50" t="n">
        <f aca="false">L$7</f>
        <v>2003</v>
      </c>
      <c r="M54" s="50" t="n">
        <f aca="false">M$7</f>
        <v>2004</v>
      </c>
      <c r="N54" s="50" t="n">
        <f aca="false">N$7</f>
        <v>2005</v>
      </c>
      <c r="O54" s="50" t="n">
        <f aca="false">O$7</f>
        <v>2006</v>
      </c>
      <c r="P54" s="50" t="n">
        <f aca="false">P$7</f>
        <v>2007</v>
      </c>
      <c r="Q54" s="50" t="n">
        <f aca="false">Q$7</f>
        <v>2008</v>
      </c>
      <c r="R54" s="50" t="n">
        <f aca="false">R$7</f>
        <v>2009</v>
      </c>
      <c r="S54" s="50" t="n">
        <f aca="false">S$7</f>
        <v>2010</v>
      </c>
      <c r="T54" s="50" t="n">
        <f aca="false">T$7</f>
        <v>2011</v>
      </c>
      <c r="U54" s="50" t="n">
        <f aca="false">U$7</f>
        <v>2012</v>
      </c>
      <c r="V54" s="50" t="n">
        <f aca="false">V$7</f>
        <v>2013</v>
      </c>
      <c r="W54" s="50" t="n">
        <f aca="false">W$7</f>
        <v>2014</v>
      </c>
      <c r="X54" s="50" t="n">
        <f aca="false">X$7</f>
        <v>2015</v>
      </c>
      <c r="Y54" s="50" t="n">
        <f aca="false">Y$7</f>
        <v>2016</v>
      </c>
      <c r="Z54" s="50" t="n">
        <f aca="false">Z$7</f>
        <v>2017</v>
      </c>
      <c r="AA54" s="50" t="n">
        <f aca="false">AA$7</f>
        <v>2018</v>
      </c>
      <c r="AB54" s="50" t="n">
        <f aca="false">AB$7</f>
        <v>2019</v>
      </c>
      <c r="AC54" s="294" t="str">
        <f aca="false">AC$7</f>
        <v>Totals</v>
      </c>
    </row>
    <row r="55" customFormat="false" ht="12.75" hidden="false" customHeight="false" outlineLevel="0" collapsed="false">
      <c r="A55" s="34" t="s">
        <v>464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02"/>
    </row>
    <row r="56" customFormat="false" ht="12.75" hidden="false" customHeight="false" outlineLevel="0" collapsed="false">
      <c r="A56" s="37"/>
      <c r="B56" s="39" t="s">
        <v>465</v>
      </c>
      <c r="D56" s="39"/>
      <c r="E56" s="39"/>
      <c r="F56" s="39"/>
      <c r="G56" s="61" t="n">
        <f aca="false">G38</f>
        <v>0</v>
      </c>
      <c r="H56" s="61" t="n">
        <f aca="false">H38</f>
        <v>0</v>
      </c>
      <c r="I56" s="61" t="n">
        <f aca="false">I38</f>
        <v>0</v>
      </c>
      <c r="J56" s="61" t="n">
        <f aca="false">J38</f>
        <v>14282.925136278</v>
      </c>
      <c r="K56" s="61" t="n">
        <f aca="false">K38</f>
        <v>24055.0510107009</v>
      </c>
      <c r="L56" s="61" t="n">
        <f aca="false">L38</f>
        <v>24793.3666132372</v>
      </c>
      <c r="M56" s="61" t="n">
        <f aca="false">M38</f>
        <v>25593.3296288714</v>
      </c>
      <c r="N56" s="61" t="n">
        <f aca="false">N38</f>
        <v>26258.9242454311</v>
      </c>
      <c r="O56" s="61" t="n">
        <f aca="false">O38</f>
        <v>26998.838079134</v>
      </c>
      <c r="P56" s="61" t="n">
        <f aca="false">P38</f>
        <v>27742.8120987957</v>
      </c>
      <c r="Q56" s="61" t="n">
        <f aca="false">Q38</f>
        <v>28566.9945013695</v>
      </c>
      <c r="R56" s="61" t="n">
        <f aca="false">R38</f>
        <v>29243.2225680268</v>
      </c>
      <c r="S56" s="61" t="n">
        <f aca="false">S38</f>
        <v>30002.9516491615</v>
      </c>
      <c r="T56" s="61" t="n">
        <f aca="false">T38</f>
        <v>30770.8556612069</v>
      </c>
      <c r="U56" s="61" t="n">
        <f aca="false">U38</f>
        <v>31634.3559275759</v>
      </c>
      <c r="V56" s="61" t="n">
        <f aca="false">V38</f>
        <v>32342.5512297466</v>
      </c>
      <c r="W56" s="61" t="n">
        <f aca="false">W38</f>
        <v>33158.1560396562</v>
      </c>
      <c r="X56" s="61" t="n">
        <f aca="false">X38</f>
        <v>34004.3898750948</v>
      </c>
      <c r="Y56" s="61" t="n">
        <f aca="false">Y38</f>
        <v>34980.2528180879</v>
      </c>
      <c r="Z56" s="61" t="n">
        <f aca="false">Z38</f>
        <v>35807.9093461755</v>
      </c>
      <c r="AA56" s="61" t="n">
        <f aca="false">AA38</f>
        <v>36770.4041891557</v>
      </c>
      <c r="AB56" s="61" t="n">
        <f aca="false">AB38</f>
        <v>12194.3858015608</v>
      </c>
      <c r="AC56" s="309" t="n">
        <f aca="false">SUM(G56:AB56)</f>
        <v>539201.676419266</v>
      </c>
    </row>
    <row r="57" customFormat="false" ht="12.75" hidden="false" customHeight="false" outlineLevel="0" collapsed="false">
      <c r="A57" s="37"/>
      <c r="B57" s="39" t="s">
        <v>466</v>
      </c>
      <c r="D57" s="39"/>
      <c r="E57" s="39"/>
      <c r="F57" s="39"/>
      <c r="G57" s="61" t="n">
        <f aca="false">G39</f>
        <v>0</v>
      </c>
      <c r="H57" s="61" t="n">
        <f aca="false">H39</f>
        <v>0</v>
      </c>
      <c r="I57" s="61" t="n">
        <f aca="false">I39</f>
        <v>0</v>
      </c>
      <c r="J57" s="61" t="n">
        <f aca="false">J39</f>
        <v>-2921.73899095548</v>
      </c>
      <c r="K57" s="61" t="n">
        <f aca="false">K39</f>
        <v>-3916.86368778221</v>
      </c>
      <c r="L57" s="61" t="n">
        <f aca="false">L39</f>
        <v>-5556.79859184387</v>
      </c>
      <c r="M57" s="61" t="n">
        <f aca="false">M39</f>
        <v>-4688.32812762819</v>
      </c>
      <c r="N57" s="61" t="n">
        <f aca="false">N39</f>
        <v>-4175.41675121637</v>
      </c>
      <c r="O57" s="61" t="n">
        <f aca="false">O39</f>
        <v>-4434.02615073526</v>
      </c>
      <c r="P57" s="61" t="n">
        <f aca="false">P39</f>
        <v>-4449.23358131172</v>
      </c>
      <c r="Q57" s="61" t="n">
        <f aca="false">Q39</f>
        <v>-5178.01047802683</v>
      </c>
      <c r="R57" s="61" t="n">
        <f aca="false">R39</f>
        <v>-4647.45388645709</v>
      </c>
      <c r="S57" s="61" t="n">
        <f aca="false">S39</f>
        <v>-4920.63526970574</v>
      </c>
      <c r="T57" s="61" t="n">
        <f aca="false">T39</f>
        <v>-4889.31602101987</v>
      </c>
      <c r="U57" s="61" t="n">
        <f aca="false">U39</f>
        <v>-4067.07613381975</v>
      </c>
      <c r="V57" s="61" t="n">
        <f aca="false">V39</f>
        <v>-6314.6856331596</v>
      </c>
      <c r="W57" s="61" t="n">
        <f aca="false">W39</f>
        <v>-4447.29433878389</v>
      </c>
      <c r="X57" s="61" t="n">
        <f aca="false">X39</f>
        <v>-4383.18355558411</v>
      </c>
      <c r="Y57" s="61" t="n">
        <f aca="false">Y39</f>
        <v>-4547.54327812127</v>
      </c>
      <c r="Z57" s="61" t="n">
        <f aca="false">Z39</f>
        <v>-4616.91702055747</v>
      </c>
      <c r="AA57" s="61" t="n">
        <f aca="false">AA39</f>
        <v>-4732.98637664623</v>
      </c>
      <c r="AB57" s="61" t="n">
        <f aca="false">AB39</f>
        <v>-1609.57291643338</v>
      </c>
      <c r="AC57" s="309" t="n">
        <f aca="false">SUM(G57:AB57)</f>
        <v>-84497.0807897883</v>
      </c>
    </row>
    <row r="58" customFormat="false" ht="12.75" hidden="false" customHeight="false" outlineLevel="0" collapsed="false">
      <c r="A58" s="37"/>
      <c r="B58" s="39" t="s">
        <v>467</v>
      </c>
      <c r="D58" s="39"/>
      <c r="E58" s="39"/>
      <c r="F58" s="39"/>
      <c r="G58" s="61" t="n">
        <f aca="false">-SUM(Trapped!$E75:E77)-SUM($F58:F58)</f>
        <v>-825.143076156551</v>
      </c>
      <c r="H58" s="61" t="n">
        <f aca="false">-SUM(Trapped!$E75:F77)-SUM($F58:G58)</f>
        <v>-5837.7026413862</v>
      </c>
      <c r="I58" s="61" t="n">
        <f aca="false">-SUM(Trapped!$E75:G77)-SUM($F58:H58)</f>
        <v>-5091.23120338893</v>
      </c>
      <c r="J58" s="61" t="n">
        <f aca="false">-SUM(Trapped!$E75:H77)-SUM($F58:I58)</f>
        <v>-0.0284979234893399</v>
      </c>
      <c r="K58" s="61" t="n">
        <f aca="false">-SUM(Trapped!$E75:I77)-SUM($F58:J58)</f>
        <v>0</v>
      </c>
      <c r="L58" s="61" t="n">
        <f aca="false">-SUM(Trapped!$E75:J77)-SUM($F58:K58)</f>
        <v>0</v>
      </c>
      <c r="M58" s="61" t="n">
        <f aca="false">-SUM(Trapped!$E75:K77)-SUM($F58:L58)</f>
        <v>0</v>
      </c>
      <c r="N58" s="61" t="n">
        <f aca="false">-SUM(Trapped!$E75:L77)-SUM($F58:M58)</f>
        <v>0</v>
      </c>
      <c r="O58" s="61" t="n">
        <f aca="false">-SUM(Trapped!$E75:M77)-SUM($F58:N58)</f>
        <v>0</v>
      </c>
      <c r="P58" s="61" t="n">
        <f aca="false">-SUM(Trapped!$E75:N77)-SUM($F58:O58)</f>
        <v>0</v>
      </c>
      <c r="Q58" s="61" t="n">
        <f aca="false">-SUM(Trapped!$E75:O77)-SUM($F58:P58)</f>
        <v>0</v>
      </c>
      <c r="R58" s="61" t="n">
        <f aca="false">-SUM(Trapped!$E75:P77)-SUM($F58:Q58)</f>
        <v>0</v>
      </c>
      <c r="S58" s="61" t="n">
        <f aca="false">-SUM(Trapped!$E75:Q77)-SUM($F58:R58)</f>
        <v>0</v>
      </c>
      <c r="T58" s="61" t="n">
        <f aca="false">-SUM(Trapped!$E75:R77)-SUM($F58:S58)</f>
        <v>0</v>
      </c>
      <c r="U58" s="61" t="n">
        <f aca="false">-SUM(Trapped!$E75:S77)-SUM($F58:T58)</f>
        <v>0</v>
      </c>
      <c r="V58" s="61" t="n">
        <f aca="false">-SUM(Trapped!$E75:T77)-SUM($F58:U58)</f>
        <v>0</v>
      </c>
      <c r="W58" s="61" t="n">
        <f aca="false">-SUM(Trapped!$E75:U77)-SUM($F58:V58)</f>
        <v>0</v>
      </c>
      <c r="X58" s="61" t="n">
        <f aca="false">-SUM(Trapped!$E75:V77)-SUM($F58:W58)</f>
        <v>0</v>
      </c>
      <c r="Y58" s="61" t="n">
        <f aca="false">-SUM(Trapped!$E75:W77)-SUM($F58:X58)</f>
        <v>0</v>
      </c>
      <c r="Z58" s="61" t="n">
        <f aca="false">-SUM(Trapped!$E75:X77)-SUM($F58:Y58)</f>
        <v>0</v>
      </c>
      <c r="AA58" s="61" t="n">
        <f aca="false">-SUM(Trapped!$E75:Y77)-SUM($F58:Z58)</f>
        <v>0</v>
      </c>
      <c r="AB58" s="61" t="n">
        <f aca="false">-SUM(Trapped!$E75:Z77)-SUM($F58:AA58)</f>
        <v>0</v>
      </c>
      <c r="AC58" s="309" t="n">
        <f aca="false">SUM(G58:AB58)</f>
        <v>-11754.1054188552</v>
      </c>
    </row>
    <row r="59" customFormat="false" ht="12.75" hidden="false" customHeight="false" outlineLevel="0" collapsed="false">
      <c r="A59" s="37"/>
      <c r="B59" s="39" t="s">
        <v>468</v>
      </c>
      <c r="D59" s="39"/>
      <c r="E59" s="39"/>
      <c r="F59" s="39"/>
      <c r="G59" s="61" t="n">
        <f aca="false">IF(G$54&lt;YEAR(Startops1),0,HLOOKUP(G$54,CF_Table,CF!$AB$60))</f>
        <v>0</v>
      </c>
      <c r="H59" s="61" t="n">
        <f aca="false">IF(H$54&lt;YEAR(Startops1),0,HLOOKUP(H$54,CF_Table,CF!$AB$60))</f>
        <v>0</v>
      </c>
      <c r="I59" s="61" t="n">
        <f aca="false">IF(I$54&lt;YEAR(Startops1),0,HLOOKUP(I$54,CF_Table,CF!$AB$60))</f>
        <v>0</v>
      </c>
      <c r="J59" s="61" t="n">
        <f aca="false">IF(J$54&lt;YEAR(Startops1),0,HLOOKUP(J$54,CF_Table,CF!$AB$60))</f>
        <v>1819.64466236182</v>
      </c>
      <c r="K59" s="61" t="n">
        <f aca="false">IF(K$54&lt;YEAR(Startops1),0,HLOOKUP(K$54,CF_Table,CF!$AB$60))</f>
        <v>3064.61349876329</v>
      </c>
      <c r="L59" s="61" t="n">
        <f aca="false">IF(L$54&lt;YEAR(Startops1),0,HLOOKUP(L$54,CF_Table,CF!$AB$60))</f>
        <v>3158.67490652642</v>
      </c>
      <c r="M59" s="61" t="n">
        <f aca="false">IF(M$54&lt;YEAR(Startops1),0,HLOOKUP(M$54,CF_Table,CF!$AB$60))</f>
        <v>3260.59019471821</v>
      </c>
      <c r="N59" s="61" t="n">
        <f aca="false">IF(N$54&lt;YEAR(Startops1),0,HLOOKUP(N$54,CF_Table,CF!$AB$60))</f>
        <v>215.500048108329</v>
      </c>
      <c r="O59" s="61" t="n">
        <f aca="false">IF(O$54&lt;YEAR(Startops1),0,HLOOKUP(O$54,CF_Table,CF!$AB$60))</f>
        <v>0</v>
      </c>
      <c r="P59" s="61" t="n">
        <f aca="false">IF(P$54&lt;YEAR(Startops1),0,HLOOKUP(P$54,CF_Table,CF!$AB$60))</f>
        <v>0</v>
      </c>
      <c r="Q59" s="61" t="n">
        <f aca="false">IF(Q$54&lt;YEAR(Startops1),0,HLOOKUP(Q$54,CF_Table,CF!$AB$60))</f>
        <v>0</v>
      </c>
      <c r="R59" s="61" t="n">
        <f aca="false">IF(R$54&lt;YEAR(Startops1),0,HLOOKUP(R$54,CF_Table,CF!$AB$60))</f>
        <v>0</v>
      </c>
      <c r="S59" s="61" t="n">
        <f aca="false">IF(S$54&lt;YEAR(Startops1),0,HLOOKUP(S$54,CF_Table,CF!$AB$60))</f>
        <v>0</v>
      </c>
      <c r="T59" s="61" t="n">
        <f aca="false">IF(T$54&lt;YEAR(Startops1),0,HLOOKUP(T$54,CF_Table,CF!$AB$60))</f>
        <v>0</v>
      </c>
      <c r="U59" s="61" t="n">
        <f aca="false">IF(U$54&lt;YEAR(Startops1),0,HLOOKUP(U$54,CF_Table,CF!$AB$60))</f>
        <v>0</v>
      </c>
      <c r="V59" s="61" t="n">
        <f aca="false">IF(V$54&lt;YEAR(Startops1),0,HLOOKUP(V$54,CF_Table,CF!$AB$60))</f>
        <v>0</v>
      </c>
      <c r="W59" s="61" t="n">
        <f aca="false">IF(W$54&lt;YEAR(Startops1),0,HLOOKUP(W$54,CF_Table,CF!$AB$60))</f>
        <v>0</v>
      </c>
      <c r="X59" s="61" t="n">
        <f aca="false">IF(X$54&lt;YEAR(Startops1),0,HLOOKUP(X$54,CF_Table,CF!$AB$60))</f>
        <v>0</v>
      </c>
      <c r="Y59" s="61" t="n">
        <f aca="false">IF(Y$54&lt;YEAR(Startops1),0,HLOOKUP(Y$54,CF_Table,CF!$AB$60))</f>
        <v>0</v>
      </c>
      <c r="Z59" s="61" t="n">
        <f aca="false">IF(Z$54&lt;YEAR(Startops1),0,HLOOKUP(Z$54,CF_Table,CF!$AB$60))</f>
        <v>0</v>
      </c>
      <c r="AA59" s="61" t="n">
        <f aca="false">IF(AA$54&lt;YEAR(Startops1),0,HLOOKUP(AA$54,CF_Table,CF!$AB$60))</f>
        <v>0</v>
      </c>
      <c r="AB59" s="61" t="n">
        <f aca="false">IF(AB$54&lt;YEAR(Startops1),0,HLOOKUP(AB$54,CF_Table,CF!$AB$60))</f>
        <v>0</v>
      </c>
      <c r="AC59" s="309" t="n">
        <f aca="false">SUM(G59:AB59)</f>
        <v>11519.0233104781</v>
      </c>
    </row>
    <row r="60" customFormat="false" ht="12.75" hidden="false" customHeight="false" outlineLevel="0" collapsed="false">
      <c r="A60" s="37"/>
      <c r="B60" s="39" t="s">
        <v>469</v>
      </c>
      <c r="D60" s="39"/>
      <c r="E60" s="39"/>
      <c r="F60" s="39"/>
      <c r="G60" s="61" t="n">
        <f aca="false">IF(G$37&lt;YEAR(Startops1),0,HLOOKUP(G$37,CF_Table,CF!$AB$40))</f>
        <v>0</v>
      </c>
      <c r="H60" s="61" t="n">
        <f aca="false">IF(H$37&lt;YEAR(Startops1),0,HLOOKUP(H$37,CF_Table,CF!$AB$40))</f>
        <v>0</v>
      </c>
      <c r="I60" s="61" t="n">
        <f aca="false">IF(I$37&lt;YEAR(Startops1),0,HLOOKUP(I$37,CF_Table,CF!$AB$40))</f>
        <v>0</v>
      </c>
      <c r="J60" s="61" t="n">
        <f aca="false">IF(J$37&lt;YEAR(Startops1),0,HLOOKUP(J$37,CF_Table,CF!$AB$40))</f>
        <v>0</v>
      </c>
      <c r="K60" s="61" t="n">
        <f aca="false">IF(K$37&lt;YEAR(Startops1),0,HLOOKUP(K$37,CF_Table,CF!$AB$40))</f>
        <v>0</v>
      </c>
      <c r="L60" s="61" t="n">
        <f aca="false">IF(L$37&lt;YEAR(Startops1),0,HLOOKUP(L$37,CF_Table,CF!$AB$40))</f>
        <v>0</v>
      </c>
      <c r="M60" s="61" t="n">
        <f aca="false">IF(M$37&lt;YEAR(Startops1),0,HLOOKUP(M$37,CF_Table,CF!$AB$40))</f>
        <v>0</v>
      </c>
      <c r="N60" s="61" t="n">
        <f aca="false">IF(N$37&lt;YEAR(Startops1),0,HLOOKUP(N$37,CF_Table,CF!$AB$40))</f>
        <v>0</v>
      </c>
      <c r="O60" s="61" t="n">
        <f aca="false">IF(O$37&lt;YEAR(Startops1),0,HLOOKUP(O$37,CF_Table,CF!$AB$40))</f>
        <v>0</v>
      </c>
      <c r="P60" s="61" t="n">
        <f aca="false">IF(P$37&lt;YEAR(Startops1),0,HLOOKUP(P$37,CF_Table,CF!$AB$40))</f>
        <v>0</v>
      </c>
      <c r="Q60" s="61" t="n">
        <f aca="false">IF(Q$37&lt;YEAR(Startops1),0,HLOOKUP(Q$37,CF_Table,CF!$AB$40))</f>
        <v>0</v>
      </c>
      <c r="R60" s="61" t="n">
        <f aca="false">IF(R$37&lt;YEAR(Startops1),0,HLOOKUP(R$37,CF_Table,CF!$AB$40))</f>
        <v>0</v>
      </c>
      <c r="S60" s="61" t="n">
        <f aca="false">IF(S$37&lt;YEAR(Startops1),0,HLOOKUP(S$37,CF_Table,CF!$AB$40))</f>
        <v>0</v>
      </c>
      <c r="T60" s="61" t="n">
        <f aca="false">IF(T$37&lt;YEAR(Startops1),0,HLOOKUP(T$37,CF_Table,CF!$AB$40))</f>
        <v>0</v>
      </c>
      <c r="U60" s="61" t="n">
        <f aca="false">IF(U$37&lt;YEAR(Startops1),0,HLOOKUP(U$37,CF_Table,CF!$AB$40))</f>
        <v>0</v>
      </c>
      <c r="V60" s="61" t="n">
        <f aca="false">IF(V$37&lt;YEAR(Startops1),0,HLOOKUP(V$37,CF_Table,CF!$AB$40))</f>
        <v>0</v>
      </c>
      <c r="W60" s="61" t="n">
        <f aca="false">IF(W$37&lt;YEAR(Startops1),0,HLOOKUP(W$37,CF_Table,CF!$AB$40))</f>
        <v>0</v>
      </c>
      <c r="X60" s="61" t="n">
        <f aca="false">IF(X$37&lt;YEAR(Startops1),0,HLOOKUP(X$37,CF_Table,CF!$AB$40))</f>
        <v>0</v>
      </c>
      <c r="Y60" s="61" t="n">
        <f aca="false">IF(Y$37&lt;YEAR(Startops1),0,HLOOKUP(Y$37,CF_Table,CF!$AB$40))</f>
        <v>0</v>
      </c>
      <c r="Z60" s="61" t="n">
        <f aca="false">IF(Z$37&lt;YEAR(Startops1),0,HLOOKUP(Z$37,CF_Table,CF!$AB$40))</f>
        <v>0</v>
      </c>
      <c r="AA60" s="61" t="n">
        <f aca="false">IF(AA$37&lt;YEAR(Startops1),0,HLOOKUP(AA$37,CF_Table,CF!$AB$40))</f>
        <v>0</v>
      </c>
      <c r="AB60" s="61" t="n">
        <f aca="false">IF(AB$37&lt;YEAR(Startops1),0,HLOOKUP(AB$37,CF_Table,CF!$AB$40))</f>
        <v>0</v>
      </c>
      <c r="AC60" s="309" t="n">
        <f aca="false">SUM(G60:AB60)</f>
        <v>0</v>
      </c>
    </row>
    <row r="61" customFormat="false" ht="12.75" hidden="false" customHeight="false" outlineLevel="0" collapsed="false">
      <c r="A61" s="37"/>
      <c r="B61" s="39" t="s">
        <v>470</v>
      </c>
      <c r="D61" s="39"/>
      <c r="E61" s="39"/>
      <c r="F61" s="39"/>
      <c r="G61" s="61" t="n">
        <f aca="false">IF(G$37&lt;YEAR(Startops1),0,HLOOKUP(G$37,CF_Table,CF!$AB$43))</f>
        <v>0</v>
      </c>
      <c r="H61" s="61" t="n">
        <f aca="false">IF(H$37&lt;YEAR(Startops1),0,HLOOKUP(H$37,CF_Table,CF!$AB$43))</f>
        <v>0</v>
      </c>
      <c r="I61" s="61" t="n">
        <f aca="false">IF(I$37&lt;YEAR(Startops1),0,HLOOKUP(I$37,CF_Table,CF!$AB$43))</f>
        <v>0</v>
      </c>
      <c r="J61" s="61" t="n">
        <f aca="false">IF(J$37&lt;YEAR(Startops1),0,HLOOKUP(J$37,CF_Table,CF!$AB$43))</f>
        <v>-1033.04894415627</v>
      </c>
      <c r="K61" s="61" t="n">
        <f aca="false">IF(K$37&lt;YEAR(Startops1),0,HLOOKUP(K$37,CF_Table,CF!$AB$43))</f>
        <v>-2132.02521868827</v>
      </c>
      <c r="L61" s="61" t="n">
        <f aca="false">IF(L$37&lt;YEAR(Startops1),0,HLOOKUP(L$37,CF_Table,CF!$AB$43))</f>
        <v>-2196.23201902119</v>
      </c>
      <c r="M61" s="61" t="n">
        <f aca="false">IF(M$37&lt;YEAR(Startops1),0,HLOOKUP(M$37,CF_Table,CF!$AB$43))</f>
        <v>-2260.37462319825</v>
      </c>
      <c r="N61" s="61" t="n">
        <f aca="false">IF(N$37&lt;YEAR(Startops1),0,HLOOKUP(N$37,CF_Table,CF!$AB$43))</f>
        <v>-3487.37274837808</v>
      </c>
      <c r="O61" s="61" t="n">
        <f aca="false">IF(O$37&lt;YEAR(Startops1),0,HLOOKUP(O$37,CF_Table,CF!$AB$43))</f>
        <v>-0</v>
      </c>
      <c r="P61" s="61" t="n">
        <f aca="false">IF(P$37&lt;YEAR(Startops1),0,HLOOKUP(P$37,CF_Table,CF!$AB$43))</f>
        <v>-0</v>
      </c>
      <c r="Q61" s="61" t="n">
        <f aca="false">IF(Q$37&lt;YEAR(Startops1),0,HLOOKUP(Q$37,CF_Table,CF!$AB$43))</f>
        <v>-0</v>
      </c>
      <c r="R61" s="61" t="n">
        <f aca="false">IF(R$37&lt;YEAR(Startops1),0,HLOOKUP(R$37,CF_Table,CF!$AB$43))</f>
        <v>-0</v>
      </c>
      <c r="S61" s="61" t="n">
        <f aca="false">IF(S$37&lt;YEAR(Startops1),0,HLOOKUP(S$37,CF_Table,CF!$AB$43))</f>
        <v>-0</v>
      </c>
      <c r="T61" s="61" t="n">
        <f aca="false">IF(T$37&lt;YEAR(Startops1),0,HLOOKUP(T$37,CF_Table,CF!$AB$43))</f>
        <v>-0</v>
      </c>
      <c r="U61" s="61" t="n">
        <f aca="false">IF(U$37&lt;YEAR(Startops1),0,HLOOKUP(U$37,CF_Table,CF!$AB$43))</f>
        <v>-0</v>
      </c>
      <c r="V61" s="61" t="n">
        <f aca="false">IF(V$37&lt;YEAR(Startops1),0,HLOOKUP(V$37,CF_Table,CF!$AB$43))</f>
        <v>-0</v>
      </c>
      <c r="W61" s="61" t="n">
        <f aca="false">IF(W$37&lt;YEAR(Startops1),0,HLOOKUP(W$37,CF_Table,CF!$AB$43))</f>
        <v>-0</v>
      </c>
      <c r="X61" s="61" t="n">
        <f aca="false">IF(X$37&lt;YEAR(Startops1),0,HLOOKUP(X$37,CF_Table,CF!$AB$43))</f>
        <v>-0</v>
      </c>
      <c r="Y61" s="61" t="n">
        <f aca="false">IF(Y$37&lt;YEAR(Startops1),0,HLOOKUP(Y$37,CF_Table,CF!$AB$43))</f>
        <v>-0</v>
      </c>
      <c r="Z61" s="61" t="n">
        <f aca="false">IF(Z$37&lt;YEAR(Startops1),0,HLOOKUP(Z$37,CF_Table,CF!$AB$43))</f>
        <v>-0</v>
      </c>
      <c r="AA61" s="61" t="n">
        <f aca="false">IF(AA$37&lt;YEAR(Startops1),0,HLOOKUP(AA$37,CF_Table,CF!$AB$43))</f>
        <v>-0</v>
      </c>
      <c r="AB61" s="61" t="n">
        <f aca="false">IF(AB$37&lt;YEAR(Startops1),0,HLOOKUP(AB$37,CF_Table,CF!$AB$43))</f>
        <v>-0</v>
      </c>
      <c r="AC61" s="309" t="n">
        <f aca="false">SUM(G61:AB61)</f>
        <v>-11109.0535534421</v>
      </c>
    </row>
    <row r="62" customFormat="false" ht="12.75" hidden="false" customHeight="false" outlineLevel="0" collapsed="false">
      <c r="A62" s="37"/>
      <c r="B62" s="39" t="s">
        <v>471</v>
      </c>
      <c r="D62" s="39"/>
      <c r="E62" s="39"/>
      <c r="F62" s="39"/>
      <c r="G62" s="311" t="n">
        <f aca="false">IF(G$37&lt;YEAR(Startops1),0,HLOOKUP(G$37,CF_Table,CF!$AB$64))</f>
        <v>0</v>
      </c>
      <c r="H62" s="311" t="n">
        <f aca="false">IF(H$37&lt;YEAR(Startops1),0,HLOOKUP(H$37,CF_Table,CF!$AB$64))</f>
        <v>0</v>
      </c>
      <c r="I62" s="311" t="n">
        <f aca="false">IF(I$37&lt;YEAR(Startops1),0,HLOOKUP(I$37,CF_Table,CF!$AB$64))</f>
        <v>0</v>
      </c>
      <c r="J62" s="311" t="n">
        <f aca="false">IF(J$37&lt;YEAR(Startops1),0,HLOOKUP(J$37,CF_Table,CF!$AB$64))</f>
        <v>-0</v>
      </c>
      <c r="K62" s="311" t="n">
        <f aca="false">IF(K$37&lt;YEAR(Startops1),0,HLOOKUP(K$37,CF_Table,CF!$AB$64))</f>
        <v>-0</v>
      </c>
      <c r="L62" s="311" t="n">
        <f aca="false">IF(L$37&lt;YEAR(Startops1),0,HLOOKUP(L$37,CF_Table,CF!$AB$64))</f>
        <v>-0</v>
      </c>
      <c r="M62" s="311" t="n">
        <f aca="false">IF(M$37&lt;YEAR(Startops1),0,HLOOKUP(M$37,CF_Table,CF!$AB$64))</f>
        <v>-0</v>
      </c>
      <c r="N62" s="311" t="n">
        <f aca="false">IF(N$37&lt;YEAR(Startops1),0,HLOOKUP(N$37,CF_Table,CF!$AB$64))</f>
        <v>-0</v>
      </c>
      <c r="O62" s="311" t="n">
        <f aca="false">IF(O$37&lt;YEAR(Startops1),0,HLOOKUP(O$37,CF_Table,CF!$AB$64))</f>
        <v>-0</v>
      </c>
      <c r="P62" s="311" t="n">
        <f aca="false">IF(P$37&lt;YEAR(Startops1),0,HLOOKUP(P$37,CF_Table,CF!$AB$64))</f>
        <v>-0</v>
      </c>
      <c r="Q62" s="311" t="n">
        <f aca="false">IF(Q$37&lt;YEAR(Startops1),0,HLOOKUP(Q$37,CF_Table,CF!$AB$64))</f>
        <v>-0</v>
      </c>
      <c r="R62" s="311" t="n">
        <f aca="false">IF(R$37&lt;YEAR(Startops1),0,HLOOKUP(R$37,CF_Table,CF!$AB$64))</f>
        <v>-0</v>
      </c>
      <c r="S62" s="311" t="n">
        <f aca="false">IF(S$37&lt;YEAR(Startops1),0,HLOOKUP(S$37,CF_Table,CF!$AB$64))</f>
        <v>-0</v>
      </c>
      <c r="T62" s="311" t="n">
        <f aca="false">IF(T$37&lt;YEAR(Startops1),0,HLOOKUP(T$37,CF_Table,CF!$AB$64))</f>
        <v>-1444.79103222073</v>
      </c>
      <c r="U62" s="311" t="n">
        <f aca="false">IF(U$37&lt;YEAR(Startops1),0,HLOOKUP(U$37,CF_Table,CF!$AB$64))</f>
        <v>-6622.30103253172</v>
      </c>
      <c r="V62" s="311" t="n">
        <f aca="false">IF(V$37&lt;YEAR(Startops1),0,HLOOKUP(V$37,CF_Table,CF!$AB$64))</f>
        <v>-6455.85623275457</v>
      </c>
      <c r="W62" s="311" t="n">
        <f aca="false">IF(W$37&lt;YEAR(Startops1),0,HLOOKUP(W$37,CF_Table,CF!$AB$64))</f>
        <v>-7317.7903051127</v>
      </c>
      <c r="X62" s="311" t="n">
        <f aca="false">IF(X$37&lt;YEAR(Startops1),0,HLOOKUP(X$37,CF_Table,CF!$AB$64))</f>
        <v>-7763.87402573953</v>
      </c>
      <c r="Y62" s="311" t="n">
        <f aca="false">IF(Y$37&lt;YEAR(Startops1),0,HLOOKUP(Y$37,CF_Table,CF!$AB$64))</f>
        <v>-8076.52071993359</v>
      </c>
      <c r="Z62" s="311" t="n">
        <f aca="false">IF(Z$37&lt;YEAR(Startops1),0,HLOOKUP(Z$37,CF_Table,CF!$AB$64))</f>
        <v>-8345.45340257528</v>
      </c>
      <c r="AA62" s="311" t="n">
        <f aca="false">IF(AA$37&lt;YEAR(Startops1),0,HLOOKUP(AA$37,CF_Table,CF!$AB$64))</f>
        <v>-8636.92600930691</v>
      </c>
      <c r="AB62" s="311" t="n">
        <f aca="false">IF(AB$37&lt;YEAR(Startops1),0,HLOOKUP(AB$37,CF_Table,CF!$AB$64))</f>
        <v>-2882.19798872384</v>
      </c>
      <c r="AC62" s="313" t="n">
        <f aca="false">SUM(G62:AB62)</f>
        <v>-57545.7107488989</v>
      </c>
    </row>
    <row r="63" customFormat="false" ht="12.75" hidden="false" customHeight="false" outlineLevel="0" collapsed="false">
      <c r="A63" s="37"/>
      <c r="C63" s="39" t="s">
        <v>472</v>
      </c>
      <c r="D63" s="39"/>
      <c r="E63" s="39"/>
      <c r="F63" s="39"/>
      <c r="G63" s="61" t="n">
        <f aca="false">SUM(G56:G62)</f>
        <v>-825.143076156551</v>
      </c>
      <c r="H63" s="61" t="n">
        <f aca="false">SUM(H56:H62)</f>
        <v>-5837.7026413862</v>
      </c>
      <c r="I63" s="61" t="n">
        <f aca="false">SUM(I56:I62)</f>
        <v>-5091.23120338893</v>
      </c>
      <c r="J63" s="61" t="n">
        <f aca="false">SUM(J56:J62)</f>
        <v>12147.7533656046</v>
      </c>
      <c r="K63" s="61" t="n">
        <f aca="false">SUM(K56:K62)</f>
        <v>21070.7756029937</v>
      </c>
      <c r="L63" s="61" t="n">
        <f aca="false">SUM(L56:L62)</f>
        <v>20199.0109088985</v>
      </c>
      <c r="M63" s="61" t="n">
        <f aca="false">SUM(M56:M62)</f>
        <v>21905.2170727631</v>
      </c>
      <c r="N63" s="61" t="n">
        <f aca="false">SUM(N56:N62)</f>
        <v>18811.634793945</v>
      </c>
      <c r="O63" s="61" t="n">
        <f aca="false">SUM(O56:O62)</f>
        <v>22564.8119283987</v>
      </c>
      <c r="P63" s="61" t="n">
        <f aca="false">SUM(P56:P62)</f>
        <v>23293.578517484</v>
      </c>
      <c r="Q63" s="61" t="n">
        <f aca="false">SUM(Q56:Q62)</f>
        <v>23388.9840233427</v>
      </c>
      <c r="R63" s="61" t="n">
        <f aca="false">SUM(R56:R62)</f>
        <v>24595.7686815697</v>
      </c>
      <c r="S63" s="61" t="n">
        <f aca="false">SUM(S56:S62)</f>
        <v>25082.3163794557</v>
      </c>
      <c r="T63" s="61" t="n">
        <f aca="false">SUM(T56:T62)</f>
        <v>24436.7486079663</v>
      </c>
      <c r="U63" s="61" t="n">
        <f aca="false">SUM(U56:U62)</f>
        <v>20944.9787612245</v>
      </c>
      <c r="V63" s="61" t="n">
        <f aca="false">SUM(V56:V62)</f>
        <v>19572.0093638324</v>
      </c>
      <c r="W63" s="61" t="n">
        <f aca="false">SUM(W56:W62)</f>
        <v>21393.0713957596</v>
      </c>
      <c r="X63" s="61" t="n">
        <f aca="false">SUM(X56:X62)</f>
        <v>21857.3322937712</v>
      </c>
      <c r="Y63" s="61" t="n">
        <f aca="false">SUM(Y56:Y62)</f>
        <v>22356.1888200331</v>
      </c>
      <c r="Z63" s="61" t="n">
        <f aca="false">SUM(Z56:Z62)</f>
        <v>22845.5389230428</v>
      </c>
      <c r="AA63" s="61" t="n">
        <f aca="false">SUM(AA56:AA62)</f>
        <v>23400.4918032025</v>
      </c>
      <c r="AB63" s="61" t="n">
        <f aca="false">SUM(AB56:AB62)</f>
        <v>7702.61489640357</v>
      </c>
      <c r="AC63" s="309" t="n">
        <f aca="false">SUM(G63:AB63)</f>
        <v>385814.74921876</v>
      </c>
    </row>
    <row r="64" customFormat="false" ht="12.75" hidden="false" customHeight="false" outlineLevel="0" collapsed="false">
      <c r="A64" s="37"/>
      <c r="D64" s="39"/>
      <c r="E64" s="39"/>
      <c r="F64" s="39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309"/>
    </row>
    <row r="65" customFormat="false" ht="12.75" hidden="false" customHeight="false" outlineLevel="0" collapsed="false">
      <c r="A65" s="97" t="s">
        <v>473</v>
      </c>
      <c r="D65" s="39"/>
      <c r="E65" s="39"/>
      <c r="F65" s="39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309"/>
    </row>
    <row r="66" customFormat="false" ht="12.75" hidden="false" customHeight="false" outlineLevel="0" collapsed="false">
      <c r="A66" s="37"/>
      <c r="B66" s="39" t="s">
        <v>474</v>
      </c>
      <c r="D66" s="39"/>
      <c r="E66" s="39"/>
      <c r="F66" s="39"/>
      <c r="G66" s="61" t="n">
        <f aca="false">IF(G$54&lt;YEAR(Startconst),0,HLOOKUP(DATE(G$54,12,31),Idc_Table,IDC!$AP$67)-SUM($F66:F66))</f>
        <v>10372.33637</v>
      </c>
      <c r="H66" s="61" t="n">
        <f aca="false">HLOOKUP(DATE(H$54,12,31),Idc_Table,IDC!$AP$67)-SUM($F66:G66)</f>
        <v>29627.66364</v>
      </c>
      <c r="I66" s="61" t="n">
        <f aca="false">HLOOKUP(DATE(I$54,12,31),Idc_Table,IDC!$AP$67)-SUM($F66:H66)</f>
        <v>20000</v>
      </c>
      <c r="J66" s="61" t="n">
        <f aca="false">HLOOKUP(DATE(J$54,12,31),Idc_Table,IDC!$AP$67)-SUM($F66:I66)</f>
        <v>0</v>
      </c>
      <c r="K66" s="61" t="n">
        <f aca="false">HLOOKUP(DATE(K$54,12,31),Idc_Table,IDC!$AP$67)-SUM($F66:J66)</f>
        <v>0</v>
      </c>
      <c r="L66" s="61" t="n">
        <f aca="false">HLOOKUP(DATE(L$54,12,31),Idc_Table,IDC!$AP$67)-SUM($F66:K66)</f>
        <v>0</v>
      </c>
      <c r="M66" s="61" t="n">
        <f aca="false">HLOOKUP(DATE(M$54,12,31),Idc_Table,IDC!$AP$67)-SUM($F66:L66)</f>
        <v>0</v>
      </c>
      <c r="N66" s="61" t="n">
        <f aca="false">HLOOKUP(DATE(N$54,12,31),Idc_Table,IDC!$AP$67)-SUM($F66:M66)</f>
        <v>0</v>
      </c>
      <c r="O66" s="61" t="n">
        <f aca="false">HLOOKUP(DATE(O$54,12,31),Idc_Table,IDC!$AP$67)-SUM($F66:N66)</f>
        <v>0</v>
      </c>
      <c r="P66" s="61" t="n">
        <f aca="false">HLOOKUP(DATE(P$54,12,31),Idc_Table,IDC!$AP$67)-SUM($F66:O66)</f>
        <v>0</v>
      </c>
      <c r="Q66" s="61" t="n">
        <f aca="false">HLOOKUP(DATE(Q$54,12,31),Idc_Table,IDC!$AP$67)-SUM($F66:P66)</f>
        <v>0</v>
      </c>
      <c r="R66" s="61" t="n">
        <f aca="false">HLOOKUP(DATE(R$54,12,31),Idc_Table,IDC!$AP$67)-SUM($F66:Q66)</f>
        <v>0</v>
      </c>
      <c r="S66" s="61" t="n">
        <f aca="false">HLOOKUP(DATE(S$54,12,31),Idc_Table,IDC!$AP$67)-SUM($F66:R66)</f>
        <v>0</v>
      </c>
      <c r="T66" s="61" t="n">
        <f aca="false">HLOOKUP(DATE(T$54,12,31),Idc_Table,IDC!$AP$67)-SUM($F66:S66)</f>
        <v>0</v>
      </c>
      <c r="U66" s="61" t="n">
        <f aca="false">HLOOKUP(DATE(U$54,12,31),Idc_Table,IDC!$AP$67)-SUM($F66:T66)</f>
        <v>0</v>
      </c>
      <c r="V66" s="61" t="n">
        <f aca="false">HLOOKUP(DATE(V$54,12,31),Idc_Table,IDC!$AP$67)-SUM($F66:U66)</f>
        <v>0</v>
      </c>
      <c r="W66" s="61" t="n">
        <f aca="false">HLOOKUP(DATE(W$54,12,31),Idc_Table,IDC!$AP$67)-SUM($F66:V66)</f>
        <v>0</v>
      </c>
      <c r="X66" s="61" t="n">
        <f aca="false">HLOOKUP(DATE(X$54,12,31),Idc_Table,IDC!$AP$67)-SUM($F66:W66)</f>
        <v>0</v>
      </c>
      <c r="Y66" s="61" t="n">
        <f aca="false">HLOOKUP(DATE(Y$54,12,31),Idc_Table,IDC!$AP$67)-SUM($F66:X66)</f>
        <v>0</v>
      </c>
      <c r="Z66" s="61" t="n">
        <f aca="false">HLOOKUP(DATE(Z$54,12,31),Idc_Table,IDC!$AP$67)-SUM($F66:Y66)</f>
        <v>0</v>
      </c>
      <c r="AA66" s="61" t="n">
        <f aca="false">HLOOKUP(DATE(AA$54,12,31),Idc_Table,IDC!$AP$67)-SUM($F66:Z66)</f>
        <v>0</v>
      </c>
      <c r="AB66" s="61" t="n">
        <f aca="false">HLOOKUP(DATE(AB$54,12,31),Idc_Table,IDC!$AP$67)-SUM($F66:AA66)</f>
        <v>0</v>
      </c>
      <c r="AC66" s="309" t="n">
        <f aca="false">SUM(G66:AB66)</f>
        <v>60000.00001</v>
      </c>
    </row>
    <row r="67" customFormat="false" ht="12.75" hidden="false" customHeight="false" outlineLevel="0" collapsed="false">
      <c r="A67" s="37"/>
      <c r="B67" s="39" t="s">
        <v>475</v>
      </c>
      <c r="D67" s="39"/>
      <c r="E67" s="39"/>
      <c r="F67" s="39"/>
      <c r="G67" s="61" t="n">
        <f aca="false">IF(G$54&lt;YEAR(Startconst),0,HLOOKUP(DATE(G$54,12,31),Idc_Table,IDC!$AP$75)-SUM($F67:F67))</f>
        <v>0</v>
      </c>
      <c r="H67" s="61" t="n">
        <f aca="false">IF(H$54&lt;YEAR(Startconst),0,HLOOKUP(DATE(H$54,12,31),Idc_Table,IDC!$AP$75)-SUM($F67:G67))</f>
        <v>44691.4419995743</v>
      </c>
      <c r="I67" s="61" t="n">
        <f aca="false">IF(I$54&lt;YEAR(Startconst),0,HLOOKUP(DATE(I$54,12,31),Idc_Table,IDC!$AP$75)-SUM($F67:H67))</f>
        <v>25437.9617736142</v>
      </c>
      <c r="J67" s="61" t="n">
        <f aca="false">IF(J$54&lt;YEAR(Startconst),0,HLOOKUP(DATE(J$54,12,31),Idc_Table,IDC!$AP$75)-SUM($F67:I67))</f>
        <v>0</v>
      </c>
      <c r="K67" s="61" t="n">
        <f aca="false">IF(K$54&lt;YEAR(Startconst),0,HLOOKUP(DATE(K$54,12,31),Idc_Table,IDC!$AP$75)-SUM($F67:J67))</f>
        <v>0</v>
      </c>
      <c r="L67" s="61" t="n">
        <f aca="false">IF(L$54&lt;YEAR(Startconst),0,HLOOKUP(DATE(L$54,12,31),Idc_Table,IDC!$AP$75)-SUM($F67:K67))</f>
        <v>0</v>
      </c>
      <c r="M67" s="61" t="n">
        <f aca="false">IF(M$54&lt;YEAR(Startconst),0,HLOOKUP(DATE(M$54,12,31),Idc_Table,IDC!$AP$75)-SUM($F67:L67))</f>
        <v>0</v>
      </c>
      <c r="N67" s="61" t="n">
        <f aca="false">IF(N$54&lt;YEAR(Startconst),0,HLOOKUP(DATE(N$54,12,31),Idc_Table,IDC!$AP$75)-SUM($F67:M67))</f>
        <v>0</v>
      </c>
      <c r="O67" s="61" t="n">
        <f aca="false">IF(O$54&lt;YEAR(Startconst),0,HLOOKUP(DATE(O$54,12,31),Idc_Table,IDC!$AP$75)-SUM($F67:N67))</f>
        <v>0</v>
      </c>
      <c r="P67" s="61" t="n">
        <f aca="false">IF(P$54&lt;YEAR(Startconst),0,HLOOKUP(DATE(P$54,12,31),Idc_Table,IDC!$AP$75)-SUM($F67:O67))</f>
        <v>0</v>
      </c>
      <c r="Q67" s="61" t="n">
        <f aca="false">IF(Q$54&lt;YEAR(Startconst),0,HLOOKUP(DATE(Q$54,12,31),Idc_Table,IDC!$AP$75)-SUM($F67:P67))</f>
        <v>0</v>
      </c>
      <c r="R67" s="61" t="n">
        <f aca="false">IF(R$54&lt;YEAR(Startconst),0,HLOOKUP(DATE(R$54,12,31),Idc_Table,IDC!$AP$75)-SUM($F67:Q67))</f>
        <v>0</v>
      </c>
      <c r="S67" s="61" t="n">
        <f aca="false">IF(S$54&lt;YEAR(Startconst),0,HLOOKUP(DATE(S$54,12,31),Idc_Table,IDC!$AP$75)-SUM($F67:R67))</f>
        <v>0</v>
      </c>
      <c r="T67" s="61" t="n">
        <f aca="false">IF(T$54&lt;YEAR(Startconst),0,HLOOKUP(DATE(T$54,12,31),Idc_Table,IDC!$AP$75)-SUM($F67:S67))</f>
        <v>0</v>
      </c>
      <c r="U67" s="61" t="n">
        <f aca="false">IF(U$54&lt;YEAR(Startconst),0,HLOOKUP(DATE(U$54,12,31),Idc_Table,IDC!$AP$75)-SUM($F67:T67))</f>
        <v>0</v>
      </c>
      <c r="V67" s="61" t="n">
        <f aca="false">IF(V$54&lt;YEAR(Startconst),0,HLOOKUP(DATE(V$54,12,31),Idc_Table,IDC!$AP$75)-SUM($F67:U67))</f>
        <v>0</v>
      </c>
      <c r="W67" s="61" t="n">
        <f aca="false">IF(W$54&lt;YEAR(Startconst),0,HLOOKUP(DATE(W$54,12,31),Idc_Table,IDC!$AP$75)-SUM($F67:V67))</f>
        <v>0</v>
      </c>
      <c r="X67" s="61" t="n">
        <f aca="false">IF(X$54&lt;YEAR(Startconst),0,HLOOKUP(DATE(X$54,12,31),Idc_Table,IDC!$AP$75)-SUM($F67:W67))</f>
        <v>0</v>
      </c>
      <c r="Y67" s="61" t="n">
        <f aca="false">IF(Y$54&lt;YEAR(Startconst),0,HLOOKUP(DATE(Y$54,12,31),Idc_Table,IDC!$AP$75)-SUM($F67:X67))</f>
        <v>0</v>
      </c>
      <c r="Z67" s="61" t="n">
        <f aca="false">IF(Z$54&lt;YEAR(Startconst),0,HLOOKUP(DATE(Z$54,12,31),Idc_Table,IDC!$AP$75)-SUM($F67:Y67))</f>
        <v>0</v>
      </c>
      <c r="AA67" s="61" t="n">
        <f aca="false">IF(AA$54&lt;YEAR(Startconst),0,HLOOKUP(DATE(AA$54,12,31),Idc_Table,IDC!$AP$75)-SUM($F67:Z67))</f>
        <v>0</v>
      </c>
      <c r="AB67" s="61" t="n">
        <f aca="false">IF(AB$54&lt;YEAR(Startconst),0,HLOOKUP(DATE(AB$54,12,31),Idc_Table,IDC!$AP$75)-SUM($F67:AA67))</f>
        <v>0</v>
      </c>
      <c r="AC67" s="309" t="n">
        <f aca="false">SUM(G67:AB67)</f>
        <v>70129.4037731885</v>
      </c>
    </row>
    <row r="68" customFormat="false" ht="12.75" hidden="false" customHeight="false" outlineLevel="0" collapsed="false">
      <c r="A68" s="37"/>
      <c r="B68" s="39" t="s">
        <v>476</v>
      </c>
      <c r="D68" s="39"/>
      <c r="E68" s="39"/>
      <c r="F68" s="39"/>
      <c r="G68" s="61" t="n">
        <f aca="false">IF(G$54=YEAR(Fin_Close),-SUM($F67:G67),0)</f>
        <v>0</v>
      </c>
      <c r="H68" s="61" t="n">
        <f aca="false">IF(H$54=YEAR(Fin_Close),-SUM($F67:H67),0)</f>
        <v>0</v>
      </c>
      <c r="I68" s="61" t="n">
        <f aca="false">IF(I$54=YEAR(Fin_Close),-SUM($F67:I67),0)</f>
        <v>-70129.4037731885</v>
      </c>
      <c r="J68" s="61" t="n">
        <f aca="false">IF(J$54=YEAR(Fin_Close),-SUM($F67:J67),0)</f>
        <v>0</v>
      </c>
      <c r="K68" s="61" t="n">
        <f aca="false">IF(K$54=YEAR(Fin_Close),-SUM($F67:K67),0)</f>
        <v>0</v>
      </c>
      <c r="L68" s="61" t="n">
        <f aca="false">IF(L$54=YEAR(Fin_Close),-SUM($F67:L67),0)</f>
        <v>0</v>
      </c>
      <c r="M68" s="61" t="n">
        <f aca="false">IF(M$54=YEAR(Fin_Close),-SUM($F67:M67),0)</f>
        <v>0</v>
      </c>
      <c r="N68" s="61" t="n">
        <f aca="false">IF(N$54=YEAR(Fin_Close),-SUM($F67:N67),0)</f>
        <v>0</v>
      </c>
      <c r="O68" s="61" t="n">
        <f aca="false">IF(O$54=YEAR(Fin_Close),-SUM($F67:O67),0)</f>
        <v>0</v>
      </c>
      <c r="P68" s="61" t="n">
        <f aca="false">IF(P$54=YEAR(Fin_Close),-SUM($F67:P67),0)</f>
        <v>0</v>
      </c>
      <c r="Q68" s="61" t="n">
        <f aca="false">IF(Q$54=YEAR(Fin_Close),-SUM($F67:Q67),0)</f>
        <v>0</v>
      </c>
      <c r="R68" s="61" t="n">
        <f aca="false">IF(R$54=YEAR(Fin_Close),-SUM($F67:R67),0)</f>
        <v>0</v>
      </c>
      <c r="S68" s="61" t="n">
        <f aca="false">IF(S$54=YEAR(Fin_Close),-SUM($F67:S67),0)</f>
        <v>0</v>
      </c>
      <c r="T68" s="61" t="n">
        <f aca="false">IF(T$54=YEAR(Fin_Close),-SUM($F67:T67),0)</f>
        <v>0</v>
      </c>
      <c r="U68" s="61" t="n">
        <f aca="false">IF(U$54=YEAR(Fin_Close),-SUM($F67:U67),0)</f>
        <v>0</v>
      </c>
      <c r="V68" s="61" t="n">
        <f aca="false">IF(V$54=YEAR(Fin_Close),-SUM($F67:V67),0)</f>
        <v>0</v>
      </c>
      <c r="W68" s="61" t="n">
        <f aca="false">IF(W$54=YEAR(Fin_Close),-SUM($F67:W67),0)</f>
        <v>0</v>
      </c>
      <c r="X68" s="61" t="n">
        <f aca="false">IF(X$54=YEAR(Fin_Close),-SUM($F67:X67),0)</f>
        <v>0</v>
      </c>
      <c r="Y68" s="61" t="n">
        <f aca="false">IF(Y$54=YEAR(Fin_Close),-SUM($F67:Y67),0)</f>
        <v>0</v>
      </c>
      <c r="Z68" s="61" t="n">
        <f aca="false">IF(Z$54=YEAR(Fin_Close),-SUM($F67:Z67),0)</f>
        <v>0</v>
      </c>
      <c r="AA68" s="61" t="n">
        <f aca="false">IF(AA$54=YEAR(Fin_Close),-SUM($F67:AA67),0)</f>
        <v>0</v>
      </c>
      <c r="AB68" s="61" t="n">
        <f aca="false">IF(AB$54=YEAR(Fin_Close),-SUM($F67:AB67),0)</f>
        <v>0</v>
      </c>
      <c r="AC68" s="309" t="n">
        <f aca="false">SUM(G68:AB68)</f>
        <v>-70129.4037731885</v>
      </c>
    </row>
    <row r="69" customFormat="false" ht="12.75" hidden="false" customHeight="false" outlineLevel="0" collapsed="false">
      <c r="A69" s="37"/>
      <c r="B69" s="39" t="s">
        <v>477</v>
      </c>
      <c r="D69" s="39"/>
      <c r="E69" s="39"/>
      <c r="F69" s="39"/>
      <c r="G69" s="61" t="n">
        <f aca="false">IF(G$54&lt;YEAR(Startconst),0,HLOOKUP(DATE(G$54,12,31),Idc_Table,IDC!$AP$38)-SUM($F69:F69))</f>
        <v>0</v>
      </c>
      <c r="H69" s="61" t="n">
        <f aca="false">IF(H$54&lt;YEAR(Startconst),0,HLOOKUP(DATE(H$54,12,31),Idc_Table,IDC!$AP$38)-SUM($F69:G69))</f>
        <v>0</v>
      </c>
      <c r="I69" s="61" t="n">
        <f aca="false">IF(I$54&lt;YEAR(Startconst),0,HLOOKUP(DATE(I$54,12,31),Idc_Table,IDC!$AP$38)-SUM($F69:H69))</f>
        <v>91998.4974484965</v>
      </c>
      <c r="J69" s="61" t="n">
        <f aca="false">IF(J$54&lt;YEAR(Startconst),0,HLOOKUP(DATE(J$54,12,31),Idc_Table,IDC!$AP$38)-SUM($F69:I69))</f>
        <v>1711.95806078197</v>
      </c>
      <c r="K69" s="61" t="n">
        <f aca="false">IF(K$54&lt;YEAR(Startconst),0,HLOOKUP(DATE(K$54,12,31),Idc_Table,IDC!$AP$38)-SUM($F69:J69))</f>
        <v>0</v>
      </c>
      <c r="L69" s="61" t="n">
        <f aca="false">IF(L$54&lt;YEAR(Startconst),0,HLOOKUP(DATE(L$54,12,31),Idc_Table,IDC!$AP$38)-SUM($F69:K69))</f>
        <v>0</v>
      </c>
      <c r="M69" s="61" t="n">
        <f aca="false">IF(M$54&lt;YEAR(Startconst),0,HLOOKUP(DATE(M$54,12,31),Idc_Table,IDC!$AP$38)-SUM($F69:L69))</f>
        <v>0</v>
      </c>
      <c r="N69" s="61" t="n">
        <f aca="false">IF(N$54&lt;YEAR(Startconst),0,HLOOKUP(DATE(N$54,12,31),Idc_Table,IDC!$AP$38)-SUM($F69:M69))</f>
        <v>0</v>
      </c>
      <c r="O69" s="61" t="n">
        <f aca="false">IF(O$54&lt;YEAR(Startconst),0,HLOOKUP(DATE(O$54,12,31),Idc_Table,IDC!$AP$38)-SUM($F69:N69))</f>
        <v>0</v>
      </c>
      <c r="P69" s="61" t="n">
        <f aca="false">IF(P$54&lt;YEAR(Startconst),0,HLOOKUP(DATE(P$54,12,31),Idc_Table,IDC!$AP$38)-SUM($F69:O69))</f>
        <v>0</v>
      </c>
      <c r="Q69" s="61" t="n">
        <f aca="false">IF(Q$54&lt;YEAR(Startconst),0,HLOOKUP(DATE(Q$54,12,31),Idc_Table,IDC!$AP$38)-SUM($F69:P69))</f>
        <v>0</v>
      </c>
      <c r="R69" s="61" t="n">
        <f aca="false">IF(R$54&lt;YEAR(Startconst),0,HLOOKUP(DATE(R$54,12,31),Idc_Table,IDC!$AP$38)-SUM($F69:Q69))</f>
        <v>0</v>
      </c>
      <c r="S69" s="61" t="n">
        <f aca="false">IF(S$54&lt;YEAR(Startconst),0,HLOOKUP(DATE(S$54,12,31),Idc_Table,IDC!$AP$38)-SUM($F69:R69))</f>
        <v>0</v>
      </c>
      <c r="T69" s="61" t="n">
        <f aca="false">IF(T$54&lt;YEAR(Startconst),0,HLOOKUP(DATE(T$54,12,31),Idc_Table,IDC!$AP$38)-SUM($F69:S69))</f>
        <v>0</v>
      </c>
      <c r="U69" s="61" t="n">
        <f aca="false">IF(U$54&lt;YEAR(Startconst),0,HLOOKUP(DATE(U$54,12,31),Idc_Table,IDC!$AP$38)-SUM($F69:T69))</f>
        <v>0</v>
      </c>
      <c r="V69" s="61" t="n">
        <f aca="false">IF(V$54&lt;YEAR(Startconst),0,HLOOKUP(DATE(V$54,12,31),Idc_Table,IDC!$AP$38)-SUM($F69:U69))</f>
        <v>0</v>
      </c>
      <c r="W69" s="61" t="n">
        <f aca="false">IF(W$54&lt;YEAR(Startconst),0,HLOOKUP(DATE(W$54,12,31),Idc_Table,IDC!$AP$38)-SUM($F69:V69))</f>
        <v>0</v>
      </c>
      <c r="X69" s="61" t="n">
        <f aca="false">IF(X$54&lt;YEAR(Startconst),0,HLOOKUP(DATE(X$54,12,31),Idc_Table,IDC!$AP$38)-SUM($F69:W69))</f>
        <v>0</v>
      </c>
      <c r="Y69" s="61" t="n">
        <f aca="false">IF(Y$54&lt;YEAR(Startconst),0,HLOOKUP(DATE(Y$54,12,31),Idc_Table,IDC!$AP$38)-SUM($F69:X69))</f>
        <v>0</v>
      </c>
      <c r="Z69" s="61" t="n">
        <f aca="false">IF(Z$54&lt;YEAR(Startconst),0,HLOOKUP(DATE(Z$54,12,31),Idc_Table,IDC!$AP$38)-SUM($F69:Y69))</f>
        <v>0</v>
      </c>
      <c r="AA69" s="61" t="n">
        <f aca="false">IF(AA$54&lt;YEAR(Startconst),0,HLOOKUP(DATE(AA$54,12,31),Idc_Table,IDC!$AP$38)-SUM($F69:Z69))</f>
        <v>0</v>
      </c>
      <c r="AB69" s="61" t="n">
        <f aca="false">IF(AB$54&lt;YEAR(Startconst),0,HLOOKUP(DATE(AB$54,12,31),Idc_Table,IDC!$AP$38)-SUM($F69:AA69))</f>
        <v>0</v>
      </c>
      <c r="AC69" s="309" t="n">
        <f aca="false">SUM(G69:AB69)</f>
        <v>93710.4555092785</v>
      </c>
    </row>
    <row r="70" customFormat="false" ht="12.75" hidden="false" customHeight="false" outlineLevel="0" collapsed="false">
      <c r="A70" s="37"/>
      <c r="B70" s="39" t="s">
        <v>478</v>
      </c>
      <c r="D70" s="39"/>
      <c r="E70" s="39"/>
      <c r="F70" s="39"/>
      <c r="G70" s="61" t="n">
        <f aca="false">IF(G$37&lt;YEAR(Startops1),0,HLOOKUP(G$37,CF_Table,CF!$AB$65))</f>
        <v>0</v>
      </c>
      <c r="H70" s="61" t="n">
        <f aca="false">IF(H$37&lt;YEAR(Startops1),0,HLOOKUP(H$37,CF_Table,CF!$AB$65))</f>
        <v>0</v>
      </c>
      <c r="I70" s="61" t="n">
        <f aca="false">IF(I$37&lt;YEAR(Startops1),0,HLOOKUP(I$37,CF_Table,CF!$AB$65))</f>
        <v>0</v>
      </c>
      <c r="J70" s="61" t="n">
        <f aca="false">IF(J$37&lt;YEAR(Startops1),0,HLOOKUP(J$37,CF_Table,CF!$AB$65))</f>
        <v>-0</v>
      </c>
      <c r="K70" s="61" t="n">
        <f aca="false">IF(K$37&lt;YEAR(Startops1),0,HLOOKUP(K$37,CF_Table,CF!$AB$65))</f>
        <v>-1405.52296055988</v>
      </c>
      <c r="L70" s="61" t="n">
        <f aca="false">IF(L$37&lt;YEAR(Startops1),0,HLOOKUP(L$37,CF_Table,CF!$AB$65))</f>
        <v>-2382.92301152165</v>
      </c>
      <c r="M70" s="61" t="n">
        <f aca="false">IF(M$37&lt;YEAR(Startops1),0,HLOOKUP(M$37,CF_Table,CF!$AB$65))</f>
        <v>-6693.60396494846</v>
      </c>
      <c r="N70" s="61" t="n">
        <f aca="false">IF(N$37&lt;YEAR(Startops1),0,HLOOKUP(N$37,CF_Table,CF!$AB$65))</f>
        <v>-8497.61948155494</v>
      </c>
      <c r="O70" s="61" t="n">
        <f aca="false">IF(O$37&lt;YEAR(Startops1),0,HLOOKUP(O$37,CF_Table,CF!$AB$65))</f>
        <v>-9626.83047044174</v>
      </c>
      <c r="P70" s="61" t="n">
        <f aca="false">IF(P$37&lt;YEAR(Startops1),0,HLOOKUP(P$37,CF_Table,CF!$AB$65))</f>
        <v>-10329.6588867613</v>
      </c>
      <c r="Q70" s="61" t="n">
        <f aca="false">IF(Q$37&lt;YEAR(Startops1),0,HLOOKUP(Q$37,CF_Table,CF!$AB$65))</f>
        <v>-7836.96077021452</v>
      </c>
      <c r="R70" s="61" t="n">
        <f aca="false">IF(R$37&lt;YEAR(Startops1),0,HLOOKUP(R$37,CF_Table,CF!$AB$65))</f>
        <v>-5344.26265366772</v>
      </c>
      <c r="S70" s="61" t="n">
        <f aca="false">IF(S$37&lt;YEAR(Startops1),0,HLOOKUP(S$37,CF_Table,CF!$AB$65))</f>
        <v>-5344.26265366772</v>
      </c>
      <c r="T70" s="61" t="n">
        <f aca="false">IF(T$37&lt;YEAR(Startops1),0,HLOOKUP(T$37,CF_Table,CF!$AB$65))</f>
        <v>-6590.61171194112</v>
      </c>
      <c r="U70" s="61" t="n">
        <f aca="false">IF(U$37&lt;YEAR(Startops1),0,HLOOKUP(U$37,CF_Table,CF!$AB$65))</f>
        <v>-7836.96077021453</v>
      </c>
      <c r="V70" s="61" t="n">
        <f aca="false">IF(V$37&lt;YEAR(Startops1),0,HLOOKUP(V$37,CF_Table,CF!$AB$65))</f>
        <v>-7836.96077021453</v>
      </c>
      <c r="W70" s="61" t="n">
        <f aca="false">IF(W$37&lt;YEAR(Startops1),0,HLOOKUP(W$37,CF_Table,CF!$AB$65))</f>
        <v>-8118.09213674236</v>
      </c>
      <c r="X70" s="61" t="n">
        <f aca="false">IF(X$37&lt;YEAR(Startops1),0,HLOOKUP(X$37,CF_Table,CF!$AB$65))</f>
        <v>-5866.185266828</v>
      </c>
      <c r="Y70" s="61" t="n">
        <f aca="false">IF(Y$37&lt;YEAR(Startops1),0,HLOOKUP(Y$37,CF_Table,CF!$AB$65))</f>
        <v>-0</v>
      </c>
      <c r="Z70" s="61" t="n">
        <f aca="false">IF(Z$37&lt;YEAR(Startops1),0,HLOOKUP(Z$37,CF_Table,CF!$AB$65))</f>
        <v>-0</v>
      </c>
      <c r="AA70" s="61" t="n">
        <f aca="false">IF(AA$37&lt;YEAR(Startops1),0,HLOOKUP(AA$37,CF_Table,CF!$AB$65))</f>
        <v>-0</v>
      </c>
      <c r="AB70" s="61" t="n">
        <f aca="false">IF(AB$37&lt;YEAR(Startops1),0,HLOOKUP(AB$37,CF_Table,CF!$AB$65))</f>
        <v>-0</v>
      </c>
      <c r="AC70" s="309" t="n">
        <f aca="false">SUM(G70:AB70)</f>
        <v>-93710.4555092785</v>
      </c>
    </row>
    <row r="71" customFormat="false" ht="12.75" hidden="false" customHeight="false" outlineLevel="0" collapsed="false">
      <c r="A71" s="37"/>
      <c r="B71" s="39" t="s">
        <v>479</v>
      </c>
      <c r="D71" s="39"/>
      <c r="E71" s="39"/>
      <c r="F71" s="39"/>
      <c r="G71" s="61" t="n">
        <f aca="false">IF(G$54&lt;YEAR(Startconst),0,HLOOKUP(DATE(G$54,12,31),Idc_Table,IDC!$AP$46)-SUM($F71:F71))</f>
        <v>0</v>
      </c>
      <c r="H71" s="61" t="n">
        <f aca="false">IF(H$54&lt;YEAR(Startconst),0,HLOOKUP(DATE(H$54,12,31),Idc_Table,IDC!$AP$46)-SUM($F71:G71))</f>
        <v>0</v>
      </c>
      <c r="I71" s="61" t="n">
        <f aca="false">IF(I$54&lt;YEAR(Startconst),0,HLOOKUP(DATE(I$54,12,31),Idc_Table,IDC!$AP$46)-SUM($F71:H71))</f>
        <v>2428.44713159636</v>
      </c>
      <c r="J71" s="61" t="n">
        <f aca="false">IF(J$54&lt;YEAR(Startconst),0,HLOOKUP(DATE(J$54,12,31),Idc_Table,IDC!$AP$46)-SUM($F71:I71))</f>
        <v>45.1898645893284</v>
      </c>
      <c r="K71" s="61" t="n">
        <f aca="false">IF(K$54&lt;YEAR(Startconst),0,HLOOKUP(DATE(K$54,12,31),Idc_Table,IDC!$AP$46)-SUM($F71:J71))</f>
        <v>0</v>
      </c>
      <c r="L71" s="61" t="n">
        <f aca="false">IF(L$54&lt;YEAR(Startconst),0,HLOOKUP(DATE(L$54,12,31),Idc_Table,IDC!$AP$46)-SUM($F71:K71))</f>
        <v>0</v>
      </c>
      <c r="M71" s="61" t="n">
        <f aca="false">IF(M$54&lt;YEAR(Startconst),0,HLOOKUP(DATE(M$54,12,31),Idc_Table,IDC!$AP$46)-SUM($F71:L71))</f>
        <v>0</v>
      </c>
      <c r="N71" s="61" t="n">
        <f aca="false">IF(N$54&lt;YEAR(Startconst),0,HLOOKUP(DATE(N$54,12,31),Idc_Table,IDC!$AP$46)-SUM($F71:M71))</f>
        <v>0</v>
      </c>
      <c r="O71" s="61" t="n">
        <f aca="false">IF(O$54&lt;YEAR(Startconst),0,HLOOKUP(DATE(O$54,12,31),Idc_Table,IDC!$AP$46)-SUM($F71:N71))</f>
        <v>0</v>
      </c>
      <c r="P71" s="61" t="n">
        <f aca="false">IF(P$54&lt;YEAR(Startconst),0,HLOOKUP(DATE(P$54,12,31),Idc_Table,IDC!$AP$46)-SUM($F71:O71))</f>
        <v>0</v>
      </c>
      <c r="Q71" s="61" t="n">
        <f aca="false">IF(Q$54&lt;YEAR(Startconst),0,HLOOKUP(DATE(Q$54,12,31),Idc_Table,IDC!$AP$46)-SUM($F71:P71))</f>
        <v>0</v>
      </c>
      <c r="R71" s="61" t="n">
        <f aca="false">IF(R$54&lt;YEAR(Startconst),0,HLOOKUP(DATE(R$54,12,31),Idc_Table,IDC!$AP$46)-SUM($F71:Q71))</f>
        <v>0</v>
      </c>
      <c r="S71" s="61" t="n">
        <f aca="false">IF(S$54&lt;YEAR(Startconst),0,HLOOKUP(DATE(S$54,12,31),Idc_Table,IDC!$AP$46)-SUM($F71:R71))</f>
        <v>0</v>
      </c>
      <c r="T71" s="61" t="n">
        <f aca="false">IF(T$54&lt;YEAR(Startconst),0,HLOOKUP(DATE(T$54,12,31),Idc_Table,IDC!$AP$46)-SUM($F71:S71))</f>
        <v>0</v>
      </c>
      <c r="U71" s="61" t="n">
        <f aca="false">IF(U$54&lt;YEAR(Startconst),0,HLOOKUP(DATE(U$54,12,31),Idc_Table,IDC!$AP$46)-SUM($F71:T71))</f>
        <v>0</v>
      </c>
      <c r="V71" s="61" t="n">
        <f aca="false">IF(V$54&lt;YEAR(Startconst),0,HLOOKUP(DATE(V$54,12,31),Idc_Table,IDC!$AP$46)-SUM($F71:U71))</f>
        <v>0</v>
      </c>
      <c r="W71" s="61" t="n">
        <f aca="false">IF(W$54&lt;YEAR(Startconst),0,HLOOKUP(DATE(W$54,12,31),Idc_Table,IDC!$AP$46)-SUM($F71:V71))</f>
        <v>0</v>
      </c>
      <c r="X71" s="61" t="n">
        <f aca="false">IF(X$54&lt;YEAR(Startconst),0,HLOOKUP(DATE(X$54,12,31),Idc_Table,IDC!$AP$46)-SUM($F71:W71))</f>
        <v>0</v>
      </c>
      <c r="Y71" s="61" t="n">
        <f aca="false">IF(Y$54&lt;YEAR(Startconst),0,HLOOKUP(DATE(Y$54,12,31),Idc_Table,IDC!$AP$46)-SUM($F71:X71))</f>
        <v>0</v>
      </c>
      <c r="Z71" s="61" t="n">
        <f aca="false">IF(Z$54&lt;YEAR(Startconst),0,HLOOKUP(DATE(Z$54,12,31),Idc_Table,IDC!$AP$46)-SUM($F71:Y71))</f>
        <v>0</v>
      </c>
      <c r="AA71" s="61" t="n">
        <f aca="false">IF(AA$54&lt;YEAR(Startconst),0,HLOOKUP(DATE(AA$54,12,31),Idc_Table,IDC!$AP$46)-SUM($F71:Z71))</f>
        <v>0</v>
      </c>
      <c r="AB71" s="61" t="n">
        <f aca="false">IF(AB$54&lt;YEAR(Startconst),0,HLOOKUP(DATE(AB$54,12,31),Idc_Table,IDC!$AP$46)-SUM($F71:AA71))</f>
        <v>0</v>
      </c>
      <c r="AC71" s="309" t="n">
        <f aca="false">SUM(G71:AB71)</f>
        <v>2473.63699618568</v>
      </c>
    </row>
    <row r="72" customFormat="false" ht="12.75" hidden="false" customHeight="false" outlineLevel="0" collapsed="false">
      <c r="A72" s="37"/>
      <c r="B72" s="39" t="s">
        <v>480</v>
      </c>
      <c r="D72" s="39"/>
      <c r="E72" s="39"/>
      <c r="F72" s="39"/>
      <c r="G72" s="61" t="n">
        <f aca="false">IF(G$37&lt;YEAR(Startops1),0,HLOOKUP(G$37,CF_Table,CF!$AB$69))</f>
        <v>0</v>
      </c>
      <c r="H72" s="61" t="n">
        <f aca="false">IF(H$37&lt;YEAR(Startops1),0,HLOOKUP(H$37,CF_Table,CF!$AB$69))</f>
        <v>0</v>
      </c>
      <c r="I72" s="61" t="n">
        <f aca="false">IF(I$37&lt;YEAR(Startops1),0,HLOOKUP(I$37,CF_Table,CF!$AB$69))</f>
        <v>0</v>
      </c>
      <c r="J72" s="61" t="n">
        <f aca="false">IF(J$37&lt;YEAR(Startops1),0,HLOOKUP(J$37,CF_Table,CF!$AB$69))</f>
        <v>-0</v>
      </c>
      <c r="K72" s="61" t="n">
        <f aca="false">IF(K$37&lt;YEAR(Startops1),0,HLOOKUP(K$37,CF_Table,CF!$AB$69))</f>
        <v>-110.799981751606</v>
      </c>
      <c r="L72" s="61" t="n">
        <f aca="false">IF(L$37&lt;YEAR(Startops1),0,HLOOKUP(L$37,CF_Table,CF!$AB$69))</f>
        <v>-125.672109302215</v>
      </c>
      <c r="M72" s="61" t="n">
        <f aca="false">IF(M$37&lt;YEAR(Startops1),0,HLOOKUP(M$37,CF_Table,CF!$AB$69))</f>
        <v>-142.540448173305</v>
      </c>
      <c r="N72" s="61" t="n">
        <f aca="false">IF(N$37&lt;YEAR(Startops1),0,HLOOKUP(N$37,CF_Table,CF!$AB$69))</f>
        <v>-161.672939829367</v>
      </c>
      <c r="O72" s="61" t="n">
        <f aca="false">IF(O$37&lt;YEAR(Startops1),0,HLOOKUP(O$37,CF_Table,CF!$AB$69))</f>
        <v>-183.373490177963</v>
      </c>
      <c r="P72" s="61" t="n">
        <f aca="false">IF(P$37&lt;YEAR(Startops1),0,HLOOKUP(P$37,CF_Table,CF!$AB$69))</f>
        <v>-207.986796897101</v>
      </c>
      <c r="Q72" s="61" t="n">
        <f aca="false">IF(Q$37&lt;YEAR(Startops1),0,HLOOKUP(Q$37,CF_Table,CF!$AB$69))</f>
        <v>-235.903824710614</v>
      </c>
      <c r="R72" s="61" t="n">
        <f aca="false">IF(R$37&lt;YEAR(Startops1),0,HLOOKUP(R$37,CF_Table,CF!$AB$69))</f>
        <v>-267.568015582396</v>
      </c>
      <c r="S72" s="61" t="n">
        <f aca="false">IF(S$37&lt;YEAR(Startops1),0,HLOOKUP(S$37,CF_Table,CF!$AB$69))</f>
        <v>-303.482332473943</v>
      </c>
      <c r="T72" s="61" t="n">
        <f aca="false">IF(T$37&lt;YEAR(Startops1),0,HLOOKUP(T$37,CF_Table,CF!$AB$69))</f>
        <v>-344.217248550258</v>
      </c>
      <c r="U72" s="61" t="n">
        <f aca="false">IF(U$37&lt;YEAR(Startops1),0,HLOOKUP(U$37,CF_Table,CF!$AB$69))</f>
        <v>-390.419808736917</v>
      </c>
      <c r="V72" s="61" t="n">
        <f aca="false">IF(V$37&lt;YEAR(Startops1),0,HLOOKUP(V$37,CF_Table,CF!$AB$69))</f>
        <v>-0</v>
      </c>
      <c r="W72" s="61" t="n">
        <f aca="false">IF(W$37&lt;YEAR(Startops1),0,HLOOKUP(W$37,CF_Table,CF!$AB$69))</f>
        <v>-0</v>
      </c>
      <c r="X72" s="61" t="n">
        <f aca="false">IF(X$37&lt;YEAR(Startops1),0,HLOOKUP(X$37,CF_Table,CF!$AB$69))</f>
        <v>-0</v>
      </c>
      <c r="Y72" s="61" t="n">
        <f aca="false">IF(Y$37&lt;YEAR(Startops1),0,HLOOKUP(Y$37,CF_Table,CF!$AB$69))</f>
        <v>-0</v>
      </c>
      <c r="Z72" s="61" t="n">
        <f aca="false">IF(Z$37&lt;YEAR(Startops1),0,HLOOKUP(Z$37,CF_Table,CF!$AB$69))</f>
        <v>-0</v>
      </c>
      <c r="AA72" s="61" t="n">
        <f aca="false">IF(AA$37&lt;YEAR(Startops1),0,HLOOKUP(AA$37,CF_Table,CF!$AB$69))</f>
        <v>-0</v>
      </c>
      <c r="AB72" s="61" t="n">
        <f aca="false">IF(AB$37&lt;YEAR(Startops1),0,HLOOKUP(AB$37,CF_Table,CF!$AB$69))</f>
        <v>-0</v>
      </c>
      <c r="AC72" s="309" t="n">
        <f aca="false">SUM(G72:AB72)</f>
        <v>-2473.63699618568</v>
      </c>
    </row>
    <row r="73" customFormat="false" ht="12.75" hidden="false" customHeight="false" outlineLevel="0" collapsed="false">
      <c r="A73" s="37"/>
      <c r="B73" s="39" t="s">
        <v>481</v>
      </c>
      <c r="D73" s="39"/>
      <c r="E73" s="39"/>
      <c r="F73" s="39"/>
      <c r="G73" s="61" t="n">
        <f aca="false">IF(G$54&lt;YEAR(Startconst),0,-HLOOKUP(DATE(G$54,12,31),Idc_Table,IDC!$AP$20)+SUM(Trapped!$E78:E78)+IF(G$54&gt;=YEAR(Startops1),Wcap+Linefill,0)-SUM($G80:G80)-SUM($F73:F73))</f>
        <v>-9547.19329384345</v>
      </c>
      <c r="H73" s="61" t="n">
        <f aca="false">IF(H$54&lt;YEAR(Startconst),0,-HLOOKUP(DATE(H$54,12,31),Idc_Table,IDC!$AP$20)+SUM(Trapped!$E78:F78)+IF(H$54&gt;=YEAR(Startops1),Wcap+Linefill,0)-SUM($G80:H80)-SUM($F73:G73))</f>
        <v>-68481.4029981881</v>
      </c>
      <c r="I73" s="61" t="n">
        <f aca="false">IF(I$54&lt;YEAR(Startconst),0,-HLOOKUP(DATE(I$54,12,31),Idc_Table,IDC!$AP$20)+SUM(Trapped!$E78:G78)+IF(I$54&gt;=YEAR(Startops1),Wcap+Linefill,0)-SUM($G80:I80)-SUM($F73:H73))</f>
        <v>-64644.2713771297</v>
      </c>
      <c r="J73" s="61" t="n">
        <f aca="false">IF(J$54&lt;YEAR(Startconst),0,-HLOOKUP(DATE(J$54,12,31),Idc_Table,IDC!$AP$20)+SUM(Trapped!$E78:H78)+IF(J$54&gt;=YEAR(Startops1),Wcap+Linefill,0)-SUM($G80:J80)-SUM($F73:I73))</f>
        <v>-1537.11942744782</v>
      </c>
      <c r="K73" s="61" t="n">
        <f aca="false">IF(K$54&lt;YEAR(Startconst),0,-HLOOKUP(DATE(K$54,12,31),Idc_Table,IDC!$AP$20)+SUM(Trapped!$E78:I78)+IF(K$54&gt;=YEAR(Startops1),Wcap+Linefill,0)-SUM($G80:K80)-SUM($F73:J73))</f>
        <v>0</v>
      </c>
      <c r="L73" s="61" t="n">
        <f aca="false">IF(L$54&lt;YEAR(Startconst),0,-HLOOKUP(DATE(L$54,12,31),Idc_Table,IDC!$AP$20)+SUM(Trapped!$E78:J78)+IF(L$54&gt;=YEAR(Startops1),Wcap+Linefill,0)-SUM($G80:L80)-SUM($F73:K73))</f>
        <v>0</v>
      </c>
      <c r="M73" s="61" t="n">
        <f aca="false">IF(M$54&lt;YEAR(Startconst),0,-HLOOKUP(DATE(M$54,12,31),Idc_Table,IDC!$AP$20)+SUM(Trapped!$E78:K78)+IF(M$54&gt;=YEAR(Startops1),Wcap+Linefill,0)-SUM($G80:M80)-SUM($F73:L73))</f>
        <v>0</v>
      </c>
      <c r="N73" s="61" t="n">
        <f aca="false">IF(N$54&lt;YEAR(Startconst),0,-HLOOKUP(DATE(N$54,12,31),Idc_Table,IDC!$AP$20)+SUM(Trapped!$E78:L78)+IF(N$54&gt;=YEAR(Startops1),Wcap+Linefill,0)-SUM($G80:N80)-SUM($F73:M73))</f>
        <v>0</v>
      </c>
      <c r="O73" s="61" t="n">
        <f aca="false">IF(O$54&lt;YEAR(Startconst),0,-HLOOKUP(DATE(O$54,12,31),Idc_Table,IDC!$AP$20)+SUM(Trapped!$E78:M78)+IF(O$54&gt;=YEAR(Startops1),Wcap+Linefill,0)-SUM($G80:O80)-SUM($F73:N73))</f>
        <v>0</v>
      </c>
      <c r="P73" s="61" t="n">
        <f aca="false">IF(P$54&lt;YEAR(Startconst),0,-HLOOKUP(DATE(P$54,12,31),Idc_Table,IDC!$AP$20)+SUM(Trapped!$E78:N78)+IF(P$54&gt;=YEAR(Startops1),Wcap+Linefill,0)-SUM($G80:P80)-SUM($F73:O73))</f>
        <v>0</v>
      </c>
      <c r="Q73" s="61" t="n">
        <f aca="false">IF(Q$54&lt;YEAR(Startconst),0,-HLOOKUP(DATE(Q$54,12,31),Idc_Table,IDC!$AP$20)+SUM(Trapped!$E78:O78)+IF(Q$54&gt;=YEAR(Startops1),Wcap+Linefill,0)-SUM($G80:Q80)-SUM($F73:P73))</f>
        <v>0</v>
      </c>
      <c r="R73" s="61" t="n">
        <f aca="false">IF(R$54&lt;YEAR(Startconst),0,-HLOOKUP(DATE(R$54,12,31),Idc_Table,IDC!$AP$20)+SUM(Trapped!$E78:P78)+IF(R$54&gt;=YEAR(Startops1),Wcap+Linefill,0)-SUM($G80:R80)-SUM($F73:Q73))</f>
        <v>0</v>
      </c>
      <c r="S73" s="61" t="n">
        <f aca="false">IF(S$54&lt;YEAR(Startconst),0,-HLOOKUP(DATE(S$54,12,31),Idc_Table,IDC!$AP$20)+SUM(Trapped!$E78:Q78)+IF(S$54&gt;=YEAR(Startops1),Wcap+Linefill,0)-SUM($G80:S80)-SUM($F73:R73))</f>
        <v>0</v>
      </c>
      <c r="T73" s="61" t="n">
        <f aca="false">IF(T$54&lt;YEAR(Startconst),0,-HLOOKUP(DATE(T$54,12,31),Idc_Table,IDC!$AP$20)+SUM(Trapped!$E78:R78)+IF(T$54&gt;=YEAR(Startops1),Wcap+Linefill,0)-SUM($G80:T80)-SUM($F73:S73))</f>
        <v>0</v>
      </c>
      <c r="U73" s="61" t="n">
        <f aca="false">IF(U$54&lt;YEAR(Startconst),0,-HLOOKUP(DATE(U$54,12,31),Idc_Table,IDC!$AP$20)+SUM(Trapped!$E78:S78)+IF(U$54&gt;=YEAR(Startops1),Wcap+Linefill,0)-SUM($G80:U80)-SUM($F73:T73))</f>
        <v>0</v>
      </c>
      <c r="V73" s="61" t="n">
        <f aca="false">IF(V$54&lt;YEAR(Startconst),0,-HLOOKUP(DATE(V$54,12,31),Idc_Table,IDC!$AP$20)+SUM(Trapped!$E78:T78)+IF(V$54&gt;=YEAR(Startops1),Wcap+Linefill,0)-SUM($G80:V80)-SUM($F73:U73))</f>
        <v>0</v>
      </c>
      <c r="W73" s="61" t="n">
        <f aca="false">IF(W$54&lt;YEAR(Startconst),0,-HLOOKUP(DATE(W$54,12,31),Idc_Table,IDC!$AP$20)+SUM(Trapped!$E78:U78)+IF(W$54&gt;=YEAR(Startops1),Wcap+Linefill,0)-SUM($G80:W80)-SUM($F73:V73))</f>
        <v>0</v>
      </c>
      <c r="X73" s="61" t="n">
        <f aca="false">IF(X$54&lt;YEAR(Startconst),0,-HLOOKUP(DATE(X$54,12,31),Idc_Table,IDC!$AP$20)+SUM(Trapped!$E78:V78)+IF(X$54&gt;=YEAR(Startops1),Wcap+Linefill,0)-SUM($G80:X80)-SUM($F73:W73))</f>
        <v>0</v>
      </c>
      <c r="Y73" s="61" t="n">
        <f aca="false">IF(Y$54&lt;YEAR(Startconst),0,-HLOOKUP(DATE(Y$54,12,31),Idc_Table,IDC!$AP$20)+SUM(Trapped!$E78:W78)+IF(Y$54&gt;=YEAR(Startops1),Wcap+Linefill,0)-SUM($G80:Y80)-SUM($F73:X73))</f>
        <v>0</v>
      </c>
      <c r="Z73" s="61" t="n">
        <f aca="false">IF(Z$54&lt;YEAR(Startconst),0,-HLOOKUP(DATE(Z$54,12,31),Idc_Table,IDC!$AP$20)+SUM(Trapped!$E78:X78)+IF(Z$54&gt;=YEAR(Startops1),Wcap+Linefill,0)-SUM($G80:Z80)-SUM($F73:Y73))</f>
        <v>0</v>
      </c>
      <c r="AA73" s="61" t="n">
        <f aca="false">IF(AA$54&lt;YEAR(Startconst),0,-HLOOKUP(DATE(AA$54,12,31),Idc_Table,IDC!$AP$20)+SUM(Trapped!$E78:Y78)+IF(AA$54&gt;=YEAR(Startops1),Wcap+Linefill,0)-SUM($G80:AA80)-SUM($F73:Z73))</f>
        <v>0</v>
      </c>
      <c r="AB73" s="61" t="n">
        <f aca="false">IF(AB$54&lt;YEAR(Startconst),0,-HLOOKUP(DATE(AB$54,12,31),Idc_Table,IDC!$AP$20)+SUM(Trapped!$E78:Z78)+IF(AB$54&gt;=YEAR(Startops1),Wcap+Linefill,0)-SUM($G80:AB80)-SUM($F73:AA73))</f>
        <v>0</v>
      </c>
      <c r="AC73" s="309" t="n">
        <f aca="false">SUM(G73:AB73)</f>
        <v>-144209.987096609</v>
      </c>
    </row>
    <row r="74" customFormat="false" ht="12.75" hidden="false" customHeight="false" outlineLevel="0" collapsed="false">
      <c r="A74" s="37"/>
      <c r="B74" s="39" t="s">
        <v>482</v>
      </c>
      <c r="D74" s="39"/>
      <c r="E74" s="39"/>
      <c r="F74" s="39"/>
      <c r="G74" s="61" t="n">
        <f aca="false">IF(G$54=YEAR(Startops1),-Linefill,0)</f>
        <v>0</v>
      </c>
      <c r="H74" s="61" t="n">
        <f aca="false">IF(H$54=YEAR(Startops1),-Linefill,0)</f>
        <v>0</v>
      </c>
      <c r="I74" s="61" t="n">
        <f aca="false">IF(I$54=YEAR(Startops1),-Linefill,0)</f>
        <v>0</v>
      </c>
      <c r="J74" s="61" t="n">
        <f aca="false">IF(J$54=YEAR(Startops1),-Linefill,0)</f>
        <v>-220</v>
      </c>
      <c r="K74" s="61" t="n">
        <f aca="false">IF(K$54=YEAR(Startops1),-Linefill,0)</f>
        <v>0</v>
      </c>
      <c r="L74" s="61" t="n">
        <f aca="false">IF(L$54=YEAR(Startops1),-Linefill,0)</f>
        <v>0</v>
      </c>
      <c r="M74" s="61" t="n">
        <f aca="false">IF(M$54=YEAR(Startops1),-Linefill,0)</f>
        <v>0</v>
      </c>
      <c r="N74" s="61" t="n">
        <f aca="false">IF(N$54=YEAR(Startops1),-Linefill,0)</f>
        <v>0</v>
      </c>
      <c r="O74" s="61" t="n">
        <f aca="false">IF(O$54=YEAR(Startops1),-Linefill,0)</f>
        <v>0</v>
      </c>
      <c r="P74" s="61" t="n">
        <f aca="false">IF(P$54=YEAR(Startops1),-Linefill,0)</f>
        <v>0</v>
      </c>
      <c r="Q74" s="61" t="n">
        <f aca="false">IF(Q$54=YEAR(Startops1),-Linefill,0)</f>
        <v>0</v>
      </c>
      <c r="R74" s="61" t="n">
        <f aca="false">IF(R$54=YEAR(Startops1),-Linefill,0)</f>
        <v>0</v>
      </c>
      <c r="S74" s="61" t="n">
        <f aca="false">IF(S$54=YEAR(Startops1),-Linefill,0)</f>
        <v>0</v>
      </c>
      <c r="T74" s="61" t="n">
        <f aca="false">IF(T$54=YEAR(Startops1),-Linefill,0)</f>
        <v>0</v>
      </c>
      <c r="U74" s="61" t="n">
        <f aca="false">IF(U$54=YEAR(Startops1),-Linefill,0)</f>
        <v>0</v>
      </c>
      <c r="V74" s="61" t="n">
        <f aca="false">IF(V$54=YEAR(Startops1),-Linefill,0)</f>
        <v>0</v>
      </c>
      <c r="W74" s="61" t="n">
        <f aca="false">IF(W$54=YEAR(Startops1),-Linefill,0)</f>
        <v>0</v>
      </c>
      <c r="X74" s="61" t="n">
        <f aca="false">IF(X$54=YEAR(Startops1),-Linefill,0)</f>
        <v>0</v>
      </c>
      <c r="Y74" s="61" t="n">
        <f aca="false">IF(Y$54=YEAR(Startops1),-Linefill,0)</f>
        <v>0</v>
      </c>
      <c r="Z74" s="61" t="n">
        <f aca="false">IF(Z$54=YEAR(Startops1),-Linefill,0)</f>
        <v>0</v>
      </c>
      <c r="AA74" s="61" t="n">
        <f aca="false">IF(AA$54=YEAR(Startops1),-Linefill,0)</f>
        <v>0</v>
      </c>
      <c r="AB74" s="61" t="n">
        <f aca="false">IF(AB$54=YEAR(Startops1),-Linefill,0)</f>
        <v>0</v>
      </c>
      <c r="AC74" s="309" t="n">
        <f aca="false">SUM(G74:AB74)</f>
        <v>-220</v>
      </c>
    </row>
    <row r="75" customFormat="false" ht="12.75" hidden="false" customHeight="false" outlineLevel="0" collapsed="false">
      <c r="A75" s="37"/>
      <c r="B75" s="39" t="s">
        <v>483</v>
      </c>
      <c r="D75" s="39"/>
      <c r="E75" s="39"/>
      <c r="F75" s="39"/>
      <c r="G75" s="61" t="n">
        <f aca="false">IF(G$54&lt;YEAR(Startops1),0,HLOOKUP(G$54,CF_Table,CF!$AB$73))</f>
        <v>0</v>
      </c>
      <c r="H75" s="61" t="n">
        <f aca="false">IF(H$54&lt;YEAR(Startops1),0,HLOOKUP(H$54,CF_Table,CF!$AB$73))</f>
        <v>0</v>
      </c>
      <c r="I75" s="61" t="n">
        <f aca="false">IF(I$54&lt;YEAR(Startops1),0,HLOOKUP(I$54,CF_Table,CF!$AB$73))</f>
        <v>0</v>
      </c>
      <c r="J75" s="61" t="n">
        <f aca="false">IF(J$54&lt;YEAR(Startops1),0,HLOOKUP(J$54,CF_Table,CF!$AB$73))</f>
        <v>-6028.02074865771</v>
      </c>
      <c r="K75" s="61" t="n">
        <f aca="false">IF(K$54&lt;YEAR(Startops1),0,HLOOKUP(K$54,CF_Table,CF!$AB$73))</f>
        <v>-5234.85244341261</v>
      </c>
      <c r="L75" s="61" t="n">
        <f aca="false">IF(L$54&lt;YEAR(Startops1),0,HLOOKUP(L$54,CF_Table,CF!$AB$73))</f>
        <v>-3879.78738962163</v>
      </c>
      <c r="M75" s="61" t="n">
        <f aca="false">IF(M$54&lt;YEAR(Startops1),0,HLOOKUP(M$54,CF_Table,CF!$AB$73))</f>
        <v>-5587.90319842053</v>
      </c>
      <c r="N75" s="61" t="n">
        <f aca="false">IF(N$54&lt;YEAR(Startops1),0,HLOOKUP(N$54,CF_Table,CF!$AB$73))</f>
        <v>-1731.72157657644</v>
      </c>
      <c r="O75" s="61" t="n">
        <f aca="false">IF(O$54&lt;YEAR(Startops1),0,HLOOKUP(O$54,CF_Table,CF!$AB$73))</f>
        <v>-3476.89377051009</v>
      </c>
      <c r="P75" s="61" t="n">
        <f aca="false">IF(P$54&lt;YEAR(Startops1),0,HLOOKUP(P$54,CF_Table,CF!$AB$73))</f>
        <v>-0</v>
      </c>
      <c r="Q75" s="61" t="n">
        <f aca="false">IF(Q$54&lt;YEAR(Startops1),0,HLOOKUP(Q$54,CF_Table,CF!$AB$73))</f>
        <v>-2396.6431084536</v>
      </c>
      <c r="R75" s="61" t="n">
        <f aca="false">IF(R$54&lt;YEAR(Startops1),0,HLOOKUP(R$54,CF_Table,CF!$AB$73))</f>
        <v>-5461.98934472067</v>
      </c>
      <c r="S75" s="61" t="n">
        <f aca="false">IF(S$54&lt;YEAR(Startops1),0,HLOOKUP(S$54,CF_Table,CF!$AB$73))</f>
        <v>-5826.07948230625</v>
      </c>
      <c r="T75" s="61" t="n">
        <f aca="false">IF(T$54&lt;YEAR(Startops1),0,HLOOKUP(T$54,CF_Table,CF!$AB$73))</f>
        <v>-3586.24380559618</v>
      </c>
      <c r="U75" s="61" t="n">
        <f aca="false">IF(U$54&lt;YEAR(Startops1),0,HLOOKUP(U$54,CF_Table,CF!$AB$73))</f>
        <v>-0</v>
      </c>
      <c r="V75" s="61" t="n">
        <f aca="false">IF(V$54&lt;YEAR(Startops1),0,HLOOKUP(V$54,CF_Table,CF!$AB$73))</f>
        <v>-0</v>
      </c>
      <c r="W75" s="61" t="n">
        <f aca="false">IF(W$54&lt;YEAR(Startops1),0,HLOOKUP(W$54,CF_Table,CF!$AB$73))</f>
        <v>-0</v>
      </c>
      <c r="X75" s="61" t="n">
        <f aca="false">IF(X$54&lt;YEAR(Startops1),0,HLOOKUP(X$54,CF_Table,CF!$AB$73))</f>
        <v>-435.876627349615</v>
      </c>
      <c r="Y75" s="61" t="n">
        <f aca="false">IF(Y$54&lt;YEAR(Startops1),0,HLOOKUP(Y$54,CF_Table,CF!$AB$73))</f>
        <v>-6348.95889830674</v>
      </c>
      <c r="Z75" s="61" t="n">
        <f aca="false">IF(Z$54&lt;YEAR(Startops1),0,HLOOKUP(Z$54,CF_Table,CF!$AB$73))</f>
        <v>-6389.29880070299</v>
      </c>
      <c r="AA75" s="61" t="n">
        <f aca="false">IF(AA$54&lt;YEAR(Startops1),0,HLOOKUP(AA$54,CF_Table,CF!$AB$73))</f>
        <v>-6433.01969171273</v>
      </c>
      <c r="AB75" s="61" t="n">
        <f aca="false">IF(AB$54&lt;YEAR(Startops1),0,HLOOKUP(AB$54,CF_Table,CF!$AB$73))</f>
        <v>-0</v>
      </c>
      <c r="AC75" s="309" t="n">
        <f aca="false">SUM(G75:AB75)</f>
        <v>-62817.2888863478</v>
      </c>
    </row>
    <row r="76" customFormat="false" ht="12.75" hidden="false" customHeight="false" outlineLevel="0" collapsed="false">
      <c r="A76" s="37"/>
      <c r="B76" s="39" t="s">
        <v>484</v>
      </c>
      <c r="D76" s="39"/>
      <c r="E76" s="39"/>
      <c r="F76" s="39"/>
      <c r="G76" s="61" t="n">
        <f aca="false">IF(G$54&lt;YEAR(Startops1),0,HLOOKUP(G$54,CF_Table,CF!$AB$74))</f>
        <v>0</v>
      </c>
      <c r="H76" s="61" t="n">
        <f aca="false">IF(H$54&lt;YEAR(Startops1),0,HLOOKUP(H$54,CF_Table,CF!$AB$74))</f>
        <v>0</v>
      </c>
      <c r="I76" s="61" t="n">
        <f aca="false">IF(I$54&lt;YEAR(Startops1),0,HLOOKUP(I$54,CF_Table,CF!$AB$74))</f>
        <v>0</v>
      </c>
      <c r="J76" s="61" t="n">
        <f aca="false">IF(J$54&lt;YEAR(Startops1),0,HLOOKUP(J$54,CF_Table,CF!$AB$74))</f>
        <v>-0</v>
      </c>
      <c r="K76" s="61" t="n">
        <f aca="false">IF(K$54&lt;YEAR(Startops1),0,HLOOKUP(K$54,CF_Table,CF!$AB$74))</f>
        <v>-0</v>
      </c>
      <c r="L76" s="61" t="n">
        <f aca="false">IF(L$54&lt;YEAR(Startops1),0,HLOOKUP(L$54,CF_Table,CF!$AB$74))</f>
        <v>-0</v>
      </c>
      <c r="M76" s="61" t="n">
        <f aca="false">IF(M$54&lt;YEAR(Startops1),0,HLOOKUP(M$54,CF_Table,CF!$AB$74))</f>
        <v>-0</v>
      </c>
      <c r="N76" s="61" t="n">
        <f aca="false">IF(N$54&lt;YEAR(Startops1),0,HLOOKUP(N$54,CF_Table,CF!$AB$74))</f>
        <v>-0</v>
      </c>
      <c r="O76" s="61" t="n">
        <f aca="false">IF(O$54&lt;YEAR(Startops1),0,HLOOKUP(O$54,CF_Table,CF!$AB$74))</f>
        <v>-0</v>
      </c>
      <c r="P76" s="61" t="n">
        <f aca="false">IF(P$54&lt;YEAR(Startops1),0,HLOOKUP(P$54,CF_Table,CF!$AB$74))</f>
        <v>443.610938053462</v>
      </c>
      <c r="Q76" s="61" t="n">
        <f aca="false">IF(Q$54&lt;YEAR(Startops1),0,HLOOKUP(Q$54,CF_Table,CF!$AB$74))</f>
        <v>-0</v>
      </c>
      <c r="R76" s="61" t="n">
        <f aca="false">IF(R$54&lt;YEAR(Startops1),0,HLOOKUP(R$54,CF_Table,CF!$AB$74))</f>
        <v>-0</v>
      </c>
      <c r="S76" s="61" t="n">
        <f aca="false">IF(S$54&lt;YEAR(Startops1),0,HLOOKUP(S$54,CF_Table,CF!$AB$74))</f>
        <v>-0</v>
      </c>
      <c r="T76" s="61" t="n">
        <f aca="false">IF(T$54&lt;YEAR(Startops1),0,HLOOKUP(T$54,CF_Table,CF!$AB$74))</f>
        <v>-0</v>
      </c>
      <c r="U76" s="61" t="n">
        <f aca="false">IF(U$54&lt;YEAR(Startops1),0,HLOOKUP(U$54,CF_Table,CF!$AB$74))</f>
        <v>2107.61341663642</v>
      </c>
      <c r="V76" s="61" t="n">
        <f aca="false">IF(V$54&lt;YEAR(Startops1),0,HLOOKUP(V$54,CF_Table,CF!$AB$74))</f>
        <v>1731.10154498464</v>
      </c>
      <c r="W76" s="61" t="n">
        <f aca="false">IF(W$54&lt;YEAR(Startops1),0,HLOOKUP(W$54,CF_Table,CF!$AB$74))</f>
        <v>1882.94280065876</v>
      </c>
      <c r="X76" s="61" t="n">
        <f aca="false">IF(X$54&lt;YEAR(Startops1),0,HLOOKUP(X$54,CF_Table,CF!$AB$74))</f>
        <v>-0</v>
      </c>
      <c r="Y76" s="61" t="n">
        <f aca="false">IF(Y$54&lt;YEAR(Startops1),0,HLOOKUP(Y$54,CF_Table,CF!$AB$74))</f>
        <v>-0</v>
      </c>
      <c r="Z76" s="61" t="n">
        <f aca="false">IF(Z$54&lt;YEAR(Startops1),0,HLOOKUP(Z$54,CF_Table,CF!$AB$74))</f>
        <v>-0</v>
      </c>
      <c r="AA76" s="61" t="n">
        <f aca="false">IF(AA$54&lt;YEAR(Startops1),0,HLOOKUP(AA$54,CF_Table,CF!$AB$74))</f>
        <v>-0</v>
      </c>
      <c r="AB76" s="61" t="n">
        <f aca="false">IF(AB$54&lt;YEAR(Startops1),0,HLOOKUP(AB$54,CF_Table,CF!$AB$74))</f>
        <v>56638.7441860766</v>
      </c>
      <c r="AC76" s="309" t="n">
        <f aca="false">SUM(G76:AB76)</f>
        <v>62804.0128864099</v>
      </c>
    </row>
    <row r="77" customFormat="false" ht="12.75" hidden="false" customHeight="false" outlineLevel="0" collapsed="false">
      <c r="A77" s="37"/>
      <c r="B77" s="39" t="s">
        <v>485</v>
      </c>
      <c r="D77" s="39"/>
      <c r="E77" s="39"/>
      <c r="F77" s="39"/>
      <c r="G77" s="61" t="n">
        <f aca="false">IF(G$54&lt;YEAR(Startops1),0,HLOOKUP(G$54,CF_Table,CF!$AB$39))</f>
        <v>0</v>
      </c>
      <c r="H77" s="61" t="n">
        <f aca="false">IF(H$54&lt;YEAR(Startops1),0,HLOOKUP(H$54,CF_Table,CF!$AB$39))</f>
        <v>0</v>
      </c>
      <c r="I77" s="61" t="n">
        <f aca="false">IF(I$54&lt;YEAR(Startops1),0,HLOOKUP(I$54,CF_Table,CF!$AB$39))</f>
        <v>0</v>
      </c>
      <c r="J77" s="61" t="n">
        <f aca="false">IF(J$54&lt;YEAR(Startops1),0,HLOOKUP(J$54,CF_Table,CF!$AB$39))</f>
        <v>0</v>
      </c>
      <c r="K77" s="61" t="n">
        <f aca="false">IF(K$54&lt;YEAR(Startops1),0,HLOOKUP(K$54,CF_Table,CF!$AB$39))</f>
        <v>300.737237435989</v>
      </c>
      <c r="L77" s="61" t="n">
        <f aca="false">IF(L$54&lt;YEAR(Startops1),0,HLOOKUP(L$54,CF_Table,CF!$AB$39))</f>
        <v>562.47985960662</v>
      </c>
      <c r="M77" s="61" t="n">
        <f aca="false">IF(M$54&lt;YEAR(Startops1),0,HLOOKUP(M$54,CF_Table,CF!$AB$39))</f>
        <v>756.469229087702</v>
      </c>
      <c r="N77" s="61" t="n">
        <f aca="false">IF(N$54&lt;YEAR(Startops1),0,HLOOKUP(N$54,CF_Table,CF!$AB$39))</f>
        <v>1035.86438900873</v>
      </c>
      <c r="O77" s="61" t="n">
        <f aca="false">IF(O$54&lt;YEAR(Startops1),0,HLOOKUP(O$54,CF_Table,CF!$AB$39))</f>
        <v>1122.45046783755</v>
      </c>
      <c r="P77" s="61" t="n">
        <f aca="false">IF(P$54&lt;YEAR(Startops1),0,HLOOKUP(P$54,CF_Table,CF!$AB$39))</f>
        <v>1296.29515636305</v>
      </c>
      <c r="Q77" s="61" t="n">
        <f aca="false">IF(Q$54&lt;YEAR(Startops1),0,HLOOKUP(Q$54,CF_Table,CF!$AB$39))</f>
        <v>1296.29515636305</v>
      </c>
      <c r="R77" s="61" t="n">
        <f aca="false">IF(R$54&lt;YEAR(Startops1),0,HLOOKUP(R$54,CF_Table,CF!$AB$39))</f>
        <v>1393.94676488306</v>
      </c>
      <c r="S77" s="61" t="n">
        <f aca="false">IF(S$54&lt;YEAR(Startops1),0,HLOOKUP(S$54,CF_Table,CF!$AB$39))</f>
        <v>1667.0462321191</v>
      </c>
      <c r="T77" s="61" t="n">
        <f aca="false">IF(T$54&lt;YEAR(Startops1),0,HLOOKUP(T$54,CF_Table,CF!$AB$39))</f>
        <v>1958.35020623441</v>
      </c>
      <c r="U77" s="61" t="n">
        <f aca="false">IF(U$54&lt;YEAR(Startops1),0,HLOOKUP(U$54,CF_Table,CF!$AB$39))</f>
        <v>2137.66239651422</v>
      </c>
      <c r="V77" s="61" t="n">
        <f aca="false">IF(V$54&lt;YEAR(Startops1),0,HLOOKUP(V$54,CF_Table,CF!$AB$39))</f>
        <v>2137.66239651422</v>
      </c>
      <c r="W77" s="61" t="n">
        <f aca="false">IF(W$54&lt;YEAR(Startops1),0,HLOOKUP(W$54,CF_Table,CF!$AB$39))</f>
        <v>2032.2817256824</v>
      </c>
      <c r="X77" s="61" t="n">
        <f aca="false">IF(X$54&lt;YEAR(Startops1),0,HLOOKUP(X$54,CF_Table,CF!$AB$39))</f>
        <v>1945.72664843316</v>
      </c>
      <c r="Y77" s="61" t="n">
        <f aca="false">IF(Y$54&lt;YEAR(Startops1),0,HLOOKUP(Y$54,CF_Table,CF!$AB$39))</f>
        <v>1873.37333976771</v>
      </c>
      <c r="Z77" s="61" t="n">
        <f aca="false">IF(Z$54&lt;YEAR(Startops1),0,HLOOKUP(Z$54,CF_Table,CF!$AB$39))</f>
        <v>2190.82128468304</v>
      </c>
      <c r="AA77" s="61" t="n">
        <f aca="false">IF(AA$54&lt;YEAR(Startops1),0,HLOOKUP(AA$54,CF_Table,CF!$AB$39))</f>
        <v>2510.28622471819</v>
      </c>
      <c r="AB77" s="61" t="n">
        <f aca="false">IF(AB$54&lt;YEAR(Startops1),0,HLOOKUP(AB$54,CF_Table,CF!$AB$39))</f>
        <v>943.979069767943</v>
      </c>
      <c r="AC77" s="309" t="n">
        <f aca="false">SUM(G77:AB77)</f>
        <v>27161.7277850201</v>
      </c>
    </row>
    <row r="78" customFormat="false" ht="12.75" hidden="false" customHeight="false" outlineLevel="0" collapsed="false">
      <c r="A78" s="37"/>
      <c r="B78" s="39" t="s">
        <v>486</v>
      </c>
      <c r="D78" s="39"/>
      <c r="E78" s="39"/>
      <c r="F78" s="39"/>
      <c r="G78" s="61" t="n">
        <f aca="false">G44</f>
        <v>0</v>
      </c>
      <c r="H78" s="61" t="n">
        <f aca="false">H44</f>
        <v>0</v>
      </c>
      <c r="I78" s="61" t="n">
        <f aca="false">I44</f>
        <v>0</v>
      </c>
      <c r="J78" s="61" t="n">
        <f aca="false">J44</f>
        <v>-4298.96714648815</v>
      </c>
      <c r="K78" s="61" t="n">
        <f aca="false">K44</f>
        <v>-10278.8341320822</v>
      </c>
      <c r="L78" s="61" t="n">
        <f aca="false">L44</f>
        <v>-10097.1831177218</v>
      </c>
      <c r="M78" s="61" t="n">
        <f aca="false">M44</f>
        <v>-9716.17180091018</v>
      </c>
      <c r="N78" s="61" t="n">
        <f aca="false">N44</f>
        <v>-8941.28665758468</v>
      </c>
      <c r="O78" s="61" t="n">
        <f aca="false">O44</f>
        <v>-7982.22639204565</v>
      </c>
      <c r="P78" s="61" t="n">
        <f aca="false">P44</f>
        <v>-6883.62165293162</v>
      </c>
      <c r="Q78" s="61" t="n">
        <f aca="false">Q44</f>
        <v>-5746.3262094992</v>
      </c>
      <c r="R78" s="61" t="n">
        <f aca="false">R44</f>
        <v>-5020.69986001448</v>
      </c>
      <c r="S78" s="61" t="n">
        <f aca="false">S44</f>
        <v>-4432.29654184567</v>
      </c>
      <c r="T78" s="61" t="n">
        <f aca="false">T44</f>
        <v>-3843.89322367685</v>
      </c>
      <c r="U78" s="61" t="n">
        <f aca="false">U44</f>
        <v>-3049.65535853418</v>
      </c>
      <c r="V78" s="61" t="n">
        <f aca="false">V44</f>
        <v>-2186.80597773356</v>
      </c>
      <c r="W78" s="61" t="n">
        <f aca="false">W44</f>
        <v>-1323.95659693294</v>
      </c>
      <c r="X78" s="61" t="n">
        <f aca="false">X44</f>
        <v>-403.071159654731</v>
      </c>
      <c r="Y78" s="61" t="n">
        <f aca="false">Y44</f>
        <v>-0</v>
      </c>
      <c r="Z78" s="61" t="n">
        <f aca="false">Z44</f>
        <v>-0</v>
      </c>
      <c r="AA78" s="61" t="n">
        <f aca="false">AA44</f>
        <v>-0</v>
      </c>
      <c r="AB78" s="61" t="n">
        <f aca="false">AB44</f>
        <v>-0</v>
      </c>
      <c r="AC78" s="309" t="n">
        <f aca="false">SUM(G78:AB78)</f>
        <v>-84204.9958276558</v>
      </c>
    </row>
    <row r="79" customFormat="false" ht="12.75" hidden="false" customHeight="false" outlineLevel="0" collapsed="false">
      <c r="A79" s="37"/>
      <c r="B79" s="39" t="s">
        <v>487</v>
      </c>
      <c r="D79" s="39"/>
      <c r="E79" s="39"/>
      <c r="F79" s="39"/>
      <c r="G79" s="61" t="n">
        <f aca="false">G45</f>
        <v>0</v>
      </c>
      <c r="H79" s="61" t="n">
        <f aca="false">H45</f>
        <v>0</v>
      </c>
      <c r="I79" s="61" t="n">
        <f aca="false">I45</f>
        <v>0</v>
      </c>
      <c r="J79" s="61" t="n">
        <f aca="false">J45</f>
        <v>-133.988670626725</v>
      </c>
      <c r="K79" s="61" t="n">
        <f aca="false">K45</f>
        <v>-318.085158746824</v>
      </c>
      <c r="L79" s="61" t="n">
        <f aca="false">L45</f>
        <v>-303.213031196215</v>
      </c>
      <c r="M79" s="61" t="n">
        <f aca="false">M45</f>
        <v>-286.344692325125</v>
      </c>
      <c r="N79" s="61" t="n">
        <f aca="false">N45</f>
        <v>-267.212200669063</v>
      </c>
      <c r="O79" s="61" t="n">
        <f aca="false">O45</f>
        <v>-245.511650320467</v>
      </c>
      <c r="P79" s="61" t="n">
        <f aca="false">P45</f>
        <v>-220.89834360133</v>
      </c>
      <c r="Q79" s="61" t="n">
        <f aca="false">Q45</f>
        <v>-192.981315787816</v>
      </c>
      <c r="R79" s="61" t="n">
        <f aca="false">R45</f>
        <v>-161.317124916034</v>
      </c>
      <c r="S79" s="61" t="n">
        <f aca="false">S45</f>
        <v>-125.402808024487</v>
      </c>
      <c r="T79" s="61" t="n">
        <f aca="false">T45</f>
        <v>-84.667891948172</v>
      </c>
      <c r="U79" s="61" t="n">
        <f aca="false">U45</f>
        <v>-38.4653317615136</v>
      </c>
      <c r="V79" s="61" t="n">
        <f aca="false">V45</f>
        <v>-0</v>
      </c>
      <c r="W79" s="61" t="n">
        <f aca="false">W45</f>
        <v>-0</v>
      </c>
      <c r="X79" s="61" t="n">
        <f aca="false">X45</f>
        <v>-0</v>
      </c>
      <c r="Y79" s="61" t="n">
        <f aca="false">Y45</f>
        <v>-0</v>
      </c>
      <c r="Z79" s="61" t="n">
        <f aca="false">Z45</f>
        <v>-0</v>
      </c>
      <c r="AA79" s="61" t="n">
        <f aca="false">AA45</f>
        <v>-0</v>
      </c>
      <c r="AB79" s="61" t="n">
        <f aca="false">AB45</f>
        <v>-0</v>
      </c>
      <c r="AC79" s="309" t="n">
        <f aca="false">SUM(G79:AB79)</f>
        <v>-2378.08821992377</v>
      </c>
    </row>
    <row r="80" customFormat="false" ht="12.75" hidden="false" customHeight="false" outlineLevel="0" collapsed="false">
      <c r="A80" s="37"/>
      <c r="B80" s="39" t="s">
        <v>460</v>
      </c>
      <c r="D80" s="39"/>
      <c r="E80" s="39"/>
      <c r="F80" s="39"/>
      <c r="G80" s="61" t="n">
        <f aca="false">G46</f>
        <v>0</v>
      </c>
      <c r="H80" s="61" t="n">
        <f aca="false">H46</f>
        <v>0</v>
      </c>
      <c r="I80" s="61" t="n">
        <f aca="false">I46</f>
        <v>0</v>
      </c>
      <c r="J80" s="61" t="n">
        <f aca="false">J46</f>
        <v>-0</v>
      </c>
      <c r="K80" s="61" t="n">
        <f aca="false">K46</f>
        <v>-0</v>
      </c>
      <c r="L80" s="61" t="n">
        <f aca="false">L46</f>
        <v>-0</v>
      </c>
      <c r="M80" s="61" t="n">
        <f aca="false">M46</f>
        <v>-0</v>
      </c>
      <c r="N80" s="61" t="n">
        <f aca="false">N46</f>
        <v>-0</v>
      </c>
      <c r="O80" s="61" t="n">
        <f aca="false">O46</f>
        <v>-0</v>
      </c>
      <c r="P80" s="61" t="n">
        <f aca="false">P46</f>
        <v>-0</v>
      </c>
      <c r="Q80" s="61" t="n">
        <f aca="false">Q46</f>
        <v>-0</v>
      </c>
      <c r="R80" s="61" t="n">
        <f aca="false">R46</f>
        <v>-0</v>
      </c>
      <c r="S80" s="61" t="n">
        <f aca="false">S46</f>
        <v>-0</v>
      </c>
      <c r="T80" s="61" t="n">
        <f aca="false">T46</f>
        <v>-0</v>
      </c>
      <c r="U80" s="61" t="n">
        <f aca="false">U46</f>
        <v>-0</v>
      </c>
      <c r="V80" s="61" t="n">
        <f aca="false">V46</f>
        <v>-0</v>
      </c>
      <c r="W80" s="61" t="n">
        <f aca="false">W46</f>
        <v>-0</v>
      </c>
      <c r="X80" s="61" t="n">
        <f aca="false">X46</f>
        <v>-0</v>
      </c>
      <c r="Y80" s="61" t="n">
        <f aca="false">Y46</f>
        <v>-0</v>
      </c>
      <c r="Z80" s="61" t="n">
        <f aca="false">Z46</f>
        <v>-0</v>
      </c>
      <c r="AA80" s="61" t="n">
        <f aca="false">AA46</f>
        <v>-0</v>
      </c>
      <c r="AB80" s="61" t="n">
        <f aca="false">AB46</f>
        <v>-0</v>
      </c>
      <c r="AC80" s="309" t="n">
        <f aca="false">SUM(G80:AB80)</f>
        <v>0</v>
      </c>
    </row>
    <row r="81" customFormat="false" ht="12.75" hidden="false" customHeight="false" outlineLevel="0" collapsed="false">
      <c r="A81" s="37"/>
      <c r="B81" s="39" t="s">
        <v>488</v>
      </c>
      <c r="D81" s="39"/>
      <c r="E81" s="39"/>
      <c r="F81" s="39"/>
      <c r="G81" s="61" t="n">
        <f aca="false">IF(G$54&lt;YEAR(Startops1),0,HLOOKUP(G$54,CF_Table,CF!$AB$41))</f>
        <v>0</v>
      </c>
      <c r="H81" s="61" t="n">
        <f aca="false">IF(H$54&lt;YEAR(Startops1),0,HLOOKUP(H$54,CF_Table,CF!$AB$41))</f>
        <v>0</v>
      </c>
      <c r="I81" s="61" t="n">
        <f aca="false">IF(I$54&lt;YEAR(Startops1),0,HLOOKUP(I$54,CF_Table,CF!$AB$41))</f>
        <v>0</v>
      </c>
      <c r="J81" s="61" t="n">
        <f aca="false">IF(J$54&lt;YEAR(Startops1),0,HLOOKUP(J$54,CF_Table,CF!$AB$41))</f>
        <v>-1633.0682084244</v>
      </c>
      <c r="K81" s="61" t="n">
        <f aca="false">IF(K$54&lt;YEAR(Startops1),0,HLOOKUP(K$54,CF_Table,CF!$AB$41))</f>
        <v>-3877.36370021857</v>
      </c>
      <c r="L81" s="61" t="n">
        <f aca="false">IF(L$54&lt;YEAR(Startops1),0,HLOOKUP(L$54,CF_Table,CF!$AB$41))</f>
        <v>-3816.71078252611</v>
      </c>
      <c r="M81" s="61" t="n">
        <f aca="false">IF(M$54&lt;YEAR(Startops1),0,HLOOKUP(M$54,CF_Table,CF!$AB$41))</f>
        <v>-30</v>
      </c>
      <c r="N81" s="61" t="n">
        <f aca="false">IF(N$54&lt;YEAR(Startops1),0,HLOOKUP(N$54,CF_Table,CF!$AB$41))</f>
        <v>-30</v>
      </c>
      <c r="O81" s="61" t="n">
        <f aca="false">IF(O$54&lt;YEAR(Startops1),0,HLOOKUP(O$54,CF_Table,CF!$AB$41))</f>
        <v>-30</v>
      </c>
      <c r="P81" s="61" t="n">
        <f aca="false">IF(P$54&lt;YEAR(Startops1),0,HLOOKUP(P$54,CF_Table,CF!$AB$41))</f>
        <v>-30</v>
      </c>
      <c r="Q81" s="61" t="n">
        <f aca="false">IF(Q$54&lt;YEAR(Startops1),0,HLOOKUP(Q$54,CF_Table,CF!$AB$41))</f>
        <v>-30</v>
      </c>
      <c r="R81" s="61" t="n">
        <f aca="false">IF(R$54&lt;YEAR(Startops1),0,HLOOKUP(R$54,CF_Table,CF!$AB$41))</f>
        <v>-30</v>
      </c>
      <c r="S81" s="61" t="n">
        <f aca="false">IF(S$54&lt;YEAR(Startops1),0,HLOOKUP(S$54,CF_Table,CF!$AB$41))</f>
        <v>-30</v>
      </c>
      <c r="T81" s="61" t="n">
        <f aca="false">IF(T$54&lt;YEAR(Startops1),0,HLOOKUP(T$54,CF_Table,CF!$AB$41))</f>
        <v>-30</v>
      </c>
      <c r="U81" s="61" t="n">
        <f aca="false">IF(U$54&lt;YEAR(Startops1),0,HLOOKUP(U$54,CF_Table,CF!$AB$41))</f>
        <v>-30</v>
      </c>
      <c r="V81" s="61" t="n">
        <f aca="false">IF(V$54&lt;YEAR(Startops1),0,HLOOKUP(V$54,CF_Table,CF!$AB$41))</f>
        <v>-30</v>
      </c>
      <c r="W81" s="61" t="n">
        <f aca="false">IF(W$54&lt;YEAR(Startops1),0,HLOOKUP(W$54,CF_Table,CF!$AB$41))</f>
        <v>-30</v>
      </c>
      <c r="X81" s="61" t="n">
        <f aca="false">IF(X$54&lt;YEAR(Startops1),0,HLOOKUP(X$54,CF_Table,CF!$AB$41))</f>
        <v>-30</v>
      </c>
      <c r="Y81" s="61" t="n">
        <f aca="false">IF(Y$54&lt;YEAR(Startops1),0,HLOOKUP(Y$54,CF_Table,CF!$AB$41))</f>
        <v>0</v>
      </c>
      <c r="Z81" s="61" t="n">
        <f aca="false">IF(Z$54&lt;YEAR(Startops1),0,HLOOKUP(Z$54,CF_Table,CF!$AB$41))</f>
        <v>0</v>
      </c>
      <c r="AA81" s="61" t="n">
        <f aca="false">IF(AA$54&lt;YEAR(Startops1),0,HLOOKUP(AA$54,CF_Table,CF!$AB$41))</f>
        <v>0</v>
      </c>
      <c r="AB81" s="61" t="n">
        <f aca="false">IF(AB$54&lt;YEAR(Startops1),0,HLOOKUP(AB$54,CF_Table,CF!$AB$41))</f>
        <v>0</v>
      </c>
      <c r="AC81" s="309" t="n">
        <f aca="false">SUM(G81:AB81)</f>
        <v>-9687.14269116908</v>
      </c>
    </row>
    <row r="82" customFormat="false" ht="12.75" hidden="false" customHeight="false" outlineLevel="0" collapsed="false">
      <c r="A82" s="37"/>
      <c r="B82" s="39" t="s">
        <v>489</v>
      </c>
      <c r="D82" s="39"/>
      <c r="E82" s="39"/>
      <c r="F82" s="39"/>
      <c r="G82" s="61" t="n">
        <f aca="false">IF(G$54&lt;YEAR(Startops1),0,HLOOKUP(G$54,CF_Table,CF!$AB$42))</f>
        <v>0</v>
      </c>
      <c r="H82" s="61" t="n">
        <f aca="false">IF(H$54&lt;YEAR(Startops1),0,HLOOKUP(H$54,CF_Table,CF!$AB$42))</f>
        <v>0</v>
      </c>
      <c r="I82" s="61" t="n">
        <f aca="false">IF(I$54&lt;YEAR(Startops1),0,HLOOKUP(I$54,CF_Table,CF!$AB$42))</f>
        <v>0</v>
      </c>
      <c r="J82" s="61" t="n">
        <f aca="false">IF(J$54&lt;YEAR(Startops1),0,HLOOKUP(J$54,CF_Table,CF!$AB$42))</f>
        <v>-53.7370893311019</v>
      </c>
      <c r="K82" s="61" t="n">
        <f aca="false">IF(K$54&lt;YEAR(Startops1),0,HLOOKUP(K$54,CF_Table,CF!$AB$42))</f>
        <v>-146.054463658025</v>
      </c>
      <c r="L82" s="61" t="n">
        <f aca="false">IF(L$54&lt;YEAR(Startops1),0,HLOOKUP(L$54,CF_Table,CF!$AB$42))</f>
        <v>-156.001326615543</v>
      </c>
      <c r="M82" s="61" t="n">
        <f aca="false">IF(M$54&lt;YEAR(Startops1),0,HLOOKUP(M$54,CF_Table,CF!$AB$42))</f>
        <v>-205.122197073233</v>
      </c>
      <c r="N82" s="61" t="n">
        <f aca="false">IF(N$54&lt;YEAR(Startops1),0,HLOOKUP(N$54,CF_Table,CF!$AB$42))</f>
        <v>-217.986326739245</v>
      </c>
      <c r="O82" s="61" t="n">
        <f aca="false">IF(O$54&lt;YEAR(Startops1),0,HLOOKUP(O$54,CF_Table,CF!$AB$42))</f>
        <v>-220.113210781092</v>
      </c>
      <c r="P82" s="61" t="n">
        <f aca="false">IF(P$54&lt;YEAR(Startops1),0,HLOOKUP(P$54,CF_Table,CF!$AB$42))</f>
        <v>-215.166006746162</v>
      </c>
      <c r="Q82" s="61" t="n">
        <f aca="false">IF(Q$54&lt;YEAR(Startops1),0,HLOOKUP(Q$54,CF_Table,CF!$AB$42))</f>
        <v>-169.791087246422</v>
      </c>
      <c r="R82" s="61" t="n">
        <f aca="false">IF(R$54&lt;YEAR(Startops1),0,HLOOKUP(R$54,CF_Table,CF!$AB$42))</f>
        <v>-129.562031421027</v>
      </c>
      <c r="S82" s="61" t="n">
        <f aca="false">IF(S$54&lt;YEAR(Startops1),0,HLOOKUP(S$54,CF_Table,CF!$AB$42))</f>
        <v>-122.206989943917</v>
      </c>
      <c r="T82" s="61" t="n">
        <f aca="false">IF(T$54&lt;YEAR(Startops1),0,HLOOKUP(T$54,CF_Table,CF!$AB$42))</f>
        <v>-130.431311695225</v>
      </c>
      <c r="U82" s="61" t="n">
        <f aca="false">IF(U$54&lt;YEAR(Startops1),0,HLOOKUP(U$54,CF_Table,CF!$AB$42))</f>
        <v>-136.082701609359</v>
      </c>
      <c r="V82" s="61" t="n">
        <f aca="false">IF(V$54&lt;YEAR(Startops1),0,HLOOKUP(V$54,CF_Table,CF!$AB$42))</f>
        <v>-125.297084349351</v>
      </c>
      <c r="W82" s="61" t="n">
        <f aca="false">IF(W$54&lt;YEAR(Startops1),0,HLOOKUP(W$54,CF_Table,CF!$AB$42))</f>
        <v>-118.025609170941</v>
      </c>
      <c r="X82" s="61" t="n">
        <f aca="false">IF(X$54&lt;YEAR(Startops1),0,HLOOKUP(X$54,CF_Table,CF!$AB$42))</f>
        <v>-78.3657053310342</v>
      </c>
      <c r="Y82" s="61" t="n">
        <f aca="false">IF(Y$54&lt;YEAR(Startops1),0,HLOOKUP(Y$54,CF_Table,CF!$AB$42))</f>
        <v>-0</v>
      </c>
      <c r="Z82" s="61" t="n">
        <f aca="false">IF(Z$54&lt;YEAR(Startops1),0,HLOOKUP(Z$54,CF_Table,CF!$AB$42))</f>
        <v>-0</v>
      </c>
      <c r="AA82" s="61" t="n">
        <f aca="false">IF(AA$54&lt;YEAR(Startops1),0,HLOOKUP(AA$54,CF_Table,CF!$AB$42))</f>
        <v>-0</v>
      </c>
      <c r="AB82" s="61" t="n">
        <f aca="false">IF(AB$54&lt;YEAR(Startops1),0,HLOOKUP(AB$54,CF_Table,CF!$AB$42))</f>
        <v>-0</v>
      </c>
      <c r="AC82" s="309" t="n">
        <f aca="false">SUM(G82:AB82)</f>
        <v>-2223.94314171168</v>
      </c>
    </row>
    <row r="83" customFormat="false" ht="12.75" hidden="false" customHeight="false" outlineLevel="0" collapsed="false">
      <c r="A83" s="37"/>
      <c r="B83" s="39" t="s">
        <v>490</v>
      </c>
      <c r="D83" s="39"/>
      <c r="E83" s="39"/>
      <c r="F83" s="39"/>
      <c r="G83" s="311" t="n">
        <f aca="false">IF(G$37&lt;YEAR(Startops1),0,-HLOOKUP(G$37,CF_Table,CF!$AB$76))</f>
        <v>0</v>
      </c>
      <c r="H83" s="311" t="n">
        <f aca="false">IF(H$37&lt;YEAR(Startops1),0,-HLOOKUP(H$37,CF_Table,CF!$AB$76))</f>
        <v>0</v>
      </c>
      <c r="I83" s="311" t="n">
        <f aca="false">IF(I$37&lt;YEAR(Startops1),0,-HLOOKUP(I$37,CF_Table,CF!$AB$76))</f>
        <v>0</v>
      </c>
      <c r="J83" s="311" t="n">
        <f aca="false">IF(J$37&lt;YEAR(Startops1),0,-HLOOKUP(J$37,CF_Table,CF!$AB$76))</f>
        <v>-0</v>
      </c>
      <c r="K83" s="311" t="n">
        <f aca="false">IF(K$37&lt;YEAR(Startops1),0,-HLOOKUP(K$37,CF_Table,CF!$AB$76))</f>
        <v>-0</v>
      </c>
      <c r="L83" s="311" t="n">
        <f aca="false">IF(L$37&lt;YEAR(Startops1),0,-HLOOKUP(L$37,CF_Table,CF!$AB$76))</f>
        <v>-0</v>
      </c>
      <c r="M83" s="311" t="n">
        <f aca="false">IF(M$37&lt;YEAR(Startops1),0,-HLOOKUP(M$37,CF_Table,CF!$AB$76))</f>
        <v>-0</v>
      </c>
      <c r="N83" s="311" t="n">
        <f aca="false">IF(N$37&lt;YEAR(Startops1),0,-HLOOKUP(N$37,CF_Table,CF!$AB$76))</f>
        <v>-0</v>
      </c>
      <c r="O83" s="311" t="n">
        <f aca="false">IF(O$37&lt;YEAR(Startops1),0,-HLOOKUP(O$37,CF_Table,CF!$AB$76))</f>
        <v>-1922.31341195928</v>
      </c>
      <c r="P83" s="311" t="n">
        <f aca="false">IF(P$37&lt;YEAR(Startops1),0,-HLOOKUP(P$37,CF_Table,CF!$AB$76))</f>
        <v>-7146.15292496294</v>
      </c>
      <c r="Q83" s="311" t="n">
        <f aca="false">IF(Q$37&lt;YEAR(Startops1),0,-HLOOKUP(Q$37,CF_Table,CF!$AB$76))</f>
        <v>-8076.67286379359</v>
      </c>
      <c r="R83" s="311" t="n">
        <f aca="false">IF(R$37&lt;YEAR(Startops1),0,-HLOOKUP(R$37,CF_Table,CF!$AB$76))</f>
        <v>-9574.3164161304</v>
      </c>
      <c r="S83" s="311" t="n">
        <f aca="false">IF(S$37&lt;YEAR(Startops1),0,-HLOOKUP(S$37,CF_Table,CF!$AB$76))</f>
        <v>-10565.6318033128</v>
      </c>
      <c r="T83" s="311" t="n">
        <f aca="false">IF(T$37&lt;YEAR(Startops1),0,-HLOOKUP(T$37,CF_Table,CF!$AB$76))</f>
        <v>-11785.0336207929</v>
      </c>
      <c r="U83" s="311" t="n">
        <f aca="false">IF(U$37&lt;YEAR(Startops1),0,-HLOOKUP(U$37,CF_Table,CF!$AB$76))</f>
        <v>-13708.6706035186</v>
      </c>
      <c r="V83" s="311" t="n">
        <f aca="false">IF(V$37&lt;YEAR(Startops1),0,-HLOOKUP(V$37,CF_Table,CF!$AB$76))</f>
        <v>-13261.7094730338</v>
      </c>
      <c r="W83" s="311" t="n">
        <f aca="false">IF(W$37&lt;YEAR(Startops1),0,-HLOOKUP(W$37,CF_Table,CF!$AB$76))</f>
        <v>-15718.2215792545</v>
      </c>
      <c r="X83" s="311" t="n">
        <f aca="false">IF(X$37&lt;YEAR(Startops1),0,-HLOOKUP(X$37,CF_Table,CF!$AB$76))</f>
        <v>-16989.560183041</v>
      </c>
      <c r="Y83" s="311" t="n">
        <f aca="false">IF(Y$37&lt;YEAR(Startops1),0,-HLOOKUP(Y$37,CF_Table,CF!$AB$76))</f>
        <v>-17880.603261494</v>
      </c>
      <c r="Z83" s="311" t="n">
        <f aca="false">IF(Z$37&lt;YEAR(Startops1),0,-HLOOKUP(Z$37,CF_Table,CF!$AB$76))</f>
        <v>-18647.0614070228</v>
      </c>
      <c r="AA83" s="311" t="n">
        <f aca="false">IF(AA$37&lt;YEAR(Startops1),0,-HLOOKUP(AA$37,CF_Table,CF!$AB$76))</f>
        <v>-19477.758336208</v>
      </c>
      <c r="AB83" s="311" t="n">
        <f aca="false">IF(AB$37&lt;YEAR(Startops1),0,-HLOOKUP(AB$37,CF_Table,CF!$AB$76))</f>
        <v>-65285.3381522481</v>
      </c>
      <c r="AC83" s="313" t="n">
        <f aca="false">SUM(G83:AB83)</f>
        <v>-230039.044036773</v>
      </c>
    </row>
    <row r="84" customFormat="false" ht="12.75" hidden="false" customHeight="false" outlineLevel="0" collapsed="false">
      <c r="A84" s="37"/>
      <c r="C84" s="39" t="s">
        <v>491</v>
      </c>
      <c r="D84" s="39"/>
      <c r="E84" s="39"/>
      <c r="F84" s="39"/>
      <c r="G84" s="61" t="n">
        <f aca="false">SUM(G66:G83)</f>
        <v>825.143076156552</v>
      </c>
      <c r="H84" s="61" t="n">
        <f aca="false">SUM(H66:H83)</f>
        <v>5837.70264138619</v>
      </c>
      <c r="I84" s="61" t="n">
        <f aca="false">SUM(I66:I83)</f>
        <v>5091.23120338893</v>
      </c>
      <c r="J84" s="61" t="n">
        <f aca="false">SUM(J66:J83)</f>
        <v>-12147.7533656046</v>
      </c>
      <c r="K84" s="61" t="n">
        <f aca="false">SUM(K66:K83)</f>
        <v>-21070.7756029937</v>
      </c>
      <c r="L84" s="61" t="n">
        <f aca="false">SUM(L66:L83)</f>
        <v>-20199.0109088985</v>
      </c>
      <c r="M84" s="61" t="n">
        <f aca="false">SUM(M66:M83)</f>
        <v>-21905.2170727631</v>
      </c>
      <c r="N84" s="61" t="n">
        <f aca="false">SUM(N66:N83)</f>
        <v>-18811.634793945</v>
      </c>
      <c r="O84" s="61" t="n">
        <f aca="false">SUM(O66:O83)</f>
        <v>-22564.8119283987</v>
      </c>
      <c r="P84" s="61" t="n">
        <f aca="false">SUM(P66:P83)</f>
        <v>-23293.578517484</v>
      </c>
      <c r="Q84" s="61" t="n">
        <f aca="false">SUM(Q66:Q83)</f>
        <v>-23388.9840233427</v>
      </c>
      <c r="R84" s="61" t="n">
        <f aca="false">SUM(R66:R83)</f>
        <v>-24595.7686815697</v>
      </c>
      <c r="S84" s="61" t="n">
        <f aca="false">SUM(S66:S83)</f>
        <v>-25082.3163794557</v>
      </c>
      <c r="T84" s="61" t="n">
        <f aca="false">SUM(T66:T83)</f>
        <v>-24436.7486079663</v>
      </c>
      <c r="U84" s="61" t="n">
        <f aca="false">SUM(U66:U83)</f>
        <v>-20944.9787612245</v>
      </c>
      <c r="V84" s="61" t="n">
        <f aca="false">SUM(V66:V83)</f>
        <v>-19572.0093638324</v>
      </c>
      <c r="W84" s="61" t="n">
        <f aca="false">SUM(W66:W83)</f>
        <v>-21393.0713957596</v>
      </c>
      <c r="X84" s="61" t="n">
        <f aca="false">SUM(X66:X83)</f>
        <v>-21857.3322937712</v>
      </c>
      <c r="Y84" s="61" t="n">
        <f aca="false">SUM(Y66:Y83)</f>
        <v>-22356.1888200331</v>
      </c>
      <c r="Z84" s="61" t="n">
        <f aca="false">SUM(Z66:Z83)</f>
        <v>-22845.5389230428</v>
      </c>
      <c r="AA84" s="61" t="n">
        <f aca="false">SUM(AA66:AA83)</f>
        <v>-23400.4918032025</v>
      </c>
      <c r="AB84" s="61" t="n">
        <f aca="false">SUM(AB66:AB83)</f>
        <v>-7702.61489640357</v>
      </c>
      <c r="AC84" s="309" t="n">
        <f aca="false">SUM(G84:AB84)</f>
        <v>-385814.74921876</v>
      </c>
    </row>
    <row r="85" customFormat="false" ht="12.75" hidden="false" customHeight="false" outlineLevel="0" collapsed="false">
      <c r="A85" s="37"/>
      <c r="D85" s="39"/>
      <c r="E85" s="39"/>
      <c r="F85" s="39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309" t="s">
        <v>150</v>
      </c>
    </row>
    <row r="86" customFormat="false" ht="12.75" hidden="false" customHeight="false" outlineLevel="0" collapsed="false">
      <c r="A86" s="37" t="s">
        <v>492</v>
      </c>
      <c r="D86" s="39"/>
      <c r="E86" s="39"/>
      <c r="F86" s="39"/>
      <c r="G86" s="61" t="n">
        <f aca="false">G63+G84</f>
        <v>0</v>
      </c>
      <c r="H86" s="61" t="n">
        <f aca="false">H63+H84</f>
        <v>0</v>
      </c>
      <c r="I86" s="61" t="n">
        <f aca="false">I63+I84</f>
        <v>0</v>
      </c>
      <c r="J86" s="61" t="n">
        <f aca="false">J63+J84</f>
        <v>0</v>
      </c>
      <c r="K86" s="61" t="n">
        <f aca="false">K63+K84</f>
        <v>0</v>
      </c>
      <c r="L86" s="61" t="n">
        <f aca="false">L63+L84</f>
        <v>0</v>
      </c>
      <c r="M86" s="61" t="n">
        <f aca="false">M63+M84</f>
        <v>0</v>
      </c>
      <c r="N86" s="61" t="n">
        <f aca="false">N63+N84</f>
        <v>0</v>
      </c>
      <c r="O86" s="61" t="n">
        <f aca="false">O63+O84</f>
        <v>0</v>
      </c>
      <c r="P86" s="61" t="n">
        <f aca="false">P63+P84</f>
        <v>0</v>
      </c>
      <c r="Q86" s="61" t="n">
        <f aca="false">Q63+Q84</f>
        <v>0</v>
      </c>
      <c r="R86" s="61" t="n">
        <f aca="false">R63+R84</f>
        <v>0</v>
      </c>
      <c r="S86" s="61" t="n">
        <f aca="false">S63+S84</f>
        <v>0</v>
      </c>
      <c r="T86" s="61" t="n">
        <f aca="false">T63+T84</f>
        <v>0</v>
      </c>
      <c r="U86" s="61" t="n">
        <f aca="false">U63+U84</f>
        <v>0</v>
      </c>
      <c r="V86" s="61" t="n">
        <f aca="false">V63+V84</f>
        <v>0</v>
      </c>
      <c r="W86" s="61" t="n">
        <f aca="false">W63+W84</f>
        <v>0</v>
      </c>
      <c r="X86" s="61" t="n">
        <f aca="false">X63+X84</f>
        <v>0</v>
      </c>
      <c r="Y86" s="61" t="n">
        <f aca="false">Y63+Y84</f>
        <v>0</v>
      </c>
      <c r="Z86" s="61" t="n">
        <f aca="false">Z63+Z84</f>
        <v>0</v>
      </c>
      <c r="AA86" s="61" t="n">
        <f aca="false">AA63+AA84</f>
        <v>0</v>
      </c>
      <c r="AB86" s="61" t="n">
        <f aca="false">AB63+AB84</f>
        <v>0</v>
      </c>
      <c r="AC86" s="309" t="n">
        <f aca="false">SUM(G86:AB86)</f>
        <v>0</v>
      </c>
    </row>
    <row r="87" customFormat="false" ht="12.75" hidden="false" customHeight="false" outlineLevel="0" collapsed="false">
      <c r="A87" s="37"/>
      <c r="D87" s="39"/>
      <c r="E87" s="39"/>
      <c r="F87" s="39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309" t="s">
        <v>150</v>
      </c>
    </row>
    <row r="88" customFormat="false" ht="12.75" hidden="false" customHeight="false" outlineLevel="0" collapsed="false">
      <c r="A88" s="37" t="s">
        <v>493</v>
      </c>
      <c r="D88" s="39"/>
      <c r="E88" s="39"/>
      <c r="F88" s="39"/>
      <c r="G88" s="99" t="n">
        <v>0</v>
      </c>
      <c r="H88" s="61" t="n">
        <f aca="false">G90</f>
        <v>0</v>
      </c>
      <c r="I88" s="61" t="n">
        <f aca="false">H90</f>
        <v>0</v>
      </c>
      <c r="J88" s="61" t="n">
        <f aca="false">I90</f>
        <v>0</v>
      </c>
      <c r="K88" s="61" t="n">
        <f aca="false">J90</f>
        <v>0</v>
      </c>
      <c r="L88" s="61" t="n">
        <f aca="false">K90</f>
        <v>0</v>
      </c>
      <c r="M88" s="61" t="n">
        <f aca="false">L90</f>
        <v>0</v>
      </c>
      <c r="N88" s="61" t="n">
        <f aca="false">M90</f>
        <v>0</v>
      </c>
      <c r="O88" s="61" t="n">
        <f aca="false">N90</f>
        <v>0</v>
      </c>
      <c r="P88" s="61" t="n">
        <f aca="false">O90</f>
        <v>0</v>
      </c>
      <c r="Q88" s="61" t="n">
        <f aca="false">P90</f>
        <v>0</v>
      </c>
      <c r="R88" s="61" t="n">
        <f aca="false">Q90</f>
        <v>0</v>
      </c>
      <c r="S88" s="61" t="n">
        <f aca="false">R90</f>
        <v>0</v>
      </c>
      <c r="T88" s="61" t="n">
        <f aca="false">S90</f>
        <v>0</v>
      </c>
      <c r="U88" s="61" t="n">
        <f aca="false">T90</f>
        <v>0</v>
      </c>
      <c r="V88" s="61" t="n">
        <f aca="false">U90</f>
        <v>0</v>
      </c>
      <c r="W88" s="61" t="n">
        <f aca="false">V90</f>
        <v>0</v>
      </c>
      <c r="X88" s="61" t="n">
        <f aca="false">W90</f>
        <v>0</v>
      </c>
      <c r="Y88" s="61" t="n">
        <f aca="false">X90</f>
        <v>0</v>
      </c>
      <c r="Z88" s="61" t="n">
        <f aca="false">Y90</f>
        <v>0</v>
      </c>
      <c r="AA88" s="61" t="n">
        <f aca="false">Z90</f>
        <v>0</v>
      </c>
      <c r="AB88" s="61" t="n">
        <f aca="false">AA90</f>
        <v>0</v>
      </c>
      <c r="AC88" s="309"/>
    </row>
    <row r="89" customFormat="false" ht="12.75" hidden="false" customHeight="false" outlineLevel="0" collapsed="false">
      <c r="A89" s="37"/>
      <c r="D89" s="39"/>
      <c r="E89" s="39"/>
      <c r="F89" s="39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309" t="s">
        <v>150</v>
      </c>
    </row>
    <row r="90" customFormat="false" ht="13.5" hidden="false" customHeight="false" outlineLevel="0" collapsed="false">
      <c r="A90" s="49" t="s">
        <v>494</v>
      </c>
      <c r="B90" s="22"/>
      <c r="C90" s="22"/>
      <c r="D90" s="22"/>
      <c r="E90" s="22"/>
      <c r="F90" s="22"/>
      <c r="G90" s="449" t="n">
        <f aca="false">G86+G88</f>
        <v>0</v>
      </c>
      <c r="H90" s="449" t="n">
        <f aca="false">H86+H88</f>
        <v>0</v>
      </c>
      <c r="I90" s="449" t="n">
        <f aca="false">I86+I88</f>
        <v>0</v>
      </c>
      <c r="J90" s="449" t="n">
        <f aca="false">J86+J88</f>
        <v>0</v>
      </c>
      <c r="K90" s="449" t="n">
        <f aca="false">K86+K88</f>
        <v>0</v>
      </c>
      <c r="L90" s="449" t="n">
        <f aca="false">L86+L88</f>
        <v>0</v>
      </c>
      <c r="M90" s="449" t="n">
        <f aca="false">M86+M88</f>
        <v>0</v>
      </c>
      <c r="N90" s="449" t="n">
        <f aca="false">N86+N88</f>
        <v>0</v>
      </c>
      <c r="O90" s="449" t="n">
        <f aca="false">O86+O88</f>
        <v>0</v>
      </c>
      <c r="P90" s="449" t="n">
        <f aca="false">P86+P88</f>
        <v>0</v>
      </c>
      <c r="Q90" s="449" t="n">
        <f aca="false">Q86+Q88</f>
        <v>0</v>
      </c>
      <c r="R90" s="449" t="n">
        <f aca="false">R86+R88</f>
        <v>0</v>
      </c>
      <c r="S90" s="449" t="n">
        <f aca="false">S86+S88</f>
        <v>0</v>
      </c>
      <c r="T90" s="449" t="n">
        <f aca="false">T86+T88</f>
        <v>0</v>
      </c>
      <c r="U90" s="449" t="n">
        <f aca="false">U86+U88</f>
        <v>0</v>
      </c>
      <c r="V90" s="449" t="n">
        <f aca="false">V86+V88</f>
        <v>0</v>
      </c>
      <c r="W90" s="449" t="n">
        <f aca="false">W86+W88</f>
        <v>0</v>
      </c>
      <c r="X90" s="449" t="n">
        <f aca="false">X86+X88</f>
        <v>0</v>
      </c>
      <c r="Y90" s="449" t="n">
        <f aca="false">Y86+Y88</f>
        <v>0</v>
      </c>
      <c r="Z90" s="449" t="n">
        <f aca="false">Z86+Z88</f>
        <v>0</v>
      </c>
      <c r="AA90" s="449" t="n">
        <f aca="false">AA86+AA88</f>
        <v>0</v>
      </c>
      <c r="AB90" s="449" t="n">
        <f aca="false">AB86+AB88</f>
        <v>0</v>
      </c>
      <c r="AC90" s="450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72" activeCellId="0" sqref="E7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8.7"/>
    <col collapsed="false" customWidth="true" hidden="false" outlineLevel="0" max="2" min="2" style="1" width="42.7"/>
    <col collapsed="false" customWidth="true" hidden="false" outlineLevel="0" max="3" min="3" style="1" width="10.41"/>
    <col collapsed="false" customWidth="true" hidden="false" outlineLevel="0" max="4" min="4" style="1" width="1.7"/>
    <col collapsed="false" customWidth="true" hidden="false" outlineLevel="0" max="26" min="5" style="1" width="10.71"/>
    <col collapsed="false" customWidth="true" hidden="false" outlineLevel="0" max="27" min="27" style="39" width="10.71"/>
    <col collapsed="false" customWidth="true" hidden="false" outlineLevel="0" max="28" min="28" style="1" width="10.71"/>
    <col collapsed="false" customWidth="false" hidden="false" outlineLevel="0" max="257" min="29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9"/>
      <c r="F1" s="419"/>
      <c r="G1" s="451"/>
      <c r="H1" s="419"/>
      <c r="I1" s="419"/>
      <c r="J1" s="452"/>
      <c r="K1" s="419"/>
      <c r="L1" s="419"/>
      <c r="M1" s="419"/>
      <c r="N1" s="419"/>
      <c r="O1" s="419"/>
      <c r="P1" s="419"/>
      <c r="Q1" s="419"/>
      <c r="R1" s="418"/>
      <c r="S1" s="419"/>
      <c r="T1" s="419"/>
      <c r="U1" s="419"/>
      <c r="V1" s="419"/>
      <c r="W1" s="419"/>
      <c r="X1" s="419"/>
      <c r="Y1" s="419"/>
      <c r="Z1" s="419"/>
      <c r="AA1" s="67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9"/>
      <c r="F2" s="419"/>
      <c r="G2" s="451"/>
      <c r="H2" s="419"/>
      <c r="I2" s="419"/>
      <c r="J2" s="452"/>
      <c r="K2" s="419"/>
      <c r="L2" s="419"/>
      <c r="M2" s="419"/>
      <c r="N2" s="419"/>
      <c r="O2" s="419"/>
      <c r="P2" s="419"/>
      <c r="Q2" s="419"/>
      <c r="R2" s="418"/>
      <c r="S2" s="419"/>
      <c r="T2" s="419"/>
      <c r="U2" s="419"/>
      <c r="V2" s="419"/>
      <c r="W2" s="419"/>
      <c r="X2" s="419"/>
      <c r="Y2" s="419"/>
      <c r="Z2" s="419"/>
      <c r="AA2" s="67"/>
      <c r="AB2" s="419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53"/>
      <c r="F3" s="419"/>
      <c r="G3" s="451"/>
      <c r="H3" s="419"/>
      <c r="I3" s="419"/>
      <c r="J3" s="452"/>
      <c r="K3" s="419"/>
      <c r="L3" s="419"/>
      <c r="M3" s="419"/>
      <c r="N3" s="419"/>
      <c r="O3" s="419"/>
      <c r="P3" s="419"/>
      <c r="Q3" s="419"/>
      <c r="R3" s="419"/>
      <c r="S3" s="454"/>
      <c r="T3" s="454"/>
      <c r="U3" s="419"/>
      <c r="V3" s="419"/>
      <c r="W3" s="419"/>
      <c r="X3" s="419"/>
      <c r="Y3" s="419"/>
      <c r="Z3" s="419"/>
      <c r="AA3" s="67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495</v>
      </c>
      <c r="B4" s="21"/>
      <c r="C4" s="15"/>
      <c r="D4" s="67"/>
      <c r="E4" s="453"/>
      <c r="F4" s="419"/>
      <c r="G4" s="451"/>
      <c r="H4" s="419"/>
      <c r="I4" s="419"/>
      <c r="J4" s="452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67"/>
      <c r="AB4" s="419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67"/>
      <c r="F5" s="67"/>
      <c r="G5" s="67"/>
      <c r="H5" s="67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67"/>
      <c r="AB5" s="419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313</v>
      </c>
      <c r="B6" s="26"/>
      <c r="C6" s="26"/>
      <c r="D6" s="26"/>
      <c r="E6" s="426" t="n">
        <v>0</v>
      </c>
      <c r="F6" s="26" t="n">
        <f aca="false">IF(F$7&lt;YEAR(Startops1),0,E$6+1)</f>
        <v>0</v>
      </c>
      <c r="G6" s="26" t="n">
        <f aca="false">IF(G$7&lt;YEAR(Startops1),0,F$6+1)</f>
        <v>0</v>
      </c>
      <c r="H6" s="26" t="n">
        <f aca="false">IF(H$7&lt;YEAR(Startops1),0,G$6+1)</f>
        <v>1</v>
      </c>
      <c r="I6" s="26" t="n">
        <f aca="false">IF(I$7&lt;YEAR(Startops1),0,H$6+1)</f>
        <v>2</v>
      </c>
      <c r="J6" s="26" t="n">
        <f aca="false">IF(J$7&lt;YEAR(Startops1),0,I$6+1)</f>
        <v>3</v>
      </c>
      <c r="K6" s="26" t="n">
        <f aca="false">IF(K$7&lt;YEAR(Startops1),0,J$6+1)</f>
        <v>4</v>
      </c>
      <c r="L6" s="26" t="n">
        <f aca="false">IF(L$7&lt;YEAR(Startops1),0,K$6+1)</f>
        <v>5</v>
      </c>
      <c r="M6" s="26" t="n">
        <f aca="false">IF(M$7&lt;YEAR(Startops1),0,L$6+1)</f>
        <v>6</v>
      </c>
      <c r="N6" s="26" t="n">
        <f aca="false">IF(N$7&lt;YEAR(Startops1),0,M$6+1)</f>
        <v>7</v>
      </c>
      <c r="O6" s="26" t="n">
        <f aca="false">IF(O$7&lt;YEAR(Startops1),0,N$6+1)</f>
        <v>8</v>
      </c>
      <c r="P6" s="26" t="n">
        <f aca="false">IF(P$7&lt;YEAR(Startops1),0,O$6+1)</f>
        <v>9</v>
      </c>
      <c r="Q6" s="26" t="n">
        <f aca="false">IF(Q$7&lt;YEAR(Startops1),0,P$6+1)</f>
        <v>10</v>
      </c>
      <c r="R6" s="26" t="n">
        <f aca="false">IF(R$7&lt;YEAR(Startops1),0,Q$6+1)</f>
        <v>11</v>
      </c>
      <c r="S6" s="26" t="n">
        <f aca="false">IF(S$7&lt;YEAR(Startops1),0,R$6+1)</f>
        <v>12</v>
      </c>
      <c r="T6" s="26" t="n">
        <f aca="false">IF(T$7&lt;YEAR(Startops1),0,S$6+1)</f>
        <v>13</v>
      </c>
      <c r="U6" s="26" t="n">
        <f aca="false">IF(U$7&lt;YEAR(Startops1),0,T$6+1)</f>
        <v>14</v>
      </c>
      <c r="V6" s="26" t="n">
        <f aca="false">IF(V$7&lt;YEAR(Startops1),0,U$6+1)</f>
        <v>15</v>
      </c>
      <c r="W6" s="26" t="n">
        <f aca="false">IF(W$7&lt;YEAR(Startops1),0,V$6+1)</f>
        <v>16</v>
      </c>
      <c r="X6" s="26" t="n">
        <f aca="false">IF(X$7&lt;YEAR(Startops1),0,W$6+1)</f>
        <v>17</v>
      </c>
      <c r="Y6" s="26" t="n">
        <f aca="false">IF(Y$7&lt;YEAR(Startops1),0,X$6+1)</f>
        <v>18</v>
      </c>
      <c r="Z6" s="26" t="n">
        <f aca="false">IF(Z$7&lt;YEAR(Startops1),0,Y$6+1)</f>
        <v>19</v>
      </c>
      <c r="AA6" s="288"/>
      <c r="AB6" s="455" t="s">
        <v>213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9" t="s">
        <v>315</v>
      </c>
      <c r="B7" s="22"/>
      <c r="C7" s="22"/>
      <c r="D7" s="50"/>
      <c r="E7" s="292" t="n">
        <v>1998</v>
      </c>
      <c r="F7" s="456" t="n">
        <f aca="false">E7+1</f>
        <v>1999</v>
      </c>
      <c r="G7" s="456" t="n">
        <f aca="false">F7+1</f>
        <v>2000</v>
      </c>
      <c r="H7" s="456" t="n">
        <f aca="false">G7+1</f>
        <v>2001</v>
      </c>
      <c r="I7" s="456" t="n">
        <f aca="false">H7+1</f>
        <v>2002</v>
      </c>
      <c r="J7" s="456" t="n">
        <f aca="false">I7+1</f>
        <v>2003</v>
      </c>
      <c r="K7" s="456" t="n">
        <f aca="false">J7+1</f>
        <v>2004</v>
      </c>
      <c r="L7" s="456" t="n">
        <f aca="false">K7+1</f>
        <v>2005</v>
      </c>
      <c r="M7" s="456" t="n">
        <f aca="false">L7+1</f>
        <v>2006</v>
      </c>
      <c r="N7" s="456" t="n">
        <f aca="false">M7+1</f>
        <v>2007</v>
      </c>
      <c r="O7" s="456" t="n">
        <f aca="false">N7+1</f>
        <v>2008</v>
      </c>
      <c r="P7" s="456" t="n">
        <f aca="false">O7+1</f>
        <v>2009</v>
      </c>
      <c r="Q7" s="456" t="n">
        <f aca="false">P7+1</f>
        <v>2010</v>
      </c>
      <c r="R7" s="456" t="n">
        <f aca="false">Q7+1</f>
        <v>2011</v>
      </c>
      <c r="S7" s="456" t="n">
        <f aca="false">R7+1</f>
        <v>2012</v>
      </c>
      <c r="T7" s="456" t="n">
        <f aca="false">S7+1</f>
        <v>2013</v>
      </c>
      <c r="U7" s="456" t="n">
        <f aca="false">T7+1</f>
        <v>2014</v>
      </c>
      <c r="V7" s="456" t="n">
        <f aca="false">U7+1</f>
        <v>2015</v>
      </c>
      <c r="W7" s="456" t="n">
        <f aca="false">V7+1</f>
        <v>2016</v>
      </c>
      <c r="X7" s="456" t="n">
        <f aca="false">W7+1</f>
        <v>2017</v>
      </c>
      <c r="Y7" s="456" t="n">
        <f aca="false">X7+1</f>
        <v>2018</v>
      </c>
      <c r="Z7" s="456" t="n">
        <f aca="false">Y7+1</f>
        <v>2019</v>
      </c>
      <c r="AA7" s="457" t="s">
        <v>316</v>
      </c>
      <c r="AB7" s="457" t="s">
        <v>496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458"/>
      <c r="B8" s="39"/>
      <c r="C8" s="39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459"/>
      <c r="AB8" s="302"/>
    </row>
    <row r="9" customFormat="false" ht="12.75" hidden="false" customHeight="false" outlineLevel="0" collapsed="false">
      <c r="A9" s="460" t="s">
        <v>497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02"/>
      <c r="AB9" s="302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461"/>
      <c r="B10" s="39" t="s">
        <v>498</v>
      </c>
      <c r="C10" s="39"/>
      <c r="D10" s="329"/>
      <c r="E10" s="61" t="n">
        <f aca="false">IF(E$7&lt;YEAR(Startconst),0,-(HLOOKUP(DATE(E$7,12,31),Idc_Table,IDC!$AP$67)+SUM($D10:D10)))</f>
        <v>-10372.33637</v>
      </c>
      <c r="F10" s="61" t="n">
        <f aca="false">IF(F$7&lt;YEAR(Startconst),0,-(HLOOKUP(DATE(F$7,12,31),Idc_Table,IDC!$AP$67)+SUM($D10:E10)))</f>
        <v>-29627.66364</v>
      </c>
      <c r="G10" s="61" t="n">
        <f aca="false">IF(G$7&lt;YEAR(Startconst),0,-(HLOOKUP(DATE(G$7,12,31),Idc_Table,IDC!$AP$67)+SUM($D10:F10)))</f>
        <v>-20000</v>
      </c>
      <c r="H10" s="61" t="n">
        <f aca="false">IF(H$7&lt;YEAR(Startconst),0,-(HLOOKUP(DATE(H$7,12,31),Idc_Table,IDC!$AP$67)+SUM($D10:G10)))</f>
        <v>-0</v>
      </c>
      <c r="I10" s="61" t="n">
        <f aca="false">IF(I$7&lt;YEAR(Startconst),0,-(HLOOKUP(DATE(I$7,12,31),Idc_Table,IDC!$AP$67)+SUM($D10:H10)))</f>
        <v>-0</v>
      </c>
      <c r="J10" s="61" t="n">
        <f aca="false">IF(J$7&lt;YEAR(Startconst),0,-(HLOOKUP(DATE(J$7,12,31),Idc_Table,IDC!$AP$67)+SUM($D10:I10)))</f>
        <v>-0</v>
      </c>
      <c r="K10" s="61" t="n">
        <f aca="false">IF(K$7&lt;YEAR(Startconst),0,-(HLOOKUP(DATE(K$7,12,31),Idc_Table,IDC!$AP$67)+SUM($D10:J10)))</f>
        <v>-0</v>
      </c>
      <c r="L10" s="61" t="n">
        <f aca="false">IF(L$7&lt;YEAR(Startconst),0,-(HLOOKUP(DATE(L$7,12,31),Idc_Table,IDC!$AP$67)+SUM($D10:K10)))</f>
        <v>-0</v>
      </c>
      <c r="M10" s="61" t="n">
        <f aca="false">IF(M$7&lt;YEAR(Startconst),0,-(HLOOKUP(DATE(M$7,12,31),Idc_Table,IDC!$AP$67)+SUM($D10:L10)))</f>
        <v>-0</v>
      </c>
      <c r="N10" s="61" t="n">
        <f aca="false">IF(N$7&lt;YEAR(Startconst),0,-(HLOOKUP(DATE(N$7,12,31),Idc_Table,IDC!$AP$67)+SUM($D10:M10)))</f>
        <v>-0</v>
      </c>
      <c r="O10" s="61" t="n">
        <f aca="false">IF(O$7&lt;YEAR(Startconst),0,-(HLOOKUP(DATE(O$7,12,31),Idc_Table,IDC!$AP$67)+SUM($D10:N10)))</f>
        <v>-0</v>
      </c>
      <c r="P10" s="61" t="n">
        <f aca="false">IF(P$7&lt;YEAR(Startconst),0,-(HLOOKUP(DATE(P$7,12,31),Idc_Table,IDC!$AP$67)+SUM($D10:O10)))</f>
        <v>-0</v>
      </c>
      <c r="Q10" s="61" t="n">
        <f aca="false">IF(Q$7&lt;YEAR(Startconst),0,-(HLOOKUP(DATE(Q$7,12,31),Idc_Table,IDC!$AP$67)+SUM($D10:P10)))</f>
        <v>-0</v>
      </c>
      <c r="R10" s="61" t="n">
        <f aca="false">IF(R$7&lt;YEAR(Startconst),0,-(HLOOKUP(DATE(R$7,12,31),Idc_Table,IDC!$AP$67)+SUM($D10:Q10)))</f>
        <v>-0</v>
      </c>
      <c r="S10" s="61" t="n">
        <f aca="false">IF(S$7&lt;YEAR(Startconst),0,-(HLOOKUP(DATE(S$7,12,31),Idc_Table,IDC!$AP$67)+SUM($D10:R10)))</f>
        <v>-0</v>
      </c>
      <c r="T10" s="61" t="n">
        <f aca="false">IF(T$7&lt;YEAR(Startconst),0,-(HLOOKUP(DATE(T$7,12,31),Idc_Table,IDC!$AP$67)+SUM($D10:S10)))</f>
        <v>-0</v>
      </c>
      <c r="U10" s="61" t="n">
        <f aca="false">IF(U$7&lt;YEAR(Startconst),0,-(HLOOKUP(DATE(U$7,12,31),Idc_Table,IDC!$AP$67)+SUM($D10:T10)))</f>
        <v>-0</v>
      </c>
      <c r="V10" s="61" t="n">
        <f aca="false">IF(V$7&lt;YEAR(Startconst),0,-(HLOOKUP(DATE(V$7,12,31),Idc_Table,IDC!$AP$67)+SUM($D10:U10)))</f>
        <v>-0</v>
      </c>
      <c r="W10" s="61" t="n">
        <f aca="false">IF(W$7&lt;YEAR(Startconst),0,-(HLOOKUP(DATE(W$7,12,31),Idc_Table,IDC!$AP$67)+SUM($D10:V10)))</f>
        <v>-0</v>
      </c>
      <c r="X10" s="61" t="n">
        <f aca="false">IF(X$7&lt;YEAR(Startconst),0,-(HLOOKUP(DATE(X$7,12,31),Idc_Table,IDC!$AP$67)+SUM($D10:W10)))</f>
        <v>-0</v>
      </c>
      <c r="Y10" s="61" t="n">
        <f aca="false">IF(Y$7&lt;YEAR(Startconst),0,-(HLOOKUP(DATE(Y$7,12,31),Idc_Table,IDC!$AP$67)+SUM($D10:X10)))</f>
        <v>-0</v>
      </c>
      <c r="Z10" s="61" t="n">
        <f aca="false">IF(Z$7&lt;YEAR(Startconst),0,-(HLOOKUP(DATE(Z$7,12,31),Idc_Table,IDC!$AP$67)+SUM($D10:Y10)))</f>
        <v>-0</v>
      </c>
      <c r="AA10" s="309" t="n">
        <f aca="false">SUM(D10:Z10)</f>
        <v>-60000.00001</v>
      </c>
      <c r="AB10" s="309" t="n">
        <f aca="false">$E10+NPV(Disc,$F10:Z10)</f>
        <v>-49392.8290835089</v>
      </c>
      <c r="AC10" s="284" t="str">
        <f aca="false">IF(ABS(AA10+Equity)&lt;0.5," ","CHECK")</f>
        <v> </v>
      </c>
    </row>
    <row r="11" customFormat="false" ht="12.75" hidden="false" customHeight="false" outlineLevel="0" collapsed="false">
      <c r="A11" s="461"/>
      <c r="B11" s="39" t="s">
        <v>499</v>
      </c>
      <c r="C11" s="39"/>
      <c r="D11" s="462"/>
      <c r="E11" s="463" t="n">
        <f aca="false">IF(E$7&lt;YEAR(Startops1),0,HLOOKUP(E$7,CF_Table,CF!$AB$76))</f>
        <v>0</v>
      </c>
      <c r="F11" s="463" t="n">
        <f aca="false">IF(F$7&lt;YEAR(Startops1),0,HLOOKUP(F$7,CF_Table,CF!$AB$76))</f>
        <v>0</v>
      </c>
      <c r="G11" s="463" t="n">
        <f aca="false">IF(G$7&lt;YEAR(Startops1),0,HLOOKUP(G$7,CF_Table,CF!$AB$76))</f>
        <v>0</v>
      </c>
      <c r="H11" s="463" t="n">
        <f aca="false">IF(H$7&lt;YEAR(Startops1),0,HLOOKUP(H$7,CF_Table,CF!$AB$76))</f>
        <v>0</v>
      </c>
      <c r="I11" s="463" t="n">
        <f aca="false">IF(I$7&lt;YEAR(Startops1),0,HLOOKUP(I$7,CF_Table,CF!$AB$76))</f>
        <v>0</v>
      </c>
      <c r="J11" s="463" t="n">
        <f aca="false">IF(J$7&lt;YEAR(Startops1),0,HLOOKUP(J$7,CF_Table,CF!$AB$76))</f>
        <v>0</v>
      </c>
      <c r="K11" s="463" t="n">
        <f aca="false">IF(K$7&lt;YEAR(Startops1),0,HLOOKUP(K$7,CF_Table,CF!$AB$76))</f>
        <v>0</v>
      </c>
      <c r="L11" s="463" t="n">
        <f aca="false">IF(L$7&lt;YEAR(Startops1),0,HLOOKUP(L$7,CF_Table,CF!$AB$76))</f>
        <v>0</v>
      </c>
      <c r="M11" s="463" t="n">
        <f aca="false">IF(M$7&lt;YEAR(Startops1),0,HLOOKUP(M$7,CF_Table,CF!$AB$76))</f>
        <v>1922.31341195928</v>
      </c>
      <c r="N11" s="463" t="n">
        <f aca="false">IF(N$7&lt;YEAR(Startops1),0,HLOOKUP(N$7,CF_Table,CF!$AB$76))</f>
        <v>7146.15292496294</v>
      </c>
      <c r="O11" s="463" t="n">
        <f aca="false">IF(O$7&lt;YEAR(Startops1),0,HLOOKUP(O$7,CF_Table,CF!$AB$76))</f>
        <v>8076.67286379359</v>
      </c>
      <c r="P11" s="463" t="n">
        <f aca="false">IF(P$7&lt;YEAR(Startops1),0,HLOOKUP(P$7,CF_Table,CF!$AB$76))</f>
        <v>9574.3164161304</v>
      </c>
      <c r="Q11" s="463" t="n">
        <f aca="false">IF(Q$7&lt;YEAR(Startops1),0,HLOOKUP(Q$7,CF_Table,CF!$AB$76))</f>
        <v>10565.6318033128</v>
      </c>
      <c r="R11" s="463" t="n">
        <f aca="false">IF(R$7&lt;YEAR(Startops1),0,HLOOKUP(R$7,CF_Table,CF!$AB$76))</f>
        <v>11785.0336207929</v>
      </c>
      <c r="S11" s="463" t="n">
        <f aca="false">IF(S$7&lt;YEAR(Startops1),0,HLOOKUP(S$7,CF_Table,CF!$AB$76))</f>
        <v>13708.6706035186</v>
      </c>
      <c r="T11" s="463" t="n">
        <f aca="false">IF(T$7&lt;YEAR(Startops1),0,HLOOKUP(T$7,CF_Table,CF!$AB$76))</f>
        <v>13261.7094730338</v>
      </c>
      <c r="U11" s="463" t="n">
        <f aca="false">IF(U$7&lt;YEAR(Startops1),0,HLOOKUP(U$7,CF_Table,CF!$AB$76))</f>
        <v>15718.2215792545</v>
      </c>
      <c r="V11" s="463" t="n">
        <f aca="false">IF(V$7&lt;YEAR(Startops1),0,HLOOKUP(V$7,CF_Table,CF!$AB$76))</f>
        <v>16989.560183041</v>
      </c>
      <c r="W11" s="463" t="n">
        <f aca="false">IF(W$7&lt;YEAR(Startops1),0,HLOOKUP(W$7,CF_Table,CF!$AB$76))</f>
        <v>17880.603261494</v>
      </c>
      <c r="X11" s="463" t="n">
        <f aca="false">IF(X$7&lt;YEAR(Startops1),0,HLOOKUP(X$7,CF_Table,CF!$AB$76))</f>
        <v>18647.0614070228</v>
      </c>
      <c r="Y11" s="463" t="n">
        <f aca="false">IF(Y$7&lt;YEAR(Startops1),0,HLOOKUP(Y$7,CF_Table,CF!$AB$76))</f>
        <v>19477.758336208</v>
      </c>
      <c r="Z11" s="463" t="n">
        <f aca="false">IF(Z$7&lt;YEAR(Startops1),0,HLOOKUP(Z$7,CF_Table,CF!$AB$76))</f>
        <v>65285.3381522481</v>
      </c>
      <c r="AA11" s="309" t="n">
        <f aca="false">SUM(D11:Z11)</f>
        <v>230039.044036773</v>
      </c>
      <c r="AB11" s="309" t="n">
        <f aca="false">$E11+NPV(Disc,$F11:Z11)</f>
        <v>15129.2091394931</v>
      </c>
    </row>
    <row r="12" customFormat="false" ht="12.75" hidden="false" customHeight="false" outlineLevel="0" collapsed="false">
      <c r="A12" s="461"/>
      <c r="B12" s="39" t="s">
        <v>500</v>
      </c>
      <c r="C12" s="39"/>
      <c r="D12" s="462"/>
      <c r="E12" s="61" t="n">
        <f aca="false">IF(E$7&lt;YEAR(Startops1),0,-(HLOOKUP(E$7,CF_Table,CF!$AB$73)+HLOOKUP(E$7,CF_Table,CF!$AB$74)))</f>
        <v>0</v>
      </c>
      <c r="F12" s="61" t="n">
        <f aca="false">IF(F$7&lt;YEAR(Startops1),0,-(HLOOKUP(F$7,CF_Table,CF!$AB$73)+HLOOKUP(F$7,CF_Table,CF!$AB$74)))</f>
        <v>0</v>
      </c>
      <c r="G12" s="61" t="n">
        <f aca="false">IF(G$7&lt;YEAR(Startops1),0,-(HLOOKUP(G$7,CF_Table,CF!$AB$73)+HLOOKUP(G$7,CF_Table,CF!$AB$74)))</f>
        <v>0</v>
      </c>
      <c r="H12" s="61" t="n">
        <f aca="false">IF(H$7&lt;YEAR(Startops1),0,-(HLOOKUP(H$7,CF_Table,CF!$AB$73)+HLOOKUP(H$7,CF_Table,CF!$AB$74)))</f>
        <v>6028.02074865771</v>
      </c>
      <c r="I12" s="61" t="n">
        <f aca="false">IF(I$7&lt;YEAR(Startops1),0,-(HLOOKUP(I$7,CF_Table,CF!$AB$73)+HLOOKUP(I$7,CF_Table,CF!$AB$74)))</f>
        <v>5234.85244341261</v>
      </c>
      <c r="J12" s="61" t="n">
        <f aca="false">IF(J$7&lt;YEAR(Startops1),0,-(HLOOKUP(J$7,CF_Table,CF!$AB$73)+HLOOKUP(J$7,CF_Table,CF!$AB$74)))</f>
        <v>3879.78738962163</v>
      </c>
      <c r="K12" s="61" t="n">
        <f aca="false">IF(K$7&lt;YEAR(Startops1),0,-(HLOOKUP(K$7,CF_Table,CF!$AB$73)+HLOOKUP(K$7,CF_Table,CF!$AB$74)))</f>
        <v>5587.90319842053</v>
      </c>
      <c r="L12" s="61" t="n">
        <f aca="false">IF(L$7&lt;YEAR(Startops1),0,-(HLOOKUP(L$7,CF_Table,CF!$AB$73)+HLOOKUP(L$7,CF_Table,CF!$AB$74)))</f>
        <v>1731.72157657644</v>
      </c>
      <c r="M12" s="61" t="n">
        <f aca="false">IF(M$7&lt;YEAR(Startops1),0,-(HLOOKUP(M$7,CF_Table,CF!$AB$73)+HLOOKUP(M$7,CF_Table,CF!$AB$74)))</f>
        <v>3476.89377051009</v>
      </c>
      <c r="N12" s="61" t="n">
        <f aca="false">IF(N$7&lt;YEAR(Startops1),0,-(HLOOKUP(N$7,CF_Table,CF!$AB$73)+HLOOKUP(N$7,CF_Table,CF!$AB$74)))</f>
        <v>-443.610938053462</v>
      </c>
      <c r="O12" s="61" t="n">
        <f aca="false">IF(O$7&lt;YEAR(Startops1),0,-(HLOOKUP(O$7,CF_Table,CF!$AB$73)+HLOOKUP(O$7,CF_Table,CF!$AB$74)))</f>
        <v>2396.6431084536</v>
      </c>
      <c r="P12" s="61" t="n">
        <f aca="false">IF(P$7&lt;YEAR(Startops1),0,-(HLOOKUP(P$7,CF_Table,CF!$AB$73)+HLOOKUP(P$7,CF_Table,CF!$AB$74)))</f>
        <v>5461.98934472067</v>
      </c>
      <c r="Q12" s="61" t="n">
        <f aca="false">IF(Q$7&lt;YEAR(Startops1),0,-(HLOOKUP(Q$7,CF_Table,CF!$AB$73)+HLOOKUP(Q$7,CF_Table,CF!$AB$74)))</f>
        <v>5826.07948230625</v>
      </c>
      <c r="R12" s="61" t="n">
        <f aca="false">IF(R$7&lt;YEAR(Startops1),0,-(HLOOKUP(R$7,CF_Table,CF!$AB$73)+HLOOKUP(R$7,CF_Table,CF!$AB$74)))</f>
        <v>3586.24380559618</v>
      </c>
      <c r="S12" s="61" t="n">
        <f aca="false">IF(S$7&lt;YEAR(Startops1),0,-(HLOOKUP(S$7,CF_Table,CF!$AB$73)+HLOOKUP(S$7,CF_Table,CF!$AB$74)))</f>
        <v>-2107.61341663642</v>
      </c>
      <c r="T12" s="61" t="n">
        <f aca="false">IF(T$7&lt;YEAR(Startops1),0,-(HLOOKUP(T$7,CF_Table,CF!$AB$73)+HLOOKUP(T$7,CF_Table,CF!$AB$74)))</f>
        <v>-1731.10154498464</v>
      </c>
      <c r="U12" s="61" t="n">
        <f aca="false">IF(U$7&lt;YEAR(Startops1),0,-(HLOOKUP(U$7,CF_Table,CF!$AB$73)+HLOOKUP(U$7,CF_Table,CF!$AB$74)))</f>
        <v>-1882.94280065876</v>
      </c>
      <c r="V12" s="61" t="n">
        <f aca="false">IF(V$7&lt;YEAR(Startops1),0,-(HLOOKUP(V$7,CF_Table,CF!$AB$73)+HLOOKUP(V$7,CF_Table,CF!$AB$74)))</f>
        <v>435.876627349615</v>
      </c>
      <c r="W12" s="61" t="n">
        <f aca="false">IF(W$7&lt;YEAR(Startops1),0,-(HLOOKUP(W$7,CF_Table,CF!$AB$73)+HLOOKUP(W$7,CF_Table,CF!$AB$74)))</f>
        <v>6348.95889830674</v>
      </c>
      <c r="X12" s="61" t="n">
        <f aca="false">IF(X$7&lt;YEAR(Startops1),0,-(HLOOKUP(X$7,CF_Table,CF!$AB$73)+HLOOKUP(X$7,CF_Table,CF!$AB$74)))</f>
        <v>6389.29880070299</v>
      </c>
      <c r="Y12" s="61" t="n">
        <f aca="false">IF(Y$7&lt;YEAR(Startops1),0,-(HLOOKUP(Y$7,CF_Table,CF!$AB$73)+HLOOKUP(Y$7,CF_Table,CF!$AB$74)))</f>
        <v>6433.01969171273</v>
      </c>
      <c r="Z12" s="61" t="n">
        <f aca="false">IF(Z$7&lt;YEAR(Startops1),0,-(HLOOKUP(Z$7,CF_Table,CF!$AB$73)+HLOOKUP(Z$7,CF_Table,CF!$AB$74)))</f>
        <v>-56638.7441860766</v>
      </c>
      <c r="AA12" s="309" t="n">
        <f aca="false">SUM(D12:Z12)</f>
        <v>13.2759999379268</v>
      </c>
      <c r="AB12" s="309" t="n">
        <f aca="false">$E12+NPV(Disc,$F12:Z12)</f>
        <v>12225.1777930285</v>
      </c>
    </row>
    <row r="13" customFormat="false" ht="12.75" hidden="false" customHeight="false" outlineLevel="0" collapsed="false">
      <c r="A13" s="461"/>
      <c r="B13" s="39" t="s">
        <v>501</v>
      </c>
      <c r="C13" s="39"/>
      <c r="D13" s="462"/>
      <c r="E13" s="311" t="n">
        <f aca="false">IF(E$7=YEAR(Endyr),Assm!$L$86*Assm!$L$81,0)</f>
        <v>0</v>
      </c>
      <c r="F13" s="311" t="n">
        <f aca="false">IF(F$7=YEAR(Endyr),Assm!$L$86*Assm!$L$81,0)</f>
        <v>0</v>
      </c>
      <c r="G13" s="311" t="n">
        <f aca="false">IF(G$7=YEAR(Endyr),Assm!$L$86*Assm!$L$81,0)</f>
        <v>0</v>
      </c>
      <c r="H13" s="311" t="n">
        <f aca="false">IF(H$7=YEAR(Endyr),Assm!$L$86*Assm!$L$81,0)</f>
        <v>0</v>
      </c>
      <c r="I13" s="311" t="n">
        <f aca="false">IF(I$7=YEAR(Endyr),Assm!$L$86*Assm!$L$81,0)</f>
        <v>0</v>
      </c>
      <c r="J13" s="311" t="n">
        <f aca="false">IF(J$7=YEAR(Endyr),Assm!$L$86*Assm!$L$81,0)</f>
        <v>0</v>
      </c>
      <c r="K13" s="311" t="n">
        <f aca="false">IF(K$7=YEAR(Endyr),Assm!$L$86*Assm!$L$81,0)</f>
        <v>0</v>
      </c>
      <c r="L13" s="311" t="n">
        <f aca="false">IF(L$7=YEAR(Endyr),Assm!$L$86*Assm!$L$81,0)</f>
        <v>0</v>
      </c>
      <c r="M13" s="311" t="n">
        <f aca="false">IF(M$7=YEAR(Endyr),Assm!$L$86*Assm!$L$81,0)</f>
        <v>0</v>
      </c>
      <c r="N13" s="311" t="n">
        <f aca="false">IF(N$7=YEAR(Endyr),Assm!$L$86*Assm!$L$81,0)</f>
        <v>0</v>
      </c>
      <c r="O13" s="311" t="n">
        <f aca="false">IF(O$7=YEAR(Endyr),Assm!$L$86*Assm!$L$81,0)</f>
        <v>0</v>
      </c>
      <c r="P13" s="311" t="n">
        <f aca="false">IF(P$7=YEAR(Endyr),Assm!$L$86*Assm!$L$81,0)</f>
        <v>0</v>
      </c>
      <c r="Q13" s="311" t="n">
        <f aca="false">IF(Q$7=YEAR(Endyr),Assm!$L$86*Assm!$L$81,0)</f>
        <v>0</v>
      </c>
      <c r="R13" s="311" t="n">
        <f aca="false">IF(R$7=YEAR(Endyr),Assm!$L$86*Assm!$L$81,0)</f>
        <v>0</v>
      </c>
      <c r="S13" s="311" t="n">
        <f aca="false">IF(S$7=YEAR(Endyr),Assm!$L$86*Assm!$L$81,0)</f>
        <v>0</v>
      </c>
      <c r="T13" s="311" t="n">
        <f aca="false">IF(T$7=YEAR(Endyr),Assm!$L$86*Assm!$L$81,0)</f>
        <v>0</v>
      </c>
      <c r="U13" s="311" t="n">
        <f aca="false">IF(U$7=YEAR(Endyr),Assm!$L$86*Assm!$L$81,0)</f>
        <v>0</v>
      </c>
      <c r="V13" s="311" t="n">
        <f aca="false">IF(V$7=YEAR(Endyr),Assm!$L$86*Assm!$L$81,0)</f>
        <v>0</v>
      </c>
      <c r="W13" s="311" t="n">
        <f aca="false">IF(W$7=YEAR(Endyr),Assm!$L$86*Assm!$L$81,0)</f>
        <v>0</v>
      </c>
      <c r="X13" s="311" t="n">
        <f aca="false">IF(X$7=YEAR(Endyr),Assm!$L$86*Assm!$L$81,0)</f>
        <v>0</v>
      </c>
      <c r="Y13" s="311" t="n">
        <f aca="false">IF(Y$7=YEAR(Endyr),Assm!$L$86*Assm!$L$81,0)</f>
        <v>0</v>
      </c>
      <c r="Z13" s="311" t="n">
        <f aca="false">IF(Z$7=YEAR(Endyr),Assm!$L$86*Assm!$L$81,0)</f>
        <v>345863.75864686</v>
      </c>
      <c r="AA13" s="313" t="n">
        <f aca="false">SUM(D13:Z13)</f>
        <v>345863.75864686</v>
      </c>
      <c r="AB13" s="313" t="n">
        <f aca="false">$E13+NPV(Disc,$F13:Z13)</f>
        <v>8962.28741972236</v>
      </c>
    </row>
    <row r="14" customFormat="false" ht="12.75" hidden="false" customHeight="false" outlineLevel="0" collapsed="false">
      <c r="A14" s="464"/>
      <c r="B14" s="39" t="s">
        <v>502</v>
      </c>
      <c r="C14" s="39"/>
      <c r="D14" s="465"/>
      <c r="E14" s="61" t="n">
        <f aca="false">SUM(E10:E13)</f>
        <v>-10372.33637</v>
      </c>
      <c r="F14" s="61" t="n">
        <f aca="false">SUM(F10:F13)</f>
        <v>-29627.66364</v>
      </c>
      <c r="G14" s="61" t="n">
        <f aca="false">SUM(G10:G13)</f>
        <v>-20000</v>
      </c>
      <c r="H14" s="61" t="n">
        <f aca="false">SUM(H10:H13)</f>
        <v>6028.02074865771</v>
      </c>
      <c r="I14" s="61" t="n">
        <f aca="false">SUM(I10:I13)</f>
        <v>5234.85244341261</v>
      </c>
      <c r="J14" s="61" t="n">
        <f aca="false">SUM(J10:J13)</f>
        <v>3879.78738962163</v>
      </c>
      <c r="K14" s="61" t="n">
        <f aca="false">SUM(K10:K13)</f>
        <v>5587.90319842053</v>
      </c>
      <c r="L14" s="61" t="n">
        <f aca="false">SUM(L10:L13)</f>
        <v>1731.72157657644</v>
      </c>
      <c r="M14" s="61" t="n">
        <f aca="false">SUM(M10:M13)</f>
        <v>5399.20718246938</v>
      </c>
      <c r="N14" s="61" t="n">
        <f aca="false">SUM(N10:N13)</f>
        <v>6702.54198690948</v>
      </c>
      <c r="O14" s="61" t="n">
        <f aca="false">SUM(O10:O13)</f>
        <v>10473.3159722472</v>
      </c>
      <c r="P14" s="61" t="n">
        <f aca="false">SUM(P10:P13)</f>
        <v>15036.3057608511</v>
      </c>
      <c r="Q14" s="61" t="n">
        <f aca="false">SUM(Q10:Q13)</f>
        <v>16391.7112856191</v>
      </c>
      <c r="R14" s="61" t="n">
        <f aca="false">SUM(R10:R13)</f>
        <v>15371.2774263891</v>
      </c>
      <c r="S14" s="61" t="n">
        <f aca="false">SUM(S10:S13)</f>
        <v>11601.0571868822</v>
      </c>
      <c r="T14" s="61" t="n">
        <f aca="false">SUM(T10:T13)</f>
        <v>11530.6079280492</v>
      </c>
      <c r="U14" s="61" t="n">
        <f aca="false">SUM(U10:U13)</f>
        <v>13835.2787785957</v>
      </c>
      <c r="V14" s="61" t="n">
        <f aca="false">SUM(V10:V13)</f>
        <v>17425.4368103906</v>
      </c>
      <c r="W14" s="61" t="n">
        <f aca="false">SUM(W10:W13)</f>
        <v>24229.5621598008</v>
      </c>
      <c r="X14" s="61" t="n">
        <f aca="false">SUM(X10:X13)</f>
        <v>25036.3602077258</v>
      </c>
      <c r="Y14" s="61" t="n">
        <f aca="false">SUM(Y10:Y13)</f>
        <v>25910.7780279207</v>
      </c>
      <c r="Z14" s="61" t="n">
        <f aca="false">SUM(Z10:Z13)</f>
        <v>354510.352613032</v>
      </c>
      <c r="AA14" s="309" t="n">
        <f aca="false">SUM(D14:Z14)</f>
        <v>515916.078673571</v>
      </c>
      <c r="AB14" s="309" t="n">
        <f aca="false">SUM(AB10:AB13)</f>
        <v>-13076.154731265</v>
      </c>
      <c r="AD14" s="395"/>
      <c r="AE14" s="395"/>
      <c r="AF14" s="395"/>
      <c r="AG14" s="395"/>
      <c r="AH14" s="395"/>
      <c r="AI14" s="395"/>
      <c r="AJ14" s="395"/>
      <c r="AK14" s="395"/>
      <c r="AL14" s="395"/>
      <c r="AM14" s="395"/>
      <c r="AN14" s="395"/>
      <c r="AO14" s="395"/>
      <c r="AP14" s="395"/>
      <c r="AQ14" s="395"/>
      <c r="AR14" s="395"/>
      <c r="AS14" s="395"/>
      <c r="AT14" s="395"/>
      <c r="AU14" s="395"/>
      <c r="AV14" s="395"/>
      <c r="AW14" s="395"/>
      <c r="AX14" s="395"/>
      <c r="AY14" s="395"/>
      <c r="AZ14" s="395"/>
      <c r="BA14" s="395"/>
      <c r="BB14" s="395"/>
      <c r="BC14" s="395"/>
      <c r="BD14" s="395"/>
      <c r="BE14" s="395"/>
      <c r="BF14" s="395"/>
      <c r="BG14" s="395"/>
      <c r="BH14" s="395"/>
      <c r="BI14" s="395"/>
      <c r="BJ14" s="395"/>
      <c r="BK14" s="395"/>
      <c r="BL14" s="395"/>
      <c r="BM14" s="395"/>
      <c r="BN14" s="395"/>
      <c r="BO14" s="395"/>
      <c r="BP14" s="395"/>
      <c r="BQ14" s="395"/>
      <c r="BR14" s="395"/>
      <c r="BS14" s="395"/>
      <c r="BT14" s="395"/>
      <c r="BU14" s="395"/>
      <c r="BV14" s="395"/>
      <c r="BW14" s="395"/>
      <c r="BX14" s="395"/>
      <c r="BY14" s="395"/>
      <c r="BZ14" s="395"/>
      <c r="CA14" s="395"/>
      <c r="CB14" s="395"/>
      <c r="CC14" s="395"/>
      <c r="CD14" s="395"/>
      <c r="CE14" s="395"/>
      <c r="CF14" s="395"/>
      <c r="CG14" s="395"/>
      <c r="CH14" s="395"/>
      <c r="CI14" s="395"/>
      <c r="CJ14" s="395"/>
      <c r="CK14" s="395"/>
      <c r="CL14" s="395"/>
      <c r="CM14" s="395"/>
      <c r="CN14" s="395"/>
      <c r="CO14" s="395"/>
      <c r="CP14" s="395"/>
      <c r="CQ14" s="395"/>
      <c r="CR14" s="395"/>
      <c r="CS14" s="395"/>
      <c r="CT14" s="395"/>
      <c r="CU14" s="395"/>
      <c r="CV14" s="395"/>
      <c r="CW14" s="395"/>
      <c r="CX14" s="395"/>
      <c r="CY14" s="395"/>
      <c r="CZ14" s="395"/>
      <c r="DA14" s="395"/>
      <c r="DB14" s="395"/>
      <c r="DC14" s="395"/>
      <c r="DD14" s="395"/>
      <c r="DE14" s="395"/>
      <c r="DF14" s="395"/>
      <c r="DG14" s="395"/>
      <c r="DH14" s="395"/>
      <c r="DI14" s="395"/>
      <c r="DJ14" s="395"/>
      <c r="DK14" s="395"/>
      <c r="DL14" s="395"/>
      <c r="DM14" s="395"/>
      <c r="DN14" s="395"/>
      <c r="DO14" s="395"/>
      <c r="DP14" s="395"/>
      <c r="DQ14" s="395"/>
      <c r="DR14" s="395"/>
      <c r="DS14" s="395"/>
      <c r="DT14" s="395"/>
      <c r="DU14" s="395"/>
      <c r="DV14" s="395"/>
      <c r="DW14" s="395"/>
      <c r="DX14" s="395"/>
      <c r="DY14" s="395"/>
      <c r="DZ14" s="395"/>
      <c r="EA14" s="395"/>
      <c r="EB14" s="395"/>
      <c r="EC14" s="395"/>
      <c r="ED14" s="395"/>
      <c r="EE14" s="395"/>
      <c r="EF14" s="395"/>
      <c r="EG14" s="395"/>
      <c r="EH14" s="395"/>
      <c r="EI14" s="395"/>
      <c r="EJ14" s="395"/>
      <c r="EK14" s="395"/>
      <c r="EL14" s="395"/>
      <c r="EM14" s="395"/>
      <c r="EN14" s="395"/>
      <c r="EO14" s="395"/>
      <c r="EP14" s="395"/>
      <c r="EQ14" s="395"/>
      <c r="ER14" s="395"/>
      <c r="ES14" s="395"/>
      <c r="ET14" s="395"/>
      <c r="EU14" s="395"/>
      <c r="EV14" s="395"/>
      <c r="EW14" s="395"/>
      <c r="EX14" s="395"/>
      <c r="EY14" s="395"/>
      <c r="EZ14" s="395"/>
      <c r="FA14" s="395"/>
      <c r="FB14" s="395"/>
      <c r="FC14" s="395"/>
      <c r="FD14" s="395"/>
      <c r="FE14" s="395"/>
      <c r="FF14" s="395"/>
      <c r="FG14" s="395"/>
      <c r="FH14" s="395"/>
      <c r="FI14" s="395"/>
      <c r="FJ14" s="395"/>
      <c r="FK14" s="395"/>
      <c r="FL14" s="395"/>
      <c r="FM14" s="395"/>
      <c r="FN14" s="395"/>
      <c r="FO14" s="395"/>
      <c r="FP14" s="395"/>
      <c r="FQ14" s="395"/>
      <c r="FR14" s="395"/>
      <c r="FS14" s="395"/>
      <c r="FT14" s="395"/>
      <c r="FU14" s="395"/>
      <c r="FV14" s="395"/>
      <c r="FW14" s="395"/>
      <c r="FX14" s="395"/>
      <c r="FY14" s="395"/>
      <c r="FZ14" s="395"/>
      <c r="GA14" s="395"/>
      <c r="GB14" s="395"/>
      <c r="GC14" s="395"/>
      <c r="GD14" s="395"/>
      <c r="GE14" s="395"/>
      <c r="GF14" s="395"/>
      <c r="GG14" s="395"/>
      <c r="GH14" s="395"/>
      <c r="GI14" s="395"/>
      <c r="GJ14" s="395"/>
      <c r="GK14" s="395"/>
      <c r="GL14" s="395"/>
      <c r="GM14" s="395"/>
      <c r="GN14" s="395"/>
      <c r="GO14" s="395"/>
      <c r="GP14" s="395"/>
      <c r="GQ14" s="395"/>
      <c r="GR14" s="395"/>
      <c r="GS14" s="395"/>
      <c r="GT14" s="395"/>
      <c r="GU14" s="395"/>
      <c r="GV14" s="395"/>
      <c r="GW14" s="395"/>
      <c r="GX14" s="395"/>
      <c r="GY14" s="395"/>
      <c r="GZ14" s="395"/>
      <c r="HA14" s="395"/>
      <c r="HB14" s="395"/>
      <c r="HC14" s="395"/>
      <c r="HD14" s="395"/>
      <c r="HE14" s="395"/>
      <c r="HF14" s="395"/>
      <c r="HG14" s="395"/>
      <c r="HH14" s="395"/>
      <c r="HI14" s="395"/>
      <c r="HJ14" s="395"/>
      <c r="HK14" s="395"/>
      <c r="HL14" s="395"/>
      <c r="HM14" s="395"/>
      <c r="HN14" s="395"/>
      <c r="HO14" s="395"/>
      <c r="HP14" s="395"/>
      <c r="HQ14" s="395"/>
      <c r="HR14" s="395"/>
      <c r="HS14" s="395"/>
      <c r="HT14" s="395"/>
      <c r="HU14" s="395"/>
      <c r="HV14" s="395"/>
      <c r="HW14" s="395"/>
      <c r="HX14" s="395"/>
      <c r="HY14" s="395"/>
      <c r="HZ14" s="395"/>
      <c r="IA14" s="395"/>
      <c r="IB14" s="395"/>
      <c r="IC14" s="395"/>
      <c r="ID14" s="395"/>
      <c r="IE14" s="395"/>
      <c r="IF14" s="395"/>
      <c r="IG14" s="395"/>
      <c r="IH14" s="395"/>
      <c r="II14" s="395"/>
      <c r="IJ14" s="395"/>
      <c r="IK14" s="395"/>
      <c r="IL14" s="395"/>
      <c r="IM14" s="395"/>
      <c r="IN14" s="395"/>
      <c r="IO14" s="395"/>
      <c r="IP14" s="395"/>
      <c r="IQ14" s="395"/>
      <c r="IR14" s="395"/>
      <c r="IS14" s="395"/>
      <c r="IT14" s="395"/>
      <c r="IU14" s="395"/>
      <c r="IV14" s="395"/>
      <c r="IW14" s="395"/>
    </row>
    <row r="15" customFormat="false" ht="12.75" hidden="false" customHeight="false" outlineLevel="0" collapsed="false">
      <c r="A15" s="464"/>
      <c r="B15" s="39"/>
      <c r="C15" s="39"/>
      <c r="D15" s="465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3"/>
      <c r="AB15" s="466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  <c r="AX15" s="395"/>
      <c r="AY15" s="395"/>
      <c r="AZ15" s="395"/>
      <c r="BA15" s="395"/>
      <c r="BB15" s="395"/>
      <c r="BC15" s="395"/>
      <c r="BD15" s="395"/>
      <c r="BE15" s="395"/>
      <c r="BF15" s="395"/>
      <c r="BG15" s="395"/>
      <c r="BH15" s="395"/>
      <c r="BI15" s="395"/>
      <c r="BJ15" s="395"/>
      <c r="BK15" s="395"/>
      <c r="BL15" s="395"/>
      <c r="BM15" s="395"/>
      <c r="BN15" s="395"/>
      <c r="BO15" s="395"/>
      <c r="BP15" s="395"/>
      <c r="BQ15" s="395"/>
      <c r="BR15" s="395"/>
      <c r="BS15" s="395"/>
      <c r="BT15" s="395"/>
      <c r="BU15" s="395"/>
      <c r="BV15" s="395"/>
      <c r="BW15" s="395"/>
      <c r="BX15" s="395"/>
      <c r="BY15" s="395"/>
      <c r="BZ15" s="395"/>
      <c r="CA15" s="395"/>
      <c r="CB15" s="395"/>
      <c r="CC15" s="395"/>
      <c r="CD15" s="395"/>
      <c r="CE15" s="395"/>
      <c r="CF15" s="395"/>
      <c r="CG15" s="395"/>
      <c r="CH15" s="395"/>
      <c r="CI15" s="395"/>
      <c r="CJ15" s="395"/>
      <c r="CK15" s="395"/>
      <c r="CL15" s="395"/>
      <c r="CM15" s="395"/>
      <c r="CN15" s="395"/>
      <c r="CO15" s="395"/>
      <c r="CP15" s="395"/>
      <c r="CQ15" s="395"/>
      <c r="CR15" s="395"/>
      <c r="CS15" s="395"/>
      <c r="CT15" s="395"/>
      <c r="CU15" s="395"/>
      <c r="CV15" s="395"/>
      <c r="CW15" s="395"/>
      <c r="CX15" s="395"/>
      <c r="CY15" s="395"/>
      <c r="CZ15" s="395"/>
      <c r="DA15" s="395"/>
      <c r="DB15" s="395"/>
      <c r="DC15" s="395"/>
      <c r="DD15" s="395"/>
      <c r="DE15" s="395"/>
      <c r="DF15" s="395"/>
      <c r="DG15" s="395"/>
      <c r="DH15" s="395"/>
      <c r="DI15" s="395"/>
      <c r="DJ15" s="395"/>
      <c r="DK15" s="395"/>
      <c r="DL15" s="395"/>
      <c r="DM15" s="395"/>
      <c r="DN15" s="395"/>
      <c r="DO15" s="395"/>
      <c r="DP15" s="395"/>
      <c r="DQ15" s="395"/>
      <c r="DR15" s="395"/>
      <c r="DS15" s="395"/>
      <c r="DT15" s="395"/>
      <c r="DU15" s="395"/>
      <c r="DV15" s="395"/>
      <c r="DW15" s="395"/>
      <c r="DX15" s="395"/>
      <c r="DY15" s="395"/>
      <c r="DZ15" s="395"/>
      <c r="EA15" s="395"/>
      <c r="EB15" s="395"/>
      <c r="EC15" s="395"/>
      <c r="ED15" s="395"/>
      <c r="EE15" s="395"/>
      <c r="EF15" s="395"/>
      <c r="EG15" s="395"/>
      <c r="EH15" s="395"/>
      <c r="EI15" s="395"/>
      <c r="EJ15" s="395"/>
      <c r="EK15" s="395"/>
      <c r="EL15" s="395"/>
      <c r="EM15" s="395"/>
      <c r="EN15" s="395"/>
      <c r="EO15" s="395"/>
      <c r="EP15" s="395"/>
      <c r="EQ15" s="395"/>
      <c r="ER15" s="395"/>
      <c r="ES15" s="395"/>
      <c r="ET15" s="395"/>
      <c r="EU15" s="395"/>
      <c r="EV15" s="395"/>
      <c r="EW15" s="395"/>
      <c r="EX15" s="395"/>
      <c r="EY15" s="395"/>
      <c r="EZ15" s="395"/>
      <c r="FA15" s="395"/>
      <c r="FB15" s="395"/>
      <c r="FC15" s="395"/>
      <c r="FD15" s="395"/>
      <c r="FE15" s="395"/>
      <c r="FF15" s="395"/>
      <c r="FG15" s="395"/>
      <c r="FH15" s="395"/>
      <c r="FI15" s="395"/>
      <c r="FJ15" s="395"/>
      <c r="FK15" s="395"/>
      <c r="FL15" s="395"/>
      <c r="FM15" s="395"/>
      <c r="FN15" s="395"/>
      <c r="FO15" s="395"/>
      <c r="FP15" s="395"/>
      <c r="FQ15" s="395"/>
      <c r="FR15" s="395"/>
      <c r="FS15" s="395"/>
      <c r="FT15" s="395"/>
      <c r="FU15" s="395"/>
      <c r="FV15" s="395"/>
      <c r="FW15" s="395"/>
      <c r="FX15" s="395"/>
      <c r="FY15" s="395"/>
      <c r="FZ15" s="395"/>
      <c r="GA15" s="395"/>
      <c r="GB15" s="395"/>
      <c r="GC15" s="395"/>
      <c r="GD15" s="395"/>
      <c r="GE15" s="395"/>
      <c r="GF15" s="395"/>
      <c r="GG15" s="395"/>
      <c r="GH15" s="395"/>
      <c r="GI15" s="395"/>
      <c r="GJ15" s="395"/>
      <c r="GK15" s="395"/>
      <c r="GL15" s="395"/>
      <c r="GM15" s="395"/>
      <c r="GN15" s="395"/>
      <c r="GO15" s="395"/>
      <c r="GP15" s="395"/>
      <c r="GQ15" s="395"/>
      <c r="GR15" s="395"/>
      <c r="GS15" s="395"/>
      <c r="GT15" s="395"/>
      <c r="GU15" s="395"/>
      <c r="GV15" s="395"/>
      <c r="GW15" s="395"/>
      <c r="GX15" s="395"/>
      <c r="GY15" s="395"/>
      <c r="GZ15" s="395"/>
      <c r="HA15" s="395"/>
      <c r="HB15" s="395"/>
      <c r="HC15" s="395"/>
      <c r="HD15" s="395"/>
      <c r="HE15" s="395"/>
      <c r="HF15" s="395"/>
      <c r="HG15" s="395"/>
      <c r="HH15" s="395"/>
      <c r="HI15" s="395"/>
      <c r="HJ15" s="395"/>
      <c r="HK15" s="395"/>
      <c r="HL15" s="395"/>
      <c r="HM15" s="395"/>
      <c r="HN15" s="395"/>
      <c r="HO15" s="395"/>
      <c r="HP15" s="395"/>
      <c r="HQ15" s="395"/>
      <c r="HR15" s="395"/>
      <c r="HS15" s="395"/>
      <c r="HT15" s="395"/>
      <c r="HU15" s="395"/>
      <c r="HV15" s="395"/>
      <c r="HW15" s="395"/>
      <c r="HX15" s="395"/>
      <c r="HY15" s="395"/>
      <c r="HZ15" s="395"/>
      <c r="IA15" s="395"/>
      <c r="IB15" s="395"/>
      <c r="IC15" s="395"/>
      <c r="ID15" s="395"/>
      <c r="IE15" s="395"/>
      <c r="IF15" s="395"/>
      <c r="IG15" s="395"/>
      <c r="IH15" s="395"/>
      <c r="II15" s="395"/>
      <c r="IJ15" s="395"/>
      <c r="IK15" s="395"/>
      <c r="IL15" s="395"/>
      <c r="IM15" s="395"/>
      <c r="IN15" s="395"/>
      <c r="IO15" s="395"/>
      <c r="IP15" s="395"/>
      <c r="IQ15" s="395"/>
      <c r="IR15" s="395"/>
      <c r="IS15" s="395"/>
      <c r="IT15" s="395"/>
      <c r="IU15" s="395"/>
      <c r="IV15" s="395"/>
      <c r="IW15" s="395"/>
    </row>
    <row r="16" customFormat="false" ht="12.75" hidden="false" customHeight="false" outlineLevel="0" collapsed="false">
      <c r="A16" s="461"/>
      <c r="B16" s="39" t="s">
        <v>503</v>
      </c>
      <c r="C16" s="39"/>
      <c r="D16" s="329"/>
      <c r="E16" s="61" t="n">
        <f aca="false">$E14</f>
        <v>-10372.33637</v>
      </c>
      <c r="F16" s="61" t="n">
        <f aca="false">$E14+NPV(Disc,$F14:F14)</f>
        <v>-35269.5327061345</v>
      </c>
      <c r="G16" s="61" t="n">
        <f aca="false">$E14+NPV(Disc,$F14:G14)</f>
        <v>-49392.8290835089</v>
      </c>
      <c r="H16" s="61" t="n">
        <f aca="false">$E14+NPV(Disc,$F14:H14)</f>
        <v>-45815.706243078</v>
      </c>
      <c r="I16" s="61" t="n">
        <f aca="false">$E14+NPV(Disc,$F14:I14)</f>
        <v>-43205.2489113169</v>
      </c>
      <c r="J16" s="61" t="n">
        <f aca="false">$E14+NPV(Disc,$F14:J14)</f>
        <v>-41579.4264463499</v>
      </c>
      <c r="K16" s="61" t="n">
        <f aca="false">$E14+NPV(Disc,$F14:K14)</f>
        <v>-39611.6892025503</v>
      </c>
      <c r="L16" s="61" t="n">
        <f aca="false">$E14+NPV(Disc,$F14:L14)</f>
        <v>-39099.2417501868</v>
      </c>
      <c r="M16" s="61" t="n">
        <f aca="false">$E14+NPV(Disc,$F14:M14)</f>
        <v>-37756.6180729314</v>
      </c>
      <c r="N16" s="61" t="n">
        <f aca="false">$E14+NPV(Disc,$F14:N14)</f>
        <v>-36356.0091439049</v>
      </c>
      <c r="O16" s="61" t="n">
        <f aca="false">$E14+NPV(Disc,$F14:O14)</f>
        <v>-34516.8699821447</v>
      </c>
      <c r="P16" s="61" t="n">
        <f aca="false">$E14+NPV(Disc,$F14:P14)</f>
        <v>-32298.0372031474</v>
      </c>
      <c r="Q16" s="61" t="n">
        <f aca="false">$E14+NPV(Disc,$F14:Q14)</f>
        <v>-30265.3958383987</v>
      </c>
      <c r="R16" s="61" t="n">
        <f aca="false">$E14+NPV(Disc,$F14:R14)</f>
        <v>-28663.6283926408</v>
      </c>
      <c r="S16" s="61" t="n">
        <f aca="false">$E14+NPV(Disc,$F14:S14)</f>
        <v>-27647.7537777179</v>
      </c>
      <c r="T16" s="61" t="n">
        <f aca="false">$E14+NPV(Disc,$F14:T14)</f>
        <v>-26799.261714456</v>
      </c>
      <c r="U16" s="61" t="n">
        <f aca="false">$E14+NPV(Disc,$F14:U14)</f>
        <v>-25943.7291749353</v>
      </c>
      <c r="V16" s="61" t="n">
        <f aca="false">$E14+NPV(Disc,$F14:V14)</f>
        <v>-25038.2356900561</v>
      </c>
      <c r="W16" s="61" t="n">
        <f aca="false">$E14+NPV(Disc,$F14:W14)</f>
        <v>-23980.2001376561</v>
      </c>
      <c r="X16" s="61" t="n">
        <f aca="false">$E14+NPV(Disc,$F14:X14)</f>
        <v>-23061.4891197043</v>
      </c>
      <c r="Y16" s="61" t="n">
        <f aca="false">$E14+NPV(Disc,$F14:Y14)</f>
        <v>-22262.4993364804</v>
      </c>
      <c r="Z16" s="61" t="n">
        <f aca="false">$E14+NPV(Disc,$F14:Z14)</f>
        <v>-13076.154731265</v>
      </c>
      <c r="AA16" s="309"/>
      <c r="AB16" s="302"/>
    </row>
    <row r="17" customFormat="false" ht="12.75" hidden="false" customHeight="false" outlineLevel="0" collapsed="false">
      <c r="A17" s="461"/>
      <c r="B17" s="39" t="s">
        <v>504</v>
      </c>
      <c r="C17" s="39"/>
      <c r="D17" s="95"/>
      <c r="E17" s="95" t="e">
        <f aca="false">IRR($E14:E14,-0.9)</f>
        <v>#N/A</v>
      </c>
      <c r="F17" s="95" t="e">
        <f aca="false">IRR($E14:F14,-0.9)</f>
        <v>#N/A</v>
      </c>
      <c r="G17" s="95" t="e">
        <f aca="false">IRR($E14:G14,-0.9)</f>
        <v>#N/A</v>
      </c>
      <c r="H17" s="95" t="n">
        <f aca="false">IRR($E14:H14,-0.9)</f>
        <v>-0.777586013132789</v>
      </c>
      <c r="I17" s="95" t="n">
        <f aca="false">IRR($E14:I14,-0.9)</f>
        <v>-0.528158837723627</v>
      </c>
      <c r="J17" s="95" t="n">
        <f aca="false">IRR($E14:J14,-0.9)</f>
        <v>-0.394664651680418</v>
      </c>
      <c r="K17" s="95" t="n">
        <f aca="false">IRR($E14:K14,-0.9)</f>
        <v>-0.267502674204461</v>
      </c>
      <c r="L17" s="95" t="n">
        <f aca="false">IRR($E14:L14,-0.9)</f>
        <v>-0.23631690108252</v>
      </c>
      <c r="M17" s="95" t="e">
        <f aca="false">IRR($E14:M14,-0.9)</f>
        <v>#N/A</v>
      </c>
      <c r="N17" s="95" t="e">
        <f aca="false">IRR($E14:N14,-0.9)</f>
        <v>#N/A</v>
      </c>
      <c r="O17" s="95" t="e">
        <f aca="false">IRR($E14:O14,-0.9)</f>
        <v>#N/A</v>
      </c>
      <c r="P17" s="95" t="e">
        <f aca="false">IRR($E14:P14,-0.9)</f>
        <v>#N/A</v>
      </c>
      <c r="Q17" s="95" t="e">
        <f aca="false">IRR($E14:Q14,-0.9)</f>
        <v>#N/A</v>
      </c>
      <c r="R17" s="95" t="e">
        <f aca="false">IRR($E14:R14,-0.9)</f>
        <v>#N/A</v>
      </c>
      <c r="S17" s="95" t="e">
        <f aca="false">IRR($E14:S14,-0.9)</f>
        <v>#N/A</v>
      </c>
      <c r="T17" s="95" t="e">
        <f aca="false">IRR($E14:T14,-0.9)</f>
        <v>#N/A</v>
      </c>
      <c r="U17" s="95" t="e">
        <f aca="false">IRR($E14:U14,-0.9)</f>
        <v>#N/A</v>
      </c>
      <c r="V17" s="95" t="e">
        <f aca="false">IRR($E14:V14,-0.9)</f>
        <v>#N/A</v>
      </c>
      <c r="W17" s="95" t="e">
        <f aca="false">IRR($E14:W14,-0.9)</f>
        <v>#N/A</v>
      </c>
      <c r="X17" s="95" t="e">
        <f aca="false">IRR($E14:X14,-0.9)</f>
        <v>#N/A</v>
      </c>
      <c r="Y17" s="95" t="e">
        <f aca="false">IRR($E14:Y14,-0.9)</f>
        <v>#N/A</v>
      </c>
      <c r="Z17" s="95" t="e">
        <f aca="false">IRR($E14:Z14,-0.9)</f>
        <v>#N/A</v>
      </c>
      <c r="AA17" s="302"/>
      <c r="AB17" s="467" t="n">
        <f aca="false">IRR($E14:Z14)</f>
        <v>0.160054846205394</v>
      </c>
    </row>
    <row r="18" customFormat="false" ht="12.75" hidden="false" customHeight="false" outlineLevel="0" collapsed="false">
      <c r="A18" s="461"/>
      <c r="B18" s="39"/>
      <c r="C18" s="39"/>
      <c r="D18" s="468"/>
      <c r="E18" s="469"/>
      <c r="F18" s="468"/>
      <c r="G18" s="468"/>
      <c r="H18" s="468"/>
      <c r="I18" s="468"/>
      <c r="J18" s="468"/>
      <c r="K18" s="468"/>
      <c r="L18" s="468"/>
      <c r="M18" s="468"/>
      <c r="N18" s="468"/>
      <c r="O18" s="468"/>
      <c r="P18" s="468"/>
      <c r="Q18" s="468"/>
      <c r="R18" s="468"/>
      <c r="S18" s="468"/>
      <c r="T18" s="468"/>
      <c r="U18" s="468"/>
      <c r="V18" s="468"/>
      <c r="W18" s="468"/>
      <c r="X18" s="468"/>
      <c r="Y18" s="468"/>
      <c r="Z18" s="468"/>
      <c r="AA18" s="302"/>
      <c r="AB18" s="302"/>
    </row>
    <row r="19" customFormat="false" ht="12.75" hidden="false" customHeight="false" outlineLevel="0" collapsed="false">
      <c r="A19" s="461"/>
      <c r="B19" s="470" t="str">
        <f aca="false">CONCATENATE("Project NPV @ ",TEXT(Disc,"0.0%")," (w/o TC)")</f>
        <v>Project NPV @ 19.0% (w/o TC)</v>
      </c>
      <c r="C19" s="471" t="n">
        <f aca="false">AB14</f>
        <v>-13076.154731265</v>
      </c>
      <c r="D19" s="39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468"/>
      <c r="AA19" s="302"/>
      <c r="AB19" s="302"/>
    </row>
    <row r="20" customFormat="false" ht="12.75" hidden="false" customHeight="false" outlineLevel="0" collapsed="false">
      <c r="A20" s="461"/>
      <c r="B20" s="472" t="s">
        <v>505</v>
      </c>
      <c r="C20" s="473" t="n">
        <f aca="false">AB17</f>
        <v>0.160054846205394</v>
      </c>
      <c r="D20" s="39"/>
      <c r="E20" s="468"/>
      <c r="F20" s="468"/>
      <c r="G20" s="468"/>
      <c r="H20" s="468"/>
      <c r="I20" s="468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302"/>
      <c r="AB20" s="302"/>
    </row>
    <row r="21" customFormat="false" ht="13.5" hidden="false" customHeight="false" outlineLevel="0" collapsed="false">
      <c r="A21" s="280"/>
      <c r="B21" s="474" t="s">
        <v>506</v>
      </c>
      <c r="C21" s="475" t="n">
        <f aca="false">MAX(E21:Z21)</f>
        <v>0</v>
      </c>
      <c r="D21" s="476"/>
      <c r="E21" s="476" t="n">
        <f aca="false">IF(AND(E16&gt;0,D16&lt;0),E$6,0)</f>
        <v>0</v>
      </c>
      <c r="F21" s="476" t="n">
        <f aca="false">IF(AND(F16&gt;0,E16&lt;0),F$6,0)</f>
        <v>0</v>
      </c>
      <c r="G21" s="476" t="n">
        <f aca="false">IF(AND(G16&gt;0,F16&lt;0),G$6,0)</f>
        <v>0</v>
      </c>
      <c r="H21" s="476" t="n">
        <f aca="false">IF(AND(H16&gt;0,G16&lt;0),H$6,0)</f>
        <v>0</v>
      </c>
      <c r="I21" s="476" t="n">
        <f aca="false">IF(AND(I16&gt;0,H16&lt;0),I$6,0)</f>
        <v>0</v>
      </c>
      <c r="J21" s="476" t="n">
        <f aca="false">IF(AND(J16&gt;0,I16&lt;0),J$6,0)</f>
        <v>0</v>
      </c>
      <c r="K21" s="476" t="n">
        <f aca="false">IF(AND(K16&gt;0,J16&lt;0),K$6,0)</f>
        <v>0</v>
      </c>
      <c r="L21" s="476" t="n">
        <f aca="false">IF(AND(L16&gt;0,K16&lt;0),L$6,0)</f>
        <v>0</v>
      </c>
      <c r="M21" s="476" t="n">
        <f aca="false">IF(AND(M16&gt;0,L16&lt;0),M$6,0)</f>
        <v>0</v>
      </c>
      <c r="N21" s="476" t="n">
        <f aca="false">IF(AND(N16&gt;0,M16&lt;0),N$6,0)</f>
        <v>0</v>
      </c>
      <c r="O21" s="476" t="n">
        <f aca="false">IF(AND(O16&gt;0,N16&lt;0),O$6,0)</f>
        <v>0</v>
      </c>
      <c r="P21" s="476" t="n">
        <f aca="false">IF(AND(P16&gt;0,O16&lt;0),P$6,0)</f>
        <v>0</v>
      </c>
      <c r="Q21" s="476" t="n">
        <f aca="false">IF(AND(Q16&gt;0,P16&lt;0),Q$6,0)</f>
        <v>0</v>
      </c>
      <c r="R21" s="476" t="n">
        <f aca="false">IF(AND(R16&gt;0,Q16&lt;0),R$6,0)</f>
        <v>0</v>
      </c>
      <c r="S21" s="476" t="n">
        <f aca="false">IF(AND(S16&gt;0,R16&lt;0),S$6,0)</f>
        <v>0</v>
      </c>
      <c r="T21" s="476" t="n">
        <f aca="false">IF(AND(T16&gt;0,S16&lt;0),T$6,0)</f>
        <v>0</v>
      </c>
      <c r="U21" s="476" t="n">
        <f aca="false">IF(AND(U16&gt;0,T16&lt;0),U$6,0)</f>
        <v>0</v>
      </c>
      <c r="V21" s="476" t="n">
        <f aca="false">IF(AND(V16&gt;0,U16&lt;0),V$6,0)</f>
        <v>0</v>
      </c>
      <c r="W21" s="476" t="n">
        <f aca="false">IF(AND(W16&gt;0,V16&lt;0),W$6,0)</f>
        <v>0</v>
      </c>
      <c r="X21" s="476" t="n">
        <f aca="false">IF(AND(X16&gt;0,W16&lt;0),X$6,0)</f>
        <v>0</v>
      </c>
      <c r="Y21" s="476" t="n">
        <f aca="false">IF(AND(Y16&gt;0,X16&lt;0),Y$6,0)</f>
        <v>0</v>
      </c>
      <c r="Z21" s="476" t="n">
        <f aca="false">IF(AND(Z16&gt;0,Y16&lt;0),Z$6,0)</f>
        <v>0</v>
      </c>
      <c r="AA21" s="362"/>
      <c r="AB21" s="362"/>
    </row>
    <row r="22" customFormat="false" ht="13.5" hidden="false" customHeight="false" outlineLevel="0" collapsed="false">
      <c r="A22" s="47"/>
      <c r="B22" s="38"/>
      <c r="C22" s="38"/>
      <c r="D22" s="477"/>
      <c r="E22" s="478"/>
      <c r="F22" s="478"/>
      <c r="G22" s="478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  <c r="T22" s="478"/>
      <c r="U22" s="478"/>
      <c r="V22" s="478"/>
      <c r="W22" s="478"/>
      <c r="X22" s="478"/>
      <c r="Y22" s="478"/>
      <c r="Z22" s="478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12.75" hidden="false" customHeight="false" outlineLevel="0" collapsed="false">
      <c r="A23" s="458" t="s">
        <v>507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88"/>
      <c r="AB23" s="288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</row>
    <row r="24" customFormat="false" ht="12.75" hidden="false" customHeight="false" outlineLevel="0" collapsed="false">
      <c r="A24" s="479" t="n">
        <f aca="false">IF(Assm!$L$66=1,Assm!$K$69,Assm!$K$61)</f>
        <v>0.3</v>
      </c>
      <c r="B24" s="301" t="s">
        <v>498</v>
      </c>
      <c r="C24" s="301"/>
      <c r="D24" s="480"/>
      <c r="E24" s="318" t="n">
        <f aca="false">E$10*$A24</f>
        <v>-3111.700911</v>
      </c>
      <c r="F24" s="318" t="n">
        <f aca="false">F$10*$A24</f>
        <v>-8888.299092</v>
      </c>
      <c r="G24" s="318" t="n">
        <f aca="false">G$10*$A24</f>
        <v>-6000</v>
      </c>
      <c r="H24" s="318" t="n">
        <f aca="false">H$10*$A24</f>
        <v>-0</v>
      </c>
      <c r="I24" s="318" t="n">
        <f aca="false">I$10*$A24</f>
        <v>-0</v>
      </c>
      <c r="J24" s="318" t="n">
        <f aca="false">J$10*$A24</f>
        <v>-0</v>
      </c>
      <c r="K24" s="318" t="n">
        <f aca="false">K$10*$A24</f>
        <v>-0</v>
      </c>
      <c r="L24" s="318" t="n">
        <f aca="false">L$10*$A24</f>
        <v>-0</v>
      </c>
      <c r="M24" s="318" t="n">
        <f aca="false">M$10*$A24</f>
        <v>-0</v>
      </c>
      <c r="N24" s="318" t="n">
        <f aca="false">N$10*$A24</f>
        <v>-0</v>
      </c>
      <c r="O24" s="318" t="n">
        <f aca="false">O$10*$A24</f>
        <v>-0</v>
      </c>
      <c r="P24" s="318" t="n">
        <f aca="false">P$10*$A24</f>
        <v>-0</v>
      </c>
      <c r="Q24" s="318" t="n">
        <f aca="false">Q$10*$A24</f>
        <v>-0</v>
      </c>
      <c r="R24" s="318" t="n">
        <f aca="false">R$10*$A24</f>
        <v>-0</v>
      </c>
      <c r="S24" s="318" t="n">
        <f aca="false">S$10*$A24</f>
        <v>-0</v>
      </c>
      <c r="T24" s="318" t="n">
        <f aca="false">T$10*$A24</f>
        <v>-0</v>
      </c>
      <c r="U24" s="318" t="n">
        <f aca="false">U$10*$A24</f>
        <v>-0</v>
      </c>
      <c r="V24" s="318" t="n">
        <f aca="false">V$10*$A24</f>
        <v>-0</v>
      </c>
      <c r="W24" s="318" t="n">
        <f aca="false">W$10*$A24</f>
        <v>-0</v>
      </c>
      <c r="X24" s="318" t="n">
        <f aca="false">X$10*$A24</f>
        <v>-0</v>
      </c>
      <c r="Y24" s="318" t="n">
        <f aca="false">Y$10*$A24</f>
        <v>-0</v>
      </c>
      <c r="Z24" s="318" t="n">
        <f aca="false">Z$10*$A24</f>
        <v>-0</v>
      </c>
      <c r="AA24" s="481" t="n">
        <f aca="false">SUM(D24:Z24)</f>
        <v>-18000.000003</v>
      </c>
      <c r="AB24" s="481" t="n">
        <f aca="false">$E24+NPV(Disc,$F24:Z24)</f>
        <v>-14817.8487250527</v>
      </c>
      <c r="AC24" s="482"/>
      <c r="AD24" s="482"/>
      <c r="AE24" s="482"/>
      <c r="AF24" s="482"/>
      <c r="AG24" s="482"/>
      <c r="AH24" s="482"/>
      <c r="AI24" s="482"/>
      <c r="AJ24" s="482"/>
      <c r="AK24" s="482"/>
      <c r="AL24" s="482"/>
      <c r="AM24" s="482"/>
      <c r="AN24" s="482"/>
      <c r="AO24" s="482"/>
      <c r="AP24" s="482"/>
      <c r="AQ24" s="482"/>
      <c r="AR24" s="482"/>
      <c r="AS24" s="482"/>
      <c r="AT24" s="482"/>
      <c r="AU24" s="482"/>
      <c r="AV24" s="482"/>
      <c r="AW24" s="482"/>
      <c r="AX24" s="482"/>
      <c r="AY24" s="482"/>
      <c r="AZ24" s="482"/>
      <c r="BA24" s="482"/>
      <c r="BB24" s="482"/>
      <c r="BC24" s="482"/>
      <c r="BD24" s="482"/>
      <c r="BE24" s="482"/>
      <c r="BF24" s="482"/>
      <c r="BG24" s="482"/>
      <c r="BH24" s="482"/>
      <c r="BI24" s="482"/>
      <c r="BJ24" s="482"/>
      <c r="BK24" s="482"/>
      <c r="BL24" s="482"/>
      <c r="BM24" s="482"/>
      <c r="BN24" s="482"/>
      <c r="BO24" s="482"/>
      <c r="BP24" s="482"/>
      <c r="BQ24" s="482"/>
      <c r="BR24" s="482"/>
      <c r="BS24" s="482"/>
      <c r="BT24" s="482"/>
      <c r="BU24" s="482"/>
      <c r="BV24" s="482"/>
      <c r="BW24" s="482"/>
      <c r="BX24" s="482"/>
      <c r="BY24" s="482"/>
      <c r="BZ24" s="482"/>
      <c r="CA24" s="482"/>
      <c r="CB24" s="482"/>
      <c r="CC24" s="482"/>
      <c r="CD24" s="482"/>
      <c r="CE24" s="482"/>
      <c r="CF24" s="482"/>
      <c r="CG24" s="482"/>
      <c r="CH24" s="482"/>
      <c r="CI24" s="482"/>
      <c r="CJ24" s="482"/>
      <c r="CK24" s="482"/>
      <c r="CL24" s="482"/>
      <c r="CM24" s="482"/>
      <c r="CN24" s="482"/>
      <c r="CO24" s="482"/>
      <c r="CP24" s="482"/>
      <c r="CQ24" s="482"/>
      <c r="CR24" s="482"/>
      <c r="CS24" s="482"/>
      <c r="CT24" s="482"/>
      <c r="CU24" s="482"/>
      <c r="CV24" s="482"/>
      <c r="CW24" s="482"/>
      <c r="CX24" s="482"/>
      <c r="CY24" s="482"/>
      <c r="CZ24" s="482"/>
      <c r="DA24" s="482"/>
      <c r="DB24" s="482"/>
      <c r="DC24" s="482"/>
      <c r="DD24" s="482"/>
      <c r="DE24" s="482"/>
      <c r="DF24" s="482"/>
      <c r="DG24" s="482"/>
      <c r="DH24" s="482"/>
      <c r="DI24" s="482"/>
      <c r="DJ24" s="482"/>
      <c r="DK24" s="482"/>
      <c r="DL24" s="482"/>
      <c r="DM24" s="482"/>
      <c r="DN24" s="482"/>
      <c r="DO24" s="482"/>
      <c r="DP24" s="482"/>
      <c r="DQ24" s="482"/>
      <c r="DR24" s="482"/>
      <c r="DS24" s="482"/>
      <c r="DT24" s="482"/>
      <c r="DU24" s="482"/>
      <c r="DV24" s="482"/>
      <c r="DW24" s="482"/>
      <c r="DX24" s="482"/>
      <c r="DY24" s="482"/>
      <c r="DZ24" s="482"/>
      <c r="EA24" s="482"/>
      <c r="EB24" s="482"/>
      <c r="EC24" s="482"/>
      <c r="ED24" s="482"/>
      <c r="EE24" s="482"/>
      <c r="EF24" s="482"/>
      <c r="EG24" s="482"/>
      <c r="EH24" s="482"/>
      <c r="EI24" s="482"/>
      <c r="EJ24" s="482"/>
      <c r="EK24" s="482"/>
      <c r="EL24" s="482"/>
      <c r="EM24" s="482"/>
      <c r="EN24" s="482"/>
      <c r="EO24" s="482"/>
      <c r="EP24" s="482"/>
      <c r="EQ24" s="482"/>
      <c r="ER24" s="482"/>
      <c r="ES24" s="482"/>
      <c r="ET24" s="482"/>
      <c r="EU24" s="482"/>
      <c r="EV24" s="482"/>
      <c r="EW24" s="482"/>
      <c r="EX24" s="482"/>
      <c r="EY24" s="482"/>
      <c r="EZ24" s="482"/>
      <c r="FA24" s="482"/>
      <c r="FB24" s="482"/>
      <c r="FC24" s="482"/>
      <c r="FD24" s="482"/>
      <c r="FE24" s="482"/>
      <c r="FF24" s="482"/>
      <c r="FG24" s="482"/>
      <c r="FH24" s="482"/>
      <c r="FI24" s="482"/>
      <c r="FJ24" s="482"/>
      <c r="FK24" s="482"/>
      <c r="FL24" s="482"/>
      <c r="FM24" s="482"/>
      <c r="FN24" s="482"/>
      <c r="FO24" s="482"/>
      <c r="FP24" s="482"/>
      <c r="FQ24" s="482"/>
      <c r="FR24" s="482"/>
      <c r="FS24" s="482"/>
      <c r="FT24" s="482"/>
      <c r="FU24" s="482"/>
      <c r="FV24" s="482"/>
      <c r="FW24" s="482"/>
      <c r="FX24" s="482"/>
      <c r="FY24" s="482"/>
      <c r="FZ24" s="482"/>
      <c r="GA24" s="482"/>
      <c r="GB24" s="482"/>
      <c r="GC24" s="482"/>
      <c r="GD24" s="482"/>
      <c r="GE24" s="482"/>
      <c r="GF24" s="482"/>
      <c r="GG24" s="482"/>
      <c r="GH24" s="482"/>
      <c r="GI24" s="482"/>
      <c r="GJ24" s="482"/>
      <c r="GK24" s="482"/>
      <c r="GL24" s="482"/>
      <c r="GM24" s="482"/>
      <c r="GN24" s="482"/>
      <c r="GO24" s="482"/>
      <c r="GP24" s="482"/>
      <c r="GQ24" s="482"/>
      <c r="GR24" s="482"/>
      <c r="GS24" s="482"/>
      <c r="GT24" s="482"/>
      <c r="GU24" s="482"/>
      <c r="GV24" s="482"/>
      <c r="GW24" s="482"/>
      <c r="GX24" s="482"/>
      <c r="GY24" s="482"/>
      <c r="GZ24" s="482"/>
      <c r="HA24" s="482"/>
      <c r="HB24" s="482"/>
      <c r="HC24" s="482"/>
      <c r="HD24" s="482"/>
      <c r="HE24" s="482"/>
      <c r="HF24" s="482"/>
      <c r="HG24" s="482"/>
      <c r="HH24" s="482"/>
      <c r="HI24" s="482"/>
      <c r="HJ24" s="482"/>
      <c r="HK24" s="482"/>
      <c r="HL24" s="482"/>
      <c r="HM24" s="482"/>
      <c r="HN24" s="482"/>
      <c r="HO24" s="482"/>
      <c r="HP24" s="482"/>
      <c r="HQ24" s="482"/>
      <c r="HR24" s="482"/>
      <c r="HS24" s="482"/>
      <c r="HT24" s="482"/>
      <c r="HU24" s="482"/>
      <c r="HV24" s="482"/>
      <c r="HW24" s="482"/>
      <c r="HX24" s="482"/>
      <c r="HY24" s="482"/>
      <c r="HZ24" s="482"/>
      <c r="IA24" s="482"/>
      <c r="IB24" s="482"/>
      <c r="IC24" s="482"/>
      <c r="ID24" s="482"/>
      <c r="IE24" s="482"/>
      <c r="IF24" s="482"/>
      <c r="IG24" s="482"/>
      <c r="IH24" s="482"/>
      <c r="II24" s="482"/>
      <c r="IJ24" s="482"/>
      <c r="IK24" s="482"/>
      <c r="IL24" s="482"/>
      <c r="IM24" s="482"/>
      <c r="IN24" s="482"/>
      <c r="IO24" s="482"/>
      <c r="IP24" s="482"/>
      <c r="IQ24" s="482"/>
      <c r="IR24" s="482"/>
      <c r="IS24" s="482"/>
      <c r="IT24" s="482"/>
      <c r="IU24" s="482"/>
      <c r="IV24" s="482"/>
      <c r="IW24" s="482"/>
    </row>
    <row r="25" customFormat="false" ht="12.75" hidden="false" customHeight="false" outlineLevel="0" collapsed="false">
      <c r="A25" s="483" t="n">
        <f aca="false">IF(Assm!L66=1,Assm!$L$69,Assm!$L$61)</f>
        <v>0.3</v>
      </c>
      <c r="B25" s="484" t="s">
        <v>499</v>
      </c>
      <c r="C25" s="484"/>
      <c r="D25" s="485"/>
      <c r="E25" s="486" t="n">
        <f aca="false">E$11*$A25</f>
        <v>0</v>
      </c>
      <c r="F25" s="486" t="n">
        <f aca="false">F$11*$A25</f>
        <v>0</v>
      </c>
      <c r="G25" s="486" t="n">
        <f aca="false">G$11*$A25</f>
        <v>0</v>
      </c>
      <c r="H25" s="486" t="n">
        <f aca="false">H$11*$A25</f>
        <v>0</v>
      </c>
      <c r="I25" s="486" t="n">
        <f aca="false">I$11*$A25</f>
        <v>0</v>
      </c>
      <c r="J25" s="486" t="n">
        <f aca="false">J$11*$A25</f>
        <v>0</v>
      </c>
      <c r="K25" s="486" t="n">
        <f aca="false">K$11*$A25</f>
        <v>0</v>
      </c>
      <c r="L25" s="486" t="n">
        <f aca="false">L$11*$A25</f>
        <v>0</v>
      </c>
      <c r="M25" s="486" t="n">
        <f aca="false">M$11*$A25</f>
        <v>576.694023587785</v>
      </c>
      <c r="N25" s="486" t="n">
        <f aca="false">N$11*$A25</f>
        <v>2143.84587748888</v>
      </c>
      <c r="O25" s="486" t="n">
        <f aca="false">O$11*$A25</f>
        <v>2423.00185913808</v>
      </c>
      <c r="P25" s="486" t="n">
        <f aca="false">P$11*$A25</f>
        <v>2872.29492483912</v>
      </c>
      <c r="Q25" s="486" t="n">
        <f aca="false">Q$11*$A25</f>
        <v>3169.68954099385</v>
      </c>
      <c r="R25" s="486" t="n">
        <f aca="false">R$11*$A25</f>
        <v>3535.51008623787</v>
      </c>
      <c r="S25" s="486" t="n">
        <f aca="false">S$11*$A25</f>
        <v>4112.60118105558</v>
      </c>
      <c r="T25" s="486" t="n">
        <f aca="false">T$11*$A25</f>
        <v>3978.51284191015</v>
      </c>
      <c r="U25" s="486" t="n">
        <f aca="false">U$11*$A25</f>
        <v>4715.46647377635</v>
      </c>
      <c r="V25" s="486" t="n">
        <f aca="false">V$11*$A25</f>
        <v>5096.86805491228</v>
      </c>
      <c r="W25" s="486" t="n">
        <f aca="false">W$11*$A25</f>
        <v>5364.18097844821</v>
      </c>
      <c r="X25" s="486" t="n">
        <f aca="false">X$11*$A25</f>
        <v>5594.11842210685</v>
      </c>
      <c r="Y25" s="486" t="n">
        <f aca="false">Y$11*$A25</f>
        <v>5843.3275008624</v>
      </c>
      <c r="Z25" s="486" t="n">
        <f aca="false">Z$11*$A25</f>
        <v>19585.6014456744</v>
      </c>
      <c r="AA25" s="487" t="n">
        <f aca="false">SUM(D25:Z25)</f>
        <v>69011.7132110318</v>
      </c>
      <c r="AB25" s="487" t="n">
        <f aca="false">$E25+NPV(Disc,$F25:Z25)</f>
        <v>4538.76274184793</v>
      </c>
      <c r="AC25" s="488"/>
      <c r="AD25" s="488"/>
      <c r="AE25" s="488"/>
      <c r="AF25" s="488"/>
      <c r="AG25" s="488"/>
      <c r="AH25" s="488"/>
      <c r="AI25" s="488"/>
      <c r="AJ25" s="488"/>
      <c r="AK25" s="488"/>
      <c r="AL25" s="488"/>
      <c r="AM25" s="488"/>
      <c r="AN25" s="488"/>
      <c r="AO25" s="488"/>
      <c r="AP25" s="488"/>
      <c r="AQ25" s="488"/>
      <c r="AR25" s="488"/>
      <c r="AS25" s="488"/>
      <c r="AT25" s="488"/>
      <c r="AU25" s="488"/>
      <c r="AV25" s="488"/>
      <c r="AW25" s="488"/>
      <c r="AX25" s="488"/>
      <c r="AY25" s="488"/>
      <c r="AZ25" s="488"/>
      <c r="BA25" s="488"/>
      <c r="BB25" s="488"/>
      <c r="BC25" s="488"/>
      <c r="BD25" s="488"/>
      <c r="BE25" s="488"/>
      <c r="BF25" s="488"/>
      <c r="BG25" s="488"/>
      <c r="BH25" s="488"/>
      <c r="BI25" s="488"/>
      <c r="BJ25" s="488"/>
      <c r="BK25" s="488"/>
      <c r="BL25" s="488"/>
      <c r="BM25" s="488"/>
      <c r="BN25" s="488"/>
      <c r="BO25" s="488"/>
      <c r="BP25" s="488"/>
      <c r="BQ25" s="488"/>
      <c r="BR25" s="488"/>
      <c r="BS25" s="488"/>
      <c r="BT25" s="488"/>
      <c r="BU25" s="488"/>
      <c r="BV25" s="488"/>
      <c r="BW25" s="488"/>
      <c r="BX25" s="488"/>
      <c r="BY25" s="488"/>
      <c r="BZ25" s="488"/>
      <c r="CA25" s="488"/>
      <c r="CB25" s="488"/>
      <c r="CC25" s="488"/>
      <c r="CD25" s="488"/>
      <c r="CE25" s="488"/>
      <c r="CF25" s="488"/>
      <c r="CG25" s="488"/>
      <c r="CH25" s="488"/>
      <c r="CI25" s="488"/>
      <c r="CJ25" s="488"/>
      <c r="CK25" s="488"/>
      <c r="CL25" s="488"/>
      <c r="CM25" s="488"/>
      <c r="CN25" s="488"/>
      <c r="CO25" s="488"/>
      <c r="CP25" s="488"/>
      <c r="CQ25" s="488"/>
      <c r="CR25" s="488"/>
      <c r="CS25" s="488"/>
      <c r="CT25" s="488"/>
      <c r="CU25" s="488"/>
      <c r="CV25" s="488"/>
      <c r="CW25" s="488"/>
      <c r="CX25" s="488"/>
      <c r="CY25" s="488"/>
      <c r="CZ25" s="488"/>
      <c r="DA25" s="488"/>
      <c r="DB25" s="488"/>
      <c r="DC25" s="488"/>
      <c r="DD25" s="488"/>
      <c r="DE25" s="488"/>
      <c r="DF25" s="488"/>
      <c r="DG25" s="488"/>
      <c r="DH25" s="488"/>
      <c r="DI25" s="488"/>
      <c r="DJ25" s="488"/>
      <c r="DK25" s="488"/>
      <c r="DL25" s="488"/>
      <c r="DM25" s="488"/>
      <c r="DN25" s="488"/>
      <c r="DO25" s="488"/>
      <c r="DP25" s="488"/>
      <c r="DQ25" s="488"/>
      <c r="DR25" s="488"/>
      <c r="DS25" s="488"/>
      <c r="DT25" s="488"/>
      <c r="DU25" s="488"/>
      <c r="DV25" s="488"/>
      <c r="DW25" s="488"/>
      <c r="DX25" s="488"/>
      <c r="DY25" s="488"/>
      <c r="DZ25" s="488"/>
      <c r="EA25" s="488"/>
      <c r="EB25" s="488"/>
      <c r="EC25" s="488"/>
      <c r="ED25" s="488"/>
      <c r="EE25" s="488"/>
      <c r="EF25" s="488"/>
      <c r="EG25" s="488"/>
      <c r="EH25" s="488"/>
      <c r="EI25" s="488"/>
      <c r="EJ25" s="488"/>
      <c r="EK25" s="488"/>
      <c r="EL25" s="488"/>
      <c r="EM25" s="488"/>
      <c r="EN25" s="488"/>
      <c r="EO25" s="488"/>
      <c r="EP25" s="488"/>
      <c r="EQ25" s="488"/>
      <c r="ER25" s="488"/>
      <c r="ES25" s="488"/>
      <c r="ET25" s="488"/>
      <c r="EU25" s="488"/>
      <c r="EV25" s="488"/>
      <c r="EW25" s="488"/>
      <c r="EX25" s="488"/>
      <c r="EY25" s="488"/>
      <c r="EZ25" s="488"/>
      <c r="FA25" s="488"/>
      <c r="FB25" s="488"/>
      <c r="FC25" s="488"/>
      <c r="FD25" s="488"/>
      <c r="FE25" s="488"/>
      <c r="FF25" s="488"/>
      <c r="FG25" s="488"/>
      <c r="FH25" s="488"/>
      <c r="FI25" s="488"/>
      <c r="FJ25" s="488"/>
      <c r="FK25" s="488"/>
      <c r="FL25" s="488"/>
      <c r="FM25" s="488"/>
      <c r="FN25" s="488"/>
      <c r="FO25" s="488"/>
      <c r="FP25" s="488"/>
      <c r="FQ25" s="488"/>
      <c r="FR25" s="488"/>
      <c r="FS25" s="488"/>
      <c r="FT25" s="488"/>
      <c r="FU25" s="488"/>
      <c r="FV25" s="488"/>
      <c r="FW25" s="488"/>
      <c r="FX25" s="488"/>
      <c r="FY25" s="488"/>
      <c r="FZ25" s="488"/>
      <c r="GA25" s="488"/>
      <c r="GB25" s="488"/>
      <c r="GC25" s="488"/>
      <c r="GD25" s="488"/>
      <c r="GE25" s="488"/>
      <c r="GF25" s="488"/>
      <c r="GG25" s="488"/>
      <c r="GH25" s="488"/>
      <c r="GI25" s="488"/>
      <c r="GJ25" s="488"/>
      <c r="GK25" s="488"/>
      <c r="GL25" s="488"/>
      <c r="GM25" s="488"/>
      <c r="GN25" s="488"/>
      <c r="GO25" s="488"/>
      <c r="GP25" s="488"/>
      <c r="GQ25" s="488"/>
      <c r="GR25" s="488"/>
      <c r="GS25" s="488"/>
      <c r="GT25" s="488"/>
      <c r="GU25" s="488"/>
      <c r="GV25" s="488"/>
      <c r="GW25" s="488"/>
      <c r="GX25" s="488"/>
      <c r="GY25" s="488"/>
      <c r="GZ25" s="488"/>
      <c r="HA25" s="488"/>
      <c r="HB25" s="488"/>
      <c r="HC25" s="488"/>
      <c r="HD25" s="488"/>
      <c r="HE25" s="488"/>
      <c r="HF25" s="488"/>
      <c r="HG25" s="488"/>
      <c r="HH25" s="488"/>
      <c r="HI25" s="488"/>
      <c r="HJ25" s="488"/>
      <c r="HK25" s="488"/>
      <c r="HL25" s="488"/>
      <c r="HM25" s="488"/>
      <c r="HN25" s="488"/>
      <c r="HO25" s="488"/>
      <c r="HP25" s="488"/>
      <c r="HQ25" s="488"/>
      <c r="HR25" s="488"/>
      <c r="HS25" s="488"/>
      <c r="HT25" s="488"/>
      <c r="HU25" s="488"/>
      <c r="HV25" s="488"/>
      <c r="HW25" s="488"/>
      <c r="HX25" s="488"/>
      <c r="HY25" s="488"/>
      <c r="HZ25" s="488"/>
      <c r="IA25" s="488"/>
      <c r="IB25" s="488"/>
      <c r="IC25" s="488"/>
      <c r="ID25" s="488"/>
      <c r="IE25" s="488"/>
      <c r="IF25" s="488"/>
      <c r="IG25" s="488"/>
      <c r="IH25" s="488"/>
      <c r="II25" s="488"/>
      <c r="IJ25" s="488"/>
      <c r="IK25" s="488"/>
      <c r="IL25" s="488"/>
      <c r="IM25" s="488"/>
      <c r="IN25" s="488"/>
      <c r="IO25" s="488"/>
      <c r="IP25" s="488"/>
      <c r="IQ25" s="488"/>
      <c r="IR25" s="488"/>
      <c r="IS25" s="488"/>
      <c r="IT25" s="488"/>
      <c r="IU25" s="488"/>
      <c r="IV25" s="488"/>
      <c r="IW25" s="488"/>
    </row>
    <row r="26" customFormat="false" ht="12.75" hidden="false" customHeight="false" outlineLevel="0" collapsed="false">
      <c r="A26" s="489"/>
      <c r="B26" s="484" t="s">
        <v>508</v>
      </c>
      <c r="C26" s="490" t="n">
        <f aca="false">Wh_Div_NR</f>
        <v>0.125</v>
      </c>
      <c r="D26" s="485"/>
      <c r="E26" s="491" t="n">
        <f aca="false">-E25*$C26</f>
        <v>-0</v>
      </c>
      <c r="F26" s="491" t="n">
        <f aca="false">-F25*$C26</f>
        <v>-0</v>
      </c>
      <c r="G26" s="491" t="n">
        <f aca="false">-G25*$C26</f>
        <v>-0</v>
      </c>
      <c r="H26" s="491" t="n">
        <f aca="false">-H25*$C26</f>
        <v>-0</v>
      </c>
      <c r="I26" s="491" t="n">
        <f aca="false">-I25*$C26</f>
        <v>-0</v>
      </c>
      <c r="J26" s="491" t="n">
        <f aca="false">-J25*$C26</f>
        <v>-0</v>
      </c>
      <c r="K26" s="491" t="n">
        <f aca="false">-K25*$C26</f>
        <v>-0</v>
      </c>
      <c r="L26" s="491" t="n">
        <f aca="false">-L25*$C26</f>
        <v>-0</v>
      </c>
      <c r="M26" s="491" t="n">
        <f aca="false">-M25*$C26</f>
        <v>-72.0867529484731</v>
      </c>
      <c r="N26" s="491" t="n">
        <f aca="false">-N25*$C26</f>
        <v>-267.98073468611</v>
      </c>
      <c r="O26" s="491" t="n">
        <f aca="false">-O25*$C26</f>
        <v>-302.87523239226</v>
      </c>
      <c r="P26" s="491" t="n">
        <f aca="false">-P25*$C26</f>
        <v>-359.03686560489</v>
      </c>
      <c r="Q26" s="491" t="n">
        <f aca="false">-Q25*$C26</f>
        <v>-396.211192624231</v>
      </c>
      <c r="R26" s="491" t="n">
        <f aca="false">-R25*$C26</f>
        <v>-441.938760779733</v>
      </c>
      <c r="S26" s="491" t="n">
        <f aca="false">-S25*$C26</f>
        <v>-514.075147631948</v>
      </c>
      <c r="T26" s="491" t="n">
        <f aca="false">-T25*$C26</f>
        <v>-497.314105238769</v>
      </c>
      <c r="U26" s="491" t="n">
        <f aca="false">-U25*$C26</f>
        <v>-589.433309222044</v>
      </c>
      <c r="V26" s="491" t="n">
        <f aca="false">-V25*$C26</f>
        <v>-637.108506864036</v>
      </c>
      <c r="W26" s="491" t="n">
        <f aca="false">-W25*$C26</f>
        <v>-670.522622306026</v>
      </c>
      <c r="X26" s="491" t="n">
        <f aca="false">-X25*$C26</f>
        <v>-699.264802763356</v>
      </c>
      <c r="Y26" s="491" t="n">
        <f aca="false">-Y25*$C26</f>
        <v>-730.4159376078</v>
      </c>
      <c r="Z26" s="491" t="n">
        <f aca="false">-Z25*$C26</f>
        <v>-2448.2001807093</v>
      </c>
      <c r="AA26" s="487" t="n">
        <f aca="false">SUM(D26:Z26)</f>
        <v>-8626.46415137898</v>
      </c>
      <c r="AB26" s="487" t="n">
        <f aca="false">$E26+NPV(Disc,$F26:Z26)</f>
        <v>-567.345342730991</v>
      </c>
      <c r="AC26" s="488"/>
      <c r="AD26" s="488"/>
      <c r="AE26" s="488"/>
      <c r="AF26" s="488"/>
      <c r="AG26" s="488"/>
      <c r="AH26" s="488"/>
      <c r="AI26" s="488"/>
      <c r="AJ26" s="488"/>
      <c r="AK26" s="488"/>
      <c r="AL26" s="488"/>
      <c r="AM26" s="488"/>
      <c r="AN26" s="488"/>
      <c r="AO26" s="488"/>
      <c r="AP26" s="488"/>
      <c r="AQ26" s="488"/>
      <c r="AR26" s="488"/>
      <c r="AS26" s="488"/>
      <c r="AT26" s="488"/>
      <c r="AU26" s="488"/>
      <c r="AV26" s="488"/>
      <c r="AW26" s="488"/>
      <c r="AX26" s="488"/>
      <c r="AY26" s="488"/>
      <c r="AZ26" s="488"/>
      <c r="BA26" s="488"/>
      <c r="BB26" s="488"/>
      <c r="BC26" s="488"/>
      <c r="BD26" s="488"/>
      <c r="BE26" s="488"/>
      <c r="BF26" s="488"/>
      <c r="BG26" s="488"/>
      <c r="BH26" s="488"/>
      <c r="BI26" s="488"/>
      <c r="BJ26" s="488"/>
      <c r="BK26" s="488"/>
      <c r="BL26" s="488"/>
      <c r="BM26" s="488"/>
      <c r="BN26" s="488"/>
      <c r="BO26" s="488"/>
      <c r="BP26" s="488"/>
      <c r="BQ26" s="488"/>
      <c r="BR26" s="488"/>
      <c r="BS26" s="488"/>
      <c r="BT26" s="488"/>
      <c r="BU26" s="488"/>
      <c r="BV26" s="488"/>
      <c r="BW26" s="488"/>
      <c r="BX26" s="488"/>
      <c r="BY26" s="488"/>
      <c r="BZ26" s="488"/>
      <c r="CA26" s="488"/>
      <c r="CB26" s="488"/>
      <c r="CC26" s="488"/>
      <c r="CD26" s="488"/>
      <c r="CE26" s="488"/>
      <c r="CF26" s="488"/>
      <c r="CG26" s="488"/>
      <c r="CH26" s="488"/>
      <c r="CI26" s="488"/>
      <c r="CJ26" s="488"/>
      <c r="CK26" s="488"/>
      <c r="CL26" s="488"/>
      <c r="CM26" s="488"/>
      <c r="CN26" s="488"/>
      <c r="CO26" s="488"/>
      <c r="CP26" s="488"/>
      <c r="CQ26" s="488"/>
      <c r="CR26" s="488"/>
      <c r="CS26" s="488"/>
      <c r="CT26" s="488"/>
      <c r="CU26" s="488"/>
      <c r="CV26" s="488"/>
      <c r="CW26" s="488"/>
      <c r="CX26" s="488"/>
      <c r="CY26" s="488"/>
      <c r="CZ26" s="488"/>
      <c r="DA26" s="488"/>
      <c r="DB26" s="488"/>
      <c r="DC26" s="488"/>
      <c r="DD26" s="488"/>
      <c r="DE26" s="488"/>
      <c r="DF26" s="488"/>
      <c r="DG26" s="488"/>
      <c r="DH26" s="488"/>
      <c r="DI26" s="488"/>
      <c r="DJ26" s="488"/>
      <c r="DK26" s="488"/>
      <c r="DL26" s="488"/>
      <c r="DM26" s="488"/>
      <c r="DN26" s="488"/>
      <c r="DO26" s="488"/>
      <c r="DP26" s="488"/>
      <c r="DQ26" s="488"/>
      <c r="DR26" s="488"/>
      <c r="DS26" s="488"/>
      <c r="DT26" s="488"/>
      <c r="DU26" s="488"/>
      <c r="DV26" s="488"/>
      <c r="DW26" s="488"/>
      <c r="DX26" s="488"/>
      <c r="DY26" s="488"/>
      <c r="DZ26" s="488"/>
      <c r="EA26" s="488"/>
      <c r="EB26" s="488"/>
      <c r="EC26" s="488"/>
      <c r="ED26" s="488"/>
      <c r="EE26" s="488"/>
      <c r="EF26" s="488"/>
      <c r="EG26" s="488"/>
      <c r="EH26" s="488"/>
      <c r="EI26" s="488"/>
      <c r="EJ26" s="488"/>
      <c r="EK26" s="488"/>
      <c r="EL26" s="488"/>
      <c r="EM26" s="488"/>
      <c r="EN26" s="488"/>
      <c r="EO26" s="488"/>
      <c r="EP26" s="488"/>
      <c r="EQ26" s="488"/>
      <c r="ER26" s="488"/>
      <c r="ES26" s="488"/>
      <c r="ET26" s="488"/>
      <c r="EU26" s="488"/>
      <c r="EV26" s="488"/>
      <c r="EW26" s="488"/>
      <c r="EX26" s="488"/>
      <c r="EY26" s="488"/>
      <c r="EZ26" s="488"/>
      <c r="FA26" s="488"/>
      <c r="FB26" s="488"/>
      <c r="FC26" s="488"/>
      <c r="FD26" s="488"/>
      <c r="FE26" s="488"/>
      <c r="FF26" s="488"/>
      <c r="FG26" s="488"/>
      <c r="FH26" s="488"/>
      <c r="FI26" s="488"/>
      <c r="FJ26" s="488"/>
      <c r="FK26" s="488"/>
      <c r="FL26" s="488"/>
      <c r="FM26" s="488"/>
      <c r="FN26" s="488"/>
      <c r="FO26" s="488"/>
      <c r="FP26" s="488"/>
      <c r="FQ26" s="488"/>
      <c r="FR26" s="488"/>
      <c r="FS26" s="488"/>
      <c r="FT26" s="488"/>
      <c r="FU26" s="488"/>
      <c r="FV26" s="488"/>
      <c r="FW26" s="488"/>
      <c r="FX26" s="488"/>
      <c r="FY26" s="488"/>
      <c r="FZ26" s="488"/>
      <c r="GA26" s="488"/>
      <c r="GB26" s="488"/>
      <c r="GC26" s="488"/>
      <c r="GD26" s="488"/>
      <c r="GE26" s="488"/>
      <c r="GF26" s="488"/>
      <c r="GG26" s="488"/>
      <c r="GH26" s="488"/>
      <c r="GI26" s="488"/>
      <c r="GJ26" s="488"/>
      <c r="GK26" s="488"/>
      <c r="GL26" s="488"/>
      <c r="GM26" s="488"/>
      <c r="GN26" s="488"/>
      <c r="GO26" s="488"/>
      <c r="GP26" s="488"/>
      <c r="GQ26" s="488"/>
      <c r="GR26" s="488"/>
      <c r="GS26" s="488"/>
      <c r="GT26" s="488"/>
      <c r="GU26" s="488"/>
      <c r="GV26" s="488"/>
      <c r="GW26" s="488"/>
      <c r="GX26" s="488"/>
      <c r="GY26" s="488"/>
      <c r="GZ26" s="488"/>
      <c r="HA26" s="488"/>
      <c r="HB26" s="488"/>
      <c r="HC26" s="488"/>
      <c r="HD26" s="488"/>
      <c r="HE26" s="488"/>
      <c r="HF26" s="488"/>
      <c r="HG26" s="488"/>
      <c r="HH26" s="488"/>
      <c r="HI26" s="488"/>
      <c r="HJ26" s="488"/>
      <c r="HK26" s="488"/>
      <c r="HL26" s="488"/>
      <c r="HM26" s="488"/>
      <c r="HN26" s="488"/>
      <c r="HO26" s="488"/>
      <c r="HP26" s="488"/>
      <c r="HQ26" s="488"/>
      <c r="HR26" s="488"/>
      <c r="HS26" s="488"/>
      <c r="HT26" s="488"/>
      <c r="HU26" s="488"/>
      <c r="HV26" s="488"/>
      <c r="HW26" s="488"/>
      <c r="HX26" s="488"/>
      <c r="HY26" s="488"/>
      <c r="HZ26" s="488"/>
      <c r="IA26" s="488"/>
      <c r="IB26" s="488"/>
      <c r="IC26" s="488"/>
      <c r="ID26" s="488"/>
      <c r="IE26" s="488"/>
      <c r="IF26" s="488"/>
      <c r="IG26" s="488"/>
      <c r="IH26" s="488"/>
      <c r="II26" s="488"/>
      <c r="IJ26" s="488"/>
      <c r="IK26" s="488"/>
      <c r="IL26" s="488"/>
      <c r="IM26" s="488"/>
      <c r="IN26" s="488"/>
      <c r="IO26" s="488"/>
      <c r="IP26" s="488"/>
      <c r="IQ26" s="488"/>
      <c r="IR26" s="488"/>
      <c r="IS26" s="488"/>
      <c r="IT26" s="488"/>
      <c r="IU26" s="488"/>
      <c r="IV26" s="488"/>
      <c r="IW26" s="488"/>
    </row>
    <row r="27" customFormat="false" ht="12.75" hidden="false" customHeight="false" outlineLevel="0" collapsed="false">
      <c r="A27" s="461"/>
      <c r="B27" s="39" t="s">
        <v>501</v>
      </c>
      <c r="C27" s="153"/>
      <c r="D27" s="462"/>
      <c r="E27" s="218" t="n">
        <f aca="false">E$13*$A25</f>
        <v>0</v>
      </c>
      <c r="F27" s="218" t="n">
        <f aca="false">F$13*$A25</f>
        <v>0</v>
      </c>
      <c r="G27" s="218" t="n">
        <f aca="false">G$13*$A25</f>
        <v>0</v>
      </c>
      <c r="H27" s="218" t="n">
        <f aca="false">H$13*$A25</f>
        <v>0</v>
      </c>
      <c r="I27" s="218" t="n">
        <f aca="false">I$13*$A25</f>
        <v>0</v>
      </c>
      <c r="J27" s="218" t="n">
        <f aca="false">J$13*$A25</f>
        <v>0</v>
      </c>
      <c r="K27" s="218" t="n">
        <f aca="false">K$13*$A25</f>
        <v>0</v>
      </c>
      <c r="L27" s="218" t="n">
        <f aca="false">L$13*$A25</f>
        <v>0</v>
      </c>
      <c r="M27" s="218" t="n">
        <f aca="false">M$13*$A25</f>
        <v>0</v>
      </c>
      <c r="N27" s="218" t="n">
        <f aca="false">N$13*$A25</f>
        <v>0</v>
      </c>
      <c r="O27" s="218" t="n">
        <f aca="false">O$13*$A25</f>
        <v>0</v>
      </c>
      <c r="P27" s="218" t="n">
        <f aca="false">P$13*$A25</f>
        <v>0</v>
      </c>
      <c r="Q27" s="218" t="n">
        <f aca="false">Q$13*$A25</f>
        <v>0</v>
      </c>
      <c r="R27" s="218" t="n">
        <f aca="false">R$13*$A25</f>
        <v>0</v>
      </c>
      <c r="S27" s="218" t="n">
        <f aca="false">S$13*$A25</f>
        <v>0</v>
      </c>
      <c r="T27" s="218" t="n">
        <f aca="false">T$13*$A25</f>
        <v>0</v>
      </c>
      <c r="U27" s="218" t="n">
        <f aca="false">U$13*$A25</f>
        <v>0</v>
      </c>
      <c r="V27" s="218" t="n">
        <f aca="false">V$13*$A25</f>
        <v>0</v>
      </c>
      <c r="W27" s="218" t="n">
        <f aca="false">W$13*$A25</f>
        <v>0</v>
      </c>
      <c r="X27" s="218" t="n">
        <f aca="false">X$13*$A25</f>
        <v>0</v>
      </c>
      <c r="Y27" s="218" t="n">
        <f aca="false">Y$13*$A25</f>
        <v>0</v>
      </c>
      <c r="Z27" s="218" t="n">
        <f aca="false">Z$13*$A25</f>
        <v>103759.127594058</v>
      </c>
      <c r="AA27" s="309" t="n">
        <f aca="false">SUM(D27:Z27)</f>
        <v>103759.127594058</v>
      </c>
      <c r="AB27" s="309" t="n">
        <f aca="false">$E27+NPV(Disc,$F27:Z27)</f>
        <v>2688.68622591671</v>
      </c>
    </row>
    <row r="28" customFormat="false" ht="12.75" hidden="false" customHeight="false" outlineLevel="0" collapsed="false">
      <c r="A28" s="489"/>
      <c r="B28" s="484" t="s">
        <v>509</v>
      </c>
      <c r="C28" s="492"/>
      <c r="D28" s="485"/>
      <c r="E28" s="493" t="n">
        <f aca="false">E$12*$A25</f>
        <v>0</v>
      </c>
      <c r="F28" s="493" t="n">
        <f aca="false">F$12*$A25</f>
        <v>0</v>
      </c>
      <c r="G28" s="493" t="n">
        <f aca="false">G$12*$A25</f>
        <v>0</v>
      </c>
      <c r="H28" s="493" t="n">
        <f aca="false">H$12*$A25</f>
        <v>1808.40622459731</v>
      </c>
      <c r="I28" s="493" t="n">
        <f aca="false">I$12*$A25</f>
        <v>1570.45573302378</v>
      </c>
      <c r="J28" s="493" t="n">
        <f aca="false">J$12*$A25</f>
        <v>1163.93621688649</v>
      </c>
      <c r="K28" s="493" t="n">
        <f aca="false">K$12*$A25</f>
        <v>1676.37095952616</v>
      </c>
      <c r="L28" s="493" t="n">
        <f aca="false">L$12*$A25</f>
        <v>519.516472972931</v>
      </c>
      <c r="M28" s="493" t="n">
        <f aca="false">M$12*$A25</f>
        <v>1043.06813115303</v>
      </c>
      <c r="N28" s="493" t="n">
        <f aca="false">N$12*$A25</f>
        <v>-133.083281416039</v>
      </c>
      <c r="O28" s="493" t="n">
        <f aca="false">O$12*$A25</f>
        <v>718.992932536079</v>
      </c>
      <c r="P28" s="493" t="n">
        <f aca="false">P$12*$A25</f>
        <v>1638.5968034162</v>
      </c>
      <c r="Q28" s="493" t="n">
        <f aca="false">Q$12*$A25</f>
        <v>1747.82384469188</v>
      </c>
      <c r="R28" s="493" t="n">
        <f aca="false">R$12*$A25</f>
        <v>1075.87314167885</v>
      </c>
      <c r="S28" s="493" t="n">
        <f aca="false">S$12*$A25</f>
        <v>-632.284024990926</v>
      </c>
      <c r="T28" s="493" t="n">
        <f aca="false">T$12*$A25</f>
        <v>-519.330463495391</v>
      </c>
      <c r="U28" s="493" t="n">
        <f aca="false">U$12*$A25</f>
        <v>-564.882840197629</v>
      </c>
      <c r="V28" s="493" t="n">
        <f aca="false">V$12*$A25</f>
        <v>130.762988204884</v>
      </c>
      <c r="W28" s="493" t="n">
        <f aca="false">W$12*$A25</f>
        <v>1904.68766949202</v>
      </c>
      <c r="X28" s="493" t="n">
        <f aca="false">X$12*$A25</f>
        <v>1916.7896402109</v>
      </c>
      <c r="Y28" s="493" t="n">
        <f aca="false">Y$12*$A25</f>
        <v>1929.90590751382</v>
      </c>
      <c r="Z28" s="493" t="n">
        <f aca="false">Z$12*$A25</f>
        <v>-16991.623255823</v>
      </c>
      <c r="AA28" s="487" t="n">
        <f aca="false">SUM(D28:Z28)</f>
        <v>3.98279998137878</v>
      </c>
      <c r="AB28" s="487" t="n">
        <f aca="false">$E28+NPV(Disc,$F28:Z28)</f>
        <v>3667.55333790855</v>
      </c>
      <c r="AC28" s="488"/>
      <c r="AD28" s="488"/>
      <c r="AE28" s="488"/>
      <c r="AF28" s="488"/>
      <c r="AG28" s="488"/>
      <c r="AH28" s="488"/>
      <c r="AI28" s="488"/>
      <c r="AJ28" s="488"/>
      <c r="AK28" s="488"/>
      <c r="AL28" s="488"/>
      <c r="AM28" s="488"/>
      <c r="AN28" s="488"/>
      <c r="AO28" s="488"/>
      <c r="AP28" s="488"/>
      <c r="AQ28" s="488"/>
      <c r="AR28" s="488"/>
      <c r="AS28" s="488"/>
      <c r="AT28" s="488"/>
      <c r="AU28" s="488"/>
      <c r="AV28" s="488"/>
      <c r="AW28" s="488"/>
      <c r="AX28" s="488"/>
      <c r="AY28" s="488"/>
      <c r="AZ28" s="488"/>
      <c r="BA28" s="488"/>
      <c r="BB28" s="488"/>
      <c r="BC28" s="488"/>
      <c r="BD28" s="488"/>
      <c r="BE28" s="488"/>
      <c r="BF28" s="488"/>
      <c r="BG28" s="488"/>
      <c r="BH28" s="488"/>
      <c r="BI28" s="488"/>
      <c r="BJ28" s="488"/>
      <c r="BK28" s="488"/>
      <c r="BL28" s="488"/>
      <c r="BM28" s="488"/>
      <c r="BN28" s="488"/>
      <c r="BO28" s="488"/>
      <c r="BP28" s="488"/>
      <c r="BQ28" s="488"/>
      <c r="BR28" s="488"/>
      <c r="BS28" s="488"/>
      <c r="BT28" s="488"/>
      <c r="BU28" s="488"/>
      <c r="BV28" s="488"/>
      <c r="BW28" s="488"/>
      <c r="BX28" s="488"/>
      <c r="BY28" s="488"/>
      <c r="BZ28" s="488"/>
      <c r="CA28" s="488"/>
      <c r="CB28" s="488"/>
      <c r="CC28" s="488"/>
      <c r="CD28" s="488"/>
      <c r="CE28" s="488"/>
      <c r="CF28" s="488"/>
      <c r="CG28" s="488"/>
      <c r="CH28" s="488"/>
      <c r="CI28" s="488"/>
      <c r="CJ28" s="488"/>
      <c r="CK28" s="488"/>
      <c r="CL28" s="488"/>
      <c r="CM28" s="488"/>
      <c r="CN28" s="488"/>
      <c r="CO28" s="488"/>
      <c r="CP28" s="488"/>
      <c r="CQ28" s="488"/>
      <c r="CR28" s="488"/>
      <c r="CS28" s="488"/>
      <c r="CT28" s="488"/>
      <c r="CU28" s="488"/>
      <c r="CV28" s="488"/>
      <c r="CW28" s="488"/>
      <c r="CX28" s="488"/>
      <c r="CY28" s="488"/>
      <c r="CZ28" s="488"/>
      <c r="DA28" s="488"/>
      <c r="DB28" s="488"/>
      <c r="DC28" s="488"/>
      <c r="DD28" s="488"/>
      <c r="DE28" s="488"/>
      <c r="DF28" s="488"/>
      <c r="DG28" s="488"/>
      <c r="DH28" s="488"/>
      <c r="DI28" s="488"/>
      <c r="DJ28" s="488"/>
      <c r="DK28" s="488"/>
      <c r="DL28" s="488"/>
      <c r="DM28" s="488"/>
      <c r="DN28" s="488"/>
      <c r="DO28" s="488"/>
      <c r="DP28" s="488"/>
      <c r="DQ28" s="488"/>
      <c r="DR28" s="488"/>
      <c r="DS28" s="488"/>
      <c r="DT28" s="488"/>
      <c r="DU28" s="488"/>
      <c r="DV28" s="488"/>
      <c r="DW28" s="488"/>
      <c r="DX28" s="488"/>
      <c r="DY28" s="488"/>
      <c r="DZ28" s="488"/>
      <c r="EA28" s="488"/>
      <c r="EB28" s="488"/>
      <c r="EC28" s="488"/>
      <c r="ED28" s="488"/>
      <c r="EE28" s="488"/>
      <c r="EF28" s="488"/>
      <c r="EG28" s="488"/>
      <c r="EH28" s="488"/>
      <c r="EI28" s="488"/>
      <c r="EJ28" s="488"/>
      <c r="EK28" s="488"/>
      <c r="EL28" s="488"/>
      <c r="EM28" s="488"/>
      <c r="EN28" s="488"/>
      <c r="EO28" s="488"/>
      <c r="EP28" s="488"/>
      <c r="EQ28" s="488"/>
      <c r="ER28" s="488"/>
      <c r="ES28" s="488"/>
      <c r="ET28" s="488"/>
      <c r="EU28" s="488"/>
      <c r="EV28" s="488"/>
      <c r="EW28" s="488"/>
      <c r="EX28" s="488"/>
      <c r="EY28" s="488"/>
      <c r="EZ28" s="488"/>
      <c r="FA28" s="488"/>
      <c r="FB28" s="488"/>
      <c r="FC28" s="488"/>
      <c r="FD28" s="488"/>
      <c r="FE28" s="488"/>
      <c r="FF28" s="488"/>
      <c r="FG28" s="488"/>
      <c r="FH28" s="488"/>
      <c r="FI28" s="488"/>
      <c r="FJ28" s="488"/>
      <c r="FK28" s="488"/>
      <c r="FL28" s="488"/>
      <c r="FM28" s="488"/>
      <c r="FN28" s="488"/>
      <c r="FO28" s="488"/>
      <c r="FP28" s="488"/>
      <c r="FQ28" s="488"/>
      <c r="FR28" s="488"/>
      <c r="FS28" s="488"/>
      <c r="FT28" s="488"/>
      <c r="FU28" s="488"/>
      <c r="FV28" s="488"/>
      <c r="FW28" s="488"/>
      <c r="FX28" s="488"/>
      <c r="FY28" s="488"/>
      <c r="FZ28" s="488"/>
      <c r="GA28" s="488"/>
      <c r="GB28" s="488"/>
      <c r="GC28" s="488"/>
      <c r="GD28" s="488"/>
      <c r="GE28" s="488"/>
      <c r="GF28" s="488"/>
      <c r="GG28" s="488"/>
      <c r="GH28" s="488"/>
      <c r="GI28" s="488"/>
      <c r="GJ28" s="488"/>
      <c r="GK28" s="488"/>
      <c r="GL28" s="488"/>
      <c r="GM28" s="488"/>
      <c r="GN28" s="488"/>
      <c r="GO28" s="488"/>
      <c r="GP28" s="488"/>
      <c r="GQ28" s="488"/>
      <c r="GR28" s="488"/>
      <c r="GS28" s="488"/>
      <c r="GT28" s="488"/>
      <c r="GU28" s="488"/>
      <c r="GV28" s="488"/>
      <c r="GW28" s="488"/>
      <c r="GX28" s="488"/>
      <c r="GY28" s="488"/>
      <c r="GZ28" s="488"/>
      <c r="HA28" s="488"/>
      <c r="HB28" s="488"/>
      <c r="HC28" s="488"/>
      <c r="HD28" s="488"/>
      <c r="HE28" s="488"/>
      <c r="HF28" s="488"/>
      <c r="HG28" s="488"/>
      <c r="HH28" s="488"/>
      <c r="HI28" s="488"/>
      <c r="HJ28" s="488"/>
      <c r="HK28" s="488"/>
      <c r="HL28" s="488"/>
      <c r="HM28" s="488"/>
      <c r="HN28" s="488"/>
      <c r="HO28" s="488"/>
      <c r="HP28" s="488"/>
      <c r="HQ28" s="488"/>
      <c r="HR28" s="488"/>
      <c r="HS28" s="488"/>
      <c r="HT28" s="488"/>
      <c r="HU28" s="488"/>
      <c r="HV28" s="488"/>
      <c r="HW28" s="488"/>
      <c r="HX28" s="488"/>
      <c r="HY28" s="488"/>
      <c r="HZ28" s="488"/>
      <c r="IA28" s="488"/>
      <c r="IB28" s="488"/>
      <c r="IC28" s="488"/>
      <c r="ID28" s="488"/>
      <c r="IE28" s="488"/>
      <c r="IF28" s="488"/>
      <c r="IG28" s="488"/>
      <c r="IH28" s="488"/>
      <c r="II28" s="488"/>
      <c r="IJ28" s="488"/>
      <c r="IK28" s="488"/>
      <c r="IL28" s="488"/>
      <c r="IM28" s="488"/>
      <c r="IN28" s="488"/>
      <c r="IO28" s="488"/>
      <c r="IP28" s="488"/>
      <c r="IQ28" s="488"/>
      <c r="IR28" s="488"/>
      <c r="IS28" s="488"/>
      <c r="IT28" s="488"/>
      <c r="IU28" s="488"/>
      <c r="IV28" s="488"/>
      <c r="IW28" s="488"/>
    </row>
    <row r="29" customFormat="false" ht="12.75" hidden="false" customHeight="false" outlineLevel="0" collapsed="false">
      <c r="A29" s="489"/>
      <c r="B29" s="484" t="s">
        <v>510</v>
      </c>
      <c r="C29" s="494" t="s">
        <v>236</v>
      </c>
      <c r="D29" s="485"/>
      <c r="E29" s="493" t="n">
        <f aca="false">IF(E$7&lt;YEAR(Startops1),0,-HLOOKUP(E$7,CF_Table,CF!$AB$39)*$A25)</f>
        <v>0</v>
      </c>
      <c r="F29" s="493" t="n">
        <f aca="false">IF(F$7&lt;YEAR(Startops1),0,-HLOOKUP(F$7,CF_Table,CF!$AB$39)*$A25)</f>
        <v>0</v>
      </c>
      <c r="G29" s="493" t="n">
        <f aca="false">IF(G$7&lt;YEAR(Startops1),0,-HLOOKUP(G$7,CF_Table,CF!$AB$39)*$A25)</f>
        <v>0</v>
      </c>
      <c r="H29" s="493" t="n">
        <f aca="false">IF(H$7&lt;YEAR(Startops1),0,-HLOOKUP(H$7,CF_Table,CF!$AB$39)*$A25)</f>
        <v>-0</v>
      </c>
      <c r="I29" s="493" t="n">
        <f aca="false">IF(I$7&lt;YEAR(Startops1),0,-HLOOKUP(I$7,CF_Table,CF!$AB$39)*$A25)</f>
        <v>-90.2211712307968</v>
      </c>
      <c r="J29" s="493" t="n">
        <f aca="false">IF(J$7&lt;YEAR(Startops1),0,-HLOOKUP(J$7,CF_Table,CF!$AB$39)*$A25)</f>
        <v>-168.743957881986</v>
      </c>
      <c r="K29" s="493" t="n">
        <f aca="false">IF(K$7&lt;YEAR(Startops1),0,-HLOOKUP(K$7,CF_Table,CF!$AB$39)*$A25)</f>
        <v>-226.94076872631</v>
      </c>
      <c r="L29" s="493" t="n">
        <f aca="false">IF(L$7&lt;YEAR(Startops1),0,-HLOOKUP(L$7,CF_Table,CF!$AB$39)*$A25)</f>
        <v>-310.759316702618</v>
      </c>
      <c r="M29" s="493" t="n">
        <f aca="false">IF(M$7&lt;YEAR(Startops1),0,-HLOOKUP(M$7,CF_Table,CF!$AB$39)*$A25)</f>
        <v>-336.735140351265</v>
      </c>
      <c r="N29" s="493" t="n">
        <f aca="false">IF(N$7&lt;YEAR(Startops1),0,-HLOOKUP(N$7,CF_Table,CF!$AB$39)*$A25)</f>
        <v>-388.888546908916</v>
      </c>
      <c r="O29" s="493" t="n">
        <f aca="false">IF(O$7&lt;YEAR(Startops1),0,-HLOOKUP(O$7,CF_Table,CF!$AB$39)*$A25)</f>
        <v>-388.888546908916</v>
      </c>
      <c r="P29" s="493" t="n">
        <f aca="false">IF(P$7&lt;YEAR(Startops1),0,-HLOOKUP(P$7,CF_Table,CF!$AB$39)*$A25)</f>
        <v>-418.184029464918</v>
      </c>
      <c r="Q29" s="493" t="n">
        <f aca="false">IF(Q$7&lt;YEAR(Startops1),0,-HLOOKUP(Q$7,CF_Table,CF!$AB$39)*$A25)</f>
        <v>-500.113869635728</v>
      </c>
      <c r="R29" s="493" t="n">
        <f aca="false">IF(R$7&lt;YEAR(Startops1),0,-HLOOKUP(R$7,CF_Table,CF!$AB$39)*$A25)</f>
        <v>-587.505061870322</v>
      </c>
      <c r="S29" s="493" t="n">
        <f aca="false">IF(S$7&lt;YEAR(Startops1),0,-HLOOKUP(S$7,CF_Table,CF!$AB$39)*$A25)</f>
        <v>-641.298718954265</v>
      </c>
      <c r="T29" s="493" t="n">
        <f aca="false">IF(T$7&lt;YEAR(Startops1),0,-HLOOKUP(T$7,CF_Table,CF!$AB$39)*$A25)</f>
        <v>-641.298718954265</v>
      </c>
      <c r="U29" s="493" t="n">
        <f aca="false">IF(U$7&lt;YEAR(Startops1),0,-HLOOKUP(U$7,CF_Table,CF!$AB$39)*$A25)</f>
        <v>-609.684517704719</v>
      </c>
      <c r="V29" s="493" t="n">
        <f aca="false">IF(V$7&lt;YEAR(Startops1),0,-HLOOKUP(V$7,CF_Table,CF!$AB$39)*$A25)</f>
        <v>-583.717994529949</v>
      </c>
      <c r="W29" s="493" t="n">
        <f aca="false">IF(W$7&lt;YEAR(Startops1),0,-HLOOKUP(W$7,CF_Table,CF!$AB$39)*$A25)</f>
        <v>-562.012001930312</v>
      </c>
      <c r="X29" s="493" t="n">
        <f aca="false">IF(X$7&lt;YEAR(Startops1),0,-HLOOKUP(X$7,CF_Table,CF!$AB$39)*$A25)</f>
        <v>-657.246385404913</v>
      </c>
      <c r="Y29" s="493" t="n">
        <f aca="false">IF(Y$7&lt;YEAR(Startops1),0,-HLOOKUP(Y$7,CF_Table,CF!$AB$39)*$A25)</f>
        <v>-753.085867415458</v>
      </c>
      <c r="Z29" s="493" t="n">
        <f aca="false">IF(Z$7&lt;YEAR(Startops1),0,-HLOOKUP(Z$7,CF_Table,CF!$AB$39)*$A25)</f>
        <v>-283.193720930383</v>
      </c>
      <c r="AA29" s="487" t="n">
        <f aca="false">SUM(D29:Z29)</f>
        <v>-8148.51833550604</v>
      </c>
      <c r="AB29" s="487" t="n">
        <f aca="false">$E29+NPV(Disc,$F29:Z29)</f>
        <v>-956.415206319946</v>
      </c>
      <c r="AC29" s="488"/>
      <c r="AD29" s="488"/>
      <c r="AE29" s="488"/>
      <c r="AF29" s="488"/>
      <c r="AG29" s="488"/>
      <c r="AH29" s="488"/>
      <c r="AI29" s="488"/>
      <c r="AJ29" s="488"/>
      <c r="AK29" s="488"/>
      <c r="AL29" s="488"/>
      <c r="AM29" s="488"/>
      <c r="AN29" s="488"/>
      <c r="AO29" s="488"/>
      <c r="AP29" s="488"/>
      <c r="AQ29" s="488"/>
      <c r="AR29" s="488"/>
      <c r="AS29" s="488"/>
      <c r="AT29" s="488"/>
      <c r="AU29" s="488"/>
      <c r="AV29" s="488"/>
      <c r="AW29" s="488"/>
      <c r="AX29" s="488"/>
      <c r="AY29" s="488"/>
      <c r="AZ29" s="488"/>
      <c r="BA29" s="488"/>
      <c r="BB29" s="488"/>
      <c r="BC29" s="488"/>
      <c r="BD29" s="488"/>
      <c r="BE29" s="488"/>
      <c r="BF29" s="488"/>
      <c r="BG29" s="488"/>
      <c r="BH29" s="488"/>
      <c r="BI29" s="488"/>
      <c r="BJ29" s="488"/>
      <c r="BK29" s="488"/>
      <c r="BL29" s="488"/>
      <c r="BM29" s="488"/>
      <c r="BN29" s="488"/>
      <c r="BO29" s="488"/>
      <c r="BP29" s="488"/>
      <c r="BQ29" s="488"/>
      <c r="BR29" s="488"/>
      <c r="BS29" s="488"/>
      <c r="BT29" s="488"/>
      <c r="BU29" s="488"/>
      <c r="BV29" s="488"/>
      <c r="BW29" s="488"/>
      <c r="BX29" s="488"/>
      <c r="BY29" s="488"/>
      <c r="BZ29" s="488"/>
      <c r="CA29" s="488"/>
      <c r="CB29" s="488"/>
      <c r="CC29" s="488"/>
      <c r="CD29" s="488"/>
      <c r="CE29" s="488"/>
      <c r="CF29" s="488"/>
      <c r="CG29" s="488"/>
      <c r="CH29" s="488"/>
      <c r="CI29" s="488"/>
      <c r="CJ29" s="488"/>
      <c r="CK29" s="488"/>
      <c r="CL29" s="488"/>
      <c r="CM29" s="488"/>
      <c r="CN29" s="488"/>
      <c r="CO29" s="488"/>
      <c r="CP29" s="488"/>
      <c r="CQ29" s="488"/>
      <c r="CR29" s="488"/>
      <c r="CS29" s="488"/>
      <c r="CT29" s="488"/>
      <c r="CU29" s="488"/>
      <c r="CV29" s="488"/>
      <c r="CW29" s="488"/>
      <c r="CX29" s="488"/>
      <c r="CY29" s="488"/>
      <c r="CZ29" s="488"/>
      <c r="DA29" s="488"/>
      <c r="DB29" s="488"/>
      <c r="DC29" s="488"/>
      <c r="DD29" s="488"/>
      <c r="DE29" s="488"/>
      <c r="DF29" s="488"/>
      <c r="DG29" s="488"/>
      <c r="DH29" s="488"/>
      <c r="DI29" s="488"/>
      <c r="DJ29" s="488"/>
      <c r="DK29" s="488"/>
      <c r="DL29" s="488"/>
      <c r="DM29" s="488"/>
      <c r="DN29" s="488"/>
      <c r="DO29" s="488"/>
      <c r="DP29" s="488"/>
      <c r="DQ29" s="488"/>
      <c r="DR29" s="488"/>
      <c r="DS29" s="488"/>
      <c r="DT29" s="488"/>
      <c r="DU29" s="488"/>
      <c r="DV29" s="488"/>
      <c r="DW29" s="488"/>
      <c r="DX29" s="488"/>
      <c r="DY29" s="488"/>
      <c r="DZ29" s="488"/>
      <c r="EA29" s="488"/>
      <c r="EB29" s="488"/>
      <c r="EC29" s="488"/>
      <c r="ED29" s="488"/>
      <c r="EE29" s="488"/>
      <c r="EF29" s="488"/>
      <c r="EG29" s="488"/>
      <c r="EH29" s="488"/>
      <c r="EI29" s="488"/>
      <c r="EJ29" s="488"/>
      <c r="EK29" s="488"/>
      <c r="EL29" s="488"/>
      <c r="EM29" s="488"/>
      <c r="EN29" s="488"/>
      <c r="EO29" s="488"/>
      <c r="EP29" s="488"/>
      <c r="EQ29" s="488"/>
      <c r="ER29" s="488"/>
      <c r="ES29" s="488"/>
      <c r="ET29" s="488"/>
      <c r="EU29" s="488"/>
      <c r="EV29" s="488"/>
      <c r="EW29" s="488"/>
      <c r="EX29" s="488"/>
      <c r="EY29" s="488"/>
      <c r="EZ29" s="488"/>
      <c r="FA29" s="488"/>
      <c r="FB29" s="488"/>
      <c r="FC29" s="488"/>
      <c r="FD29" s="488"/>
      <c r="FE29" s="488"/>
      <c r="FF29" s="488"/>
      <c r="FG29" s="488"/>
      <c r="FH29" s="488"/>
      <c r="FI29" s="488"/>
      <c r="FJ29" s="488"/>
      <c r="FK29" s="488"/>
      <c r="FL29" s="488"/>
      <c r="FM29" s="488"/>
      <c r="FN29" s="488"/>
      <c r="FO29" s="488"/>
      <c r="FP29" s="488"/>
      <c r="FQ29" s="488"/>
      <c r="FR29" s="488"/>
      <c r="FS29" s="488"/>
      <c r="FT29" s="488"/>
      <c r="FU29" s="488"/>
      <c r="FV29" s="488"/>
      <c r="FW29" s="488"/>
      <c r="FX29" s="488"/>
      <c r="FY29" s="488"/>
      <c r="FZ29" s="488"/>
      <c r="GA29" s="488"/>
      <c r="GB29" s="488"/>
      <c r="GC29" s="488"/>
      <c r="GD29" s="488"/>
      <c r="GE29" s="488"/>
      <c r="GF29" s="488"/>
      <c r="GG29" s="488"/>
      <c r="GH29" s="488"/>
      <c r="GI29" s="488"/>
      <c r="GJ29" s="488"/>
      <c r="GK29" s="488"/>
      <c r="GL29" s="488"/>
      <c r="GM29" s="488"/>
      <c r="GN29" s="488"/>
      <c r="GO29" s="488"/>
      <c r="GP29" s="488"/>
      <c r="GQ29" s="488"/>
      <c r="GR29" s="488"/>
      <c r="GS29" s="488"/>
      <c r="GT29" s="488"/>
      <c r="GU29" s="488"/>
      <c r="GV29" s="488"/>
      <c r="GW29" s="488"/>
      <c r="GX29" s="488"/>
      <c r="GY29" s="488"/>
      <c r="GZ29" s="488"/>
      <c r="HA29" s="488"/>
      <c r="HB29" s="488"/>
      <c r="HC29" s="488"/>
      <c r="HD29" s="488"/>
      <c r="HE29" s="488"/>
      <c r="HF29" s="488"/>
      <c r="HG29" s="488"/>
      <c r="HH29" s="488"/>
      <c r="HI29" s="488"/>
      <c r="HJ29" s="488"/>
      <c r="HK29" s="488"/>
      <c r="HL29" s="488"/>
      <c r="HM29" s="488"/>
      <c r="HN29" s="488"/>
      <c r="HO29" s="488"/>
      <c r="HP29" s="488"/>
      <c r="HQ29" s="488"/>
      <c r="HR29" s="488"/>
      <c r="HS29" s="488"/>
      <c r="HT29" s="488"/>
      <c r="HU29" s="488"/>
      <c r="HV29" s="488"/>
      <c r="HW29" s="488"/>
      <c r="HX29" s="488"/>
      <c r="HY29" s="488"/>
      <c r="HZ29" s="488"/>
      <c r="IA29" s="488"/>
      <c r="IB29" s="488"/>
      <c r="IC29" s="488"/>
      <c r="ID29" s="488"/>
      <c r="IE29" s="488"/>
      <c r="IF29" s="488"/>
      <c r="IG29" s="488"/>
      <c r="IH29" s="488"/>
      <c r="II29" s="488"/>
      <c r="IJ29" s="488"/>
      <c r="IK29" s="488"/>
      <c r="IL29" s="488"/>
      <c r="IM29" s="488"/>
      <c r="IN29" s="488"/>
      <c r="IO29" s="488"/>
      <c r="IP29" s="488"/>
      <c r="IQ29" s="488"/>
      <c r="IR29" s="488"/>
      <c r="IS29" s="488"/>
      <c r="IT29" s="488"/>
      <c r="IU29" s="488"/>
      <c r="IV29" s="488"/>
      <c r="IW29" s="488"/>
    </row>
    <row r="30" customFormat="false" ht="12.75" hidden="false" customHeight="false" outlineLevel="0" collapsed="false">
      <c r="A30" s="489"/>
      <c r="B30" s="484" t="s">
        <v>511</v>
      </c>
      <c r="C30" s="494" t="s">
        <v>236</v>
      </c>
      <c r="D30" s="485"/>
      <c r="E30" s="491" t="n">
        <f aca="false">-PLRisk!E32</f>
        <v>-20.74467274</v>
      </c>
      <c r="F30" s="491" t="n">
        <f aca="false">-PLRisk!F32</f>
        <v>-90.37233639</v>
      </c>
      <c r="G30" s="491" t="n">
        <f aca="false">-PLRisk!G32</f>
        <v>-160.00000003</v>
      </c>
      <c r="H30" s="491" t="n">
        <f aca="false">-PLRisk!H32</f>
        <v>-178.162491048583</v>
      </c>
      <c r="I30" s="491" t="n">
        <f aca="false">-PLRisk!I32</f>
        <v>-170.900992485251</v>
      </c>
      <c r="J30" s="491" t="n">
        <f aca="false">-PLRisk!J32</f>
        <v>-159.68277678015</v>
      </c>
      <c r="K30" s="491" t="n">
        <f aca="false">-PLRisk!K32</f>
        <v>-155.365098581856</v>
      </c>
      <c r="L30" s="491" t="n">
        <f aca="false">-PLRisk!L32</f>
        <v>-163.172747256528</v>
      </c>
      <c r="M30" s="491" t="n">
        <f aca="false">-PLRisk!M32</f>
        <v>-176.604848772925</v>
      </c>
      <c r="N30" s="491" t="n">
        <f aca="false">-PLRisk!N32</f>
        <v>-182.592817837376</v>
      </c>
      <c r="O30" s="491" t="n">
        <f aca="false">-PLRisk!O32</f>
        <v>-183.819107240142</v>
      </c>
      <c r="P30" s="491" t="n">
        <f aca="false">-PLRisk!P32</f>
        <v>-185.25201806625</v>
      </c>
      <c r="Q30" s="491" t="n">
        <f aca="false">-PLRisk!Q32</f>
        <v>-186.868101225342</v>
      </c>
      <c r="R30" s="491" t="n">
        <f aca="false">-PLRisk!R32</f>
        <v>-188.664716964547</v>
      </c>
      <c r="S30" s="491" t="n">
        <f aca="false">-PLRisk!S32</f>
        <v>-190.727999850223</v>
      </c>
      <c r="T30" s="491" t="n">
        <f aca="false">-PLRisk!T32</f>
        <v>-192.845478247569</v>
      </c>
      <c r="U30" s="491" t="n">
        <f aca="false">-PLRisk!U32</f>
        <v>-195.198012596598</v>
      </c>
      <c r="V30" s="491" t="n">
        <f aca="false">-PLRisk!V32</f>
        <v>-197.813662172668</v>
      </c>
      <c r="W30" s="491" t="n">
        <f aca="false">-PLRisk!W32</f>
        <v>-200.590018315091</v>
      </c>
      <c r="X30" s="491" t="n">
        <f aca="false">-PLRisk!X32</f>
        <v>-203.493951266435</v>
      </c>
      <c r="Y30" s="491" t="n">
        <f aca="false">-PLRisk!Y32</f>
        <v>-206.525665902195</v>
      </c>
      <c r="Z30" s="491" t="n">
        <f aca="false">-PLRisk!Z32</f>
        <v>-149.109442053001</v>
      </c>
      <c r="AA30" s="487" t="n">
        <f aca="false">SUM(D30:Z30)</f>
        <v>-3738.50695582273</v>
      </c>
      <c r="AB30" s="487" t="n">
        <f aca="false">$E30+NPV(Disc,$F30:Z30)</f>
        <v>-834.75392856803</v>
      </c>
      <c r="AC30" s="488"/>
      <c r="AD30" s="488"/>
      <c r="AE30" s="488"/>
      <c r="AF30" s="488"/>
      <c r="AG30" s="488"/>
      <c r="AH30" s="488"/>
      <c r="AI30" s="488"/>
      <c r="AJ30" s="488"/>
      <c r="AK30" s="488"/>
      <c r="AL30" s="488"/>
      <c r="AM30" s="488"/>
      <c r="AN30" s="488"/>
      <c r="AO30" s="488"/>
      <c r="AP30" s="488"/>
      <c r="AQ30" s="488"/>
      <c r="AR30" s="488"/>
      <c r="AS30" s="488"/>
      <c r="AT30" s="488"/>
      <c r="AU30" s="488"/>
      <c r="AV30" s="488"/>
      <c r="AW30" s="488"/>
      <c r="AX30" s="488"/>
      <c r="AY30" s="488"/>
      <c r="AZ30" s="488"/>
      <c r="BA30" s="488"/>
      <c r="BB30" s="488"/>
      <c r="BC30" s="488"/>
      <c r="BD30" s="488"/>
      <c r="BE30" s="488"/>
      <c r="BF30" s="488"/>
      <c r="BG30" s="488"/>
      <c r="BH30" s="488"/>
      <c r="BI30" s="488"/>
      <c r="BJ30" s="488"/>
      <c r="BK30" s="488"/>
      <c r="BL30" s="488"/>
      <c r="BM30" s="488"/>
      <c r="BN30" s="488"/>
      <c r="BO30" s="488"/>
      <c r="BP30" s="488"/>
      <c r="BQ30" s="488"/>
      <c r="BR30" s="488"/>
      <c r="BS30" s="488"/>
      <c r="BT30" s="488"/>
      <c r="BU30" s="488"/>
      <c r="BV30" s="488"/>
      <c r="BW30" s="488"/>
      <c r="BX30" s="488"/>
      <c r="BY30" s="488"/>
      <c r="BZ30" s="488"/>
      <c r="CA30" s="488"/>
      <c r="CB30" s="488"/>
      <c r="CC30" s="488"/>
      <c r="CD30" s="488"/>
      <c r="CE30" s="488"/>
      <c r="CF30" s="488"/>
      <c r="CG30" s="488"/>
      <c r="CH30" s="488"/>
      <c r="CI30" s="488"/>
      <c r="CJ30" s="488"/>
      <c r="CK30" s="488"/>
      <c r="CL30" s="488"/>
      <c r="CM30" s="488"/>
      <c r="CN30" s="488"/>
      <c r="CO30" s="488"/>
      <c r="CP30" s="488"/>
      <c r="CQ30" s="488"/>
      <c r="CR30" s="488"/>
      <c r="CS30" s="488"/>
      <c r="CT30" s="488"/>
      <c r="CU30" s="488"/>
      <c r="CV30" s="488"/>
      <c r="CW30" s="488"/>
      <c r="CX30" s="488"/>
      <c r="CY30" s="488"/>
      <c r="CZ30" s="488"/>
      <c r="DA30" s="488"/>
      <c r="DB30" s="488"/>
      <c r="DC30" s="488"/>
      <c r="DD30" s="488"/>
      <c r="DE30" s="488"/>
      <c r="DF30" s="488"/>
      <c r="DG30" s="488"/>
      <c r="DH30" s="488"/>
      <c r="DI30" s="488"/>
      <c r="DJ30" s="488"/>
      <c r="DK30" s="488"/>
      <c r="DL30" s="488"/>
      <c r="DM30" s="488"/>
      <c r="DN30" s="488"/>
      <c r="DO30" s="488"/>
      <c r="DP30" s="488"/>
      <c r="DQ30" s="488"/>
      <c r="DR30" s="488"/>
      <c r="DS30" s="488"/>
      <c r="DT30" s="488"/>
      <c r="DU30" s="488"/>
      <c r="DV30" s="488"/>
      <c r="DW30" s="488"/>
      <c r="DX30" s="488"/>
      <c r="DY30" s="488"/>
      <c r="DZ30" s="488"/>
      <c r="EA30" s="488"/>
      <c r="EB30" s="488"/>
      <c r="EC30" s="488"/>
      <c r="ED30" s="488"/>
      <c r="EE30" s="488"/>
      <c r="EF30" s="488"/>
      <c r="EG30" s="488"/>
      <c r="EH30" s="488"/>
      <c r="EI30" s="488"/>
      <c r="EJ30" s="488"/>
      <c r="EK30" s="488"/>
      <c r="EL30" s="488"/>
      <c r="EM30" s="488"/>
      <c r="EN30" s="488"/>
      <c r="EO30" s="488"/>
      <c r="EP30" s="488"/>
      <c r="EQ30" s="488"/>
      <c r="ER30" s="488"/>
      <c r="ES30" s="488"/>
      <c r="ET30" s="488"/>
      <c r="EU30" s="488"/>
      <c r="EV30" s="488"/>
      <c r="EW30" s="488"/>
      <c r="EX30" s="488"/>
      <c r="EY30" s="488"/>
      <c r="EZ30" s="488"/>
      <c r="FA30" s="488"/>
      <c r="FB30" s="488"/>
      <c r="FC30" s="488"/>
      <c r="FD30" s="488"/>
      <c r="FE30" s="488"/>
      <c r="FF30" s="488"/>
      <c r="FG30" s="488"/>
      <c r="FH30" s="488"/>
      <c r="FI30" s="488"/>
      <c r="FJ30" s="488"/>
      <c r="FK30" s="488"/>
      <c r="FL30" s="488"/>
      <c r="FM30" s="488"/>
      <c r="FN30" s="488"/>
      <c r="FO30" s="488"/>
      <c r="FP30" s="488"/>
      <c r="FQ30" s="488"/>
      <c r="FR30" s="488"/>
      <c r="FS30" s="488"/>
      <c r="FT30" s="488"/>
      <c r="FU30" s="488"/>
      <c r="FV30" s="488"/>
      <c r="FW30" s="488"/>
      <c r="FX30" s="488"/>
      <c r="FY30" s="488"/>
      <c r="FZ30" s="488"/>
      <c r="GA30" s="488"/>
      <c r="GB30" s="488"/>
      <c r="GC30" s="488"/>
      <c r="GD30" s="488"/>
      <c r="GE30" s="488"/>
      <c r="GF30" s="488"/>
      <c r="GG30" s="488"/>
      <c r="GH30" s="488"/>
      <c r="GI30" s="488"/>
      <c r="GJ30" s="488"/>
      <c r="GK30" s="488"/>
      <c r="GL30" s="488"/>
      <c r="GM30" s="488"/>
      <c r="GN30" s="488"/>
      <c r="GO30" s="488"/>
      <c r="GP30" s="488"/>
      <c r="GQ30" s="488"/>
      <c r="GR30" s="488"/>
      <c r="GS30" s="488"/>
      <c r="GT30" s="488"/>
      <c r="GU30" s="488"/>
      <c r="GV30" s="488"/>
      <c r="GW30" s="488"/>
      <c r="GX30" s="488"/>
      <c r="GY30" s="488"/>
      <c r="GZ30" s="488"/>
      <c r="HA30" s="488"/>
      <c r="HB30" s="488"/>
      <c r="HC30" s="488"/>
      <c r="HD30" s="488"/>
      <c r="HE30" s="488"/>
      <c r="HF30" s="488"/>
      <c r="HG30" s="488"/>
      <c r="HH30" s="488"/>
      <c r="HI30" s="488"/>
      <c r="HJ30" s="488"/>
      <c r="HK30" s="488"/>
      <c r="HL30" s="488"/>
      <c r="HM30" s="488"/>
      <c r="HN30" s="488"/>
      <c r="HO30" s="488"/>
      <c r="HP30" s="488"/>
      <c r="HQ30" s="488"/>
      <c r="HR30" s="488"/>
      <c r="HS30" s="488"/>
      <c r="HT30" s="488"/>
      <c r="HU30" s="488"/>
      <c r="HV30" s="488"/>
      <c r="HW30" s="488"/>
      <c r="HX30" s="488"/>
      <c r="HY30" s="488"/>
      <c r="HZ30" s="488"/>
      <c r="IA30" s="488"/>
      <c r="IB30" s="488"/>
      <c r="IC30" s="488"/>
      <c r="ID30" s="488"/>
      <c r="IE30" s="488"/>
      <c r="IF30" s="488"/>
      <c r="IG30" s="488"/>
      <c r="IH30" s="488"/>
      <c r="II30" s="488"/>
      <c r="IJ30" s="488"/>
      <c r="IK30" s="488"/>
      <c r="IL30" s="488"/>
      <c r="IM30" s="488"/>
      <c r="IN30" s="488"/>
      <c r="IO30" s="488"/>
      <c r="IP30" s="488"/>
      <c r="IQ30" s="488"/>
      <c r="IR30" s="488"/>
      <c r="IS30" s="488"/>
      <c r="IT30" s="488"/>
      <c r="IU30" s="488"/>
      <c r="IV30" s="488"/>
      <c r="IW30" s="488"/>
    </row>
    <row r="31" customFormat="false" ht="12.75" hidden="false" customHeight="false" outlineLevel="0" collapsed="false">
      <c r="A31" s="495"/>
      <c r="B31" s="496" t="s">
        <v>512</v>
      </c>
      <c r="C31" s="497" t="s">
        <v>236</v>
      </c>
      <c r="D31" s="498"/>
      <c r="E31" s="499" t="n">
        <f aca="false">IF(E$7&lt;YEAR(Startconst),0,HLOOKUP(DATE(E$7,12,31),Draw_Table,Drawdown!$AQ$57)*Turnkey!$D$18-SUM($D31:D31))</f>
        <v>1069.58890267973</v>
      </c>
      <c r="F31" s="499" t="n">
        <f aca="false">IF(F$7&lt;YEAR(Startconst),0,HLOOKUP(DATE(F$7,12,31),Draw_Table,Drawdown!$AQ$57)*Turnkey!$D$18-SUM($D31:E31))</f>
        <v>4521.55363767299</v>
      </c>
      <c r="G31" s="499" t="n">
        <f aca="false">IF(G$7&lt;YEAR(Startconst),0,HLOOKUP(DATE(G$7,12,31),Draw_Table,Drawdown!$AQ$57)*Turnkey!$D$18-SUM($D31:F31))</f>
        <v>639.519459647283</v>
      </c>
      <c r="H31" s="499" t="n">
        <f aca="false">IF(H$7&lt;YEAR(Startconst),0,HLOOKUP(DATE(H$7,12,31),Draw_Table,Drawdown!$AQ$57)*Turnkey!$D$18-SUM($D31:G31))</f>
        <v>0</v>
      </c>
      <c r="I31" s="499" t="n">
        <f aca="false">IF(I$7&lt;YEAR(Startconst),0,HLOOKUP(DATE(I$7,12,31),Draw_Table,Drawdown!$AQ$57)*Turnkey!$D$18-SUM($D31:H31))</f>
        <v>0</v>
      </c>
      <c r="J31" s="499" t="n">
        <f aca="false">IF(J$7&lt;YEAR(Startconst),0,HLOOKUP(DATE(J$7,12,31),Draw_Table,Drawdown!$AQ$57)*Turnkey!$D$18-SUM($D31:I31))</f>
        <v>0</v>
      </c>
      <c r="K31" s="499" t="n">
        <f aca="false">IF(K$7&lt;YEAR(Startconst),0,HLOOKUP(DATE(K$7,12,31),Draw_Table,Drawdown!$AQ$57)*Turnkey!$D$18-SUM($D31:J31))</f>
        <v>0</v>
      </c>
      <c r="L31" s="499" t="n">
        <f aca="false">IF(L$7&lt;YEAR(Startconst),0,HLOOKUP(DATE(L$7,12,31),Draw_Table,Drawdown!$AQ$57)*Turnkey!$D$18-SUM($D31:K31))</f>
        <v>0</v>
      </c>
      <c r="M31" s="499" t="n">
        <f aca="false">IF(M$7&lt;YEAR(Startconst),0,HLOOKUP(DATE(M$7,12,31),Draw_Table,Drawdown!$AQ$57)*Turnkey!$D$18-SUM($D31:L31))</f>
        <v>0</v>
      </c>
      <c r="N31" s="499" t="n">
        <f aca="false">IF(N$7&lt;YEAR(Startconst),0,HLOOKUP(DATE(N$7,12,31),Draw_Table,Drawdown!$AQ$57)*Turnkey!$D$18-SUM($D31:M31))</f>
        <v>0</v>
      </c>
      <c r="O31" s="499" t="n">
        <f aca="false">IF(O$7&lt;YEAR(Startconst),0,HLOOKUP(DATE(O$7,12,31),Draw_Table,Drawdown!$AQ$57)*Turnkey!$D$18-SUM($D31:N31))</f>
        <v>0</v>
      </c>
      <c r="P31" s="499" t="n">
        <f aca="false">IF(P$7&lt;YEAR(Startconst),0,HLOOKUP(DATE(P$7,12,31),Draw_Table,Drawdown!$AQ$57)*Turnkey!$D$18-SUM($D31:O31))</f>
        <v>0</v>
      </c>
      <c r="Q31" s="499" t="n">
        <f aca="false">IF(Q$7&lt;YEAR(Startconst),0,HLOOKUP(DATE(Q$7,12,31),Draw_Table,Drawdown!$AQ$57)*Turnkey!$D$18-SUM($D31:P31))</f>
        <v>0</v>
      </c>
      <c r="R31" s="499" t="n">
        <f aca="false">IF(R$7&lt;YEAR(Startconst),0,HLOOKUP(DATE(R$7,12,31),Draw_Table,Drawdown!$AQ$57)*Turnkey!$D$18-SUM($D31:Q31))</f>
        <v>0</v>
      </c>
      <c r="S31" s="499" t="n">
        <f aca="false">IF(S$7&lt;YEAR(Startconst),0,HLOOKUP(DATE(S$7,12,31),Draw_Table,Drawdown!$AQ$57)*Turnkey!$D$18-SUM($D31:R31))</f>
        <v>0</v>
      </c>
      <c r="T31" s="499" t="n">
        <f aca="false">IF(T$7&lt;YEAR(Startconst),0,HLOOKUP(DATE(T$7,12,31),Draw_Table,Drawdown!$AQ$57)*Turnkey!$D$18-SUM($D31:S31))</f>
        <v>0</v>
      </c>
      <c r="U31" s="499" t="n">
        <f aca="false">IF(U$7&lt;YEAR(Startconst),0,HLOOKUP(DATE(U$7,12,31),Draw_Table,Drawdown!$AQ$57)*Turnkey!$D$18-SUM($D31:T31))</f>
        <v>0</v>
      </c>
      <c r="V31" s="499" t="n">
        <f aca="false">IF(V$7&lt;YEAR(Startconst),0,HLOOKUP(DATE(V$7,12,31),Draw_Table,Drawdown!$AQ$57)*Turnkey!$D$18-SUM($D31:U31))</f>
        <v>0</v>
      </c>
      <c r="W31" s="499" t="n">
        <f aca="false">IF(W$7&lt;YEAR(Startconst),0,HLOOKUP(DATE(W$7,12,31),Draw_Table,Drawdown!$AQ$57)*Turnkey!$D$18-SUM($D31:V31))</f>
        <v>0</v>
      </c>
      <c r="X31" s="499" t="n">
        <f aca="false">IF(X$7&lt;YEAR(Startconst),0,HLOOKUP(DATE(X$7,12,31),Draw_Table,Drawdown!$AQ$57)*Turnkey!$D$18-SUM($D31:W31))</f>
        <v>0</v>
      </c>
      <c r="Y31" s="499" t="n">
        <f aca="false">IF(Y$7&lt;YEAR(Startconst),0,HLOOKUP(DATE(Y$7,12,31),Draw_Table,Drawdown!$AQ$57)*Turnkey!$D$18-SUM($D31:X31))</f>
        <v>0</v>
      </c>
      <c r="Z31" s="499" t="n">
        <f aca="false">IF(Z$7&lt;YEAR(Startconst),0,HLOOKUP(DATE(Z$7,12,31),Draw_Table,Drawdown!$AQ$57)*Turnkey!$D$18-SUM($D31:Y31))</f>
        <v>0</v>
      </c>
      <c r="AA31" s="500" t="n">
        <f aca="false">SUM(D31:Z31)</f>
        <v>6230.662</v>
      </c>
      <c r="AB31" s="500" t="n">
        <f aca="false">$E31+NPV(Disc,$F31:Z31)</f>
        <v>5320.81995167213</v>
      </c>
      <c r="AC31" s="501"/>
      <c r="AD31" s="501"/>
      <c r="AE31" s="501"/>
      <c r="AF31" s="501"/>
      <c r="AG31" s="501"/>
      <c r="AH31" s="501"/>
      <c r="AI31" s="501"/>
      <c r="AJ31" s="501"/>
      <c r="AK31" s="501"/>
      <c r="AL31" s="501"/>
      <c r="AM31" s="501"/>
      <c r="AN31" s="501"/>
      <c r="AO31" s="501"/>
      <c r="AP31" s="501"/>
      <c r="AQ31" s="501"/>
      <c r="AR31" s="501"/>
      <c r="AS31" s="501"/>
      <c r="AT31" s="501"/>
      <c r="AU31" s="501"/>
      <c r="AV31" s="501"/>
      <c r="AW31" s="501"/>
      <c r="AX31" s="501"/>
      <c r="AY31" s="501"/>
      <c r="AZ31" s="501"/>
      <c r="BA31" s="501"/>
      <c r="BB31" s="501"/>
      <c r="BC31" s="501"/>
      <c r="BD31" s="501"/>
      <c r="BE31" s="501"/>
      <c r="BF31" s="501"/>
      <c r="BG31" s="501"/>
      <c r="BH31" s="501"/>
      <c r="BI31" s="501"/>
      <c r="BJ31" s="501"/>
      <c r="BK31" s="501"/>
      <c r="BL31" s="501"/>
      <c r="BM31" s="501"/>
      <c r="BN31" s="501"/>
      <c r="BO31" s="501"/>
      <c r="BP31" s="501"/>
      <c r="BQ31" s="501"/>
      <c r="BR31" s="501"/>
      <c r="BS31" s="501"/>
      <c r="BT31" s="501"/>
      <c r="BU31" s="501"/>
      <c r="BV31" s="501"/>
      <c r="BW31" s="501"/>
      <c r="BX31" s="501"/>
      <c r="BY31" s="501"/>
      <c r="BZ31" s="501"/>
      <c r="CA31" s="501"/>
      <c r="CB31" s="501"/>
      <c r="CC31" s="501"/>
      <c r="CD31" s="501"/>
      <c r="CE31" s="501"/>
      <c r="CF31" s="501"/>
      <c r="CG31" s="501"/>
      <c r="CH31" s="501"/>
      <c r="CI31" s="501"/>
      <c r="CJ31" s="501"/>
      <c r="CK31" s="501"/>
      <c r="CL31" s="501"/>
      <c r="CM31" s="501"/>
      <c r="CN31" s="501"/>
      <c r="CO31" s="501"/>
      <c r="CP31" s="501"/>
      <c r="CQ31" s="501"/>
      <c r="CR31" s="501"/>
      <c r="CS31" s="501"/>
      <c r="CT31" s="501"/>
      <c r="CU31" s="501"/>
      <c r="CV31" s="501"/>
      <c r="CW31" s="501"/>
      <c r="CX31" s="501"/>
      <c r="CY31" s="501"/>
      <c r="CZ31" s="501"/>
      <c r="DA31" s="501"/>
      <c r="DB31" s="501"/>
      <c r="DC31" s="501"/>
      <c r="DD31" s="501"/>
      <c r="DE31" s="501"/>
      <c r="DF31" s="501"/>
      <c r="DG31" s="501"/>
      <c r="DH31" s="501"/>
      <c r="DI31" s="501"/>
      <c r="DJ31" s="501"/>
      <c r="DK31" s="501"/>
      <c r="DL31" s="501"/>
      <c r="DM31" s="501"/>
      <c r="DN31" s="501"/>
      <c r="DO31" s="501"/>
      <c r="DP31" s="501"/>
      <c r="DQ31" s="501"/>
      <c r="DR31" s="501"/>
      <c r="DS31" s="501"/>
      <c r="DT31" s="501"/>
      <c r="DU31" s="501"/>
      <c r="DV31" s="501"/>
      <c r="DW31" s="501"/>
      <c r="DX31" s="501"/>
      <c r="DY31" s="501"/>
      <c r="DZ31" s="501"/>
      <c r="EA31" s="501"/>
      <c r="EB31" s="501"/>
      <c r="EC31" s="501"/>
      <c r="ED31" s="501"/>
      <c r="EE31" s="501"/>
      <c r="EF31" s="501"/>
      <c r="EG31" s="501"/>
      <c r="EH31" s="501"/>
      <c r="EI31" s="501"/>
      <c r="EJ31" s="501"/>
      <c r="EK31" s="501"/>
      <c r="EL31" s="501"/>
      <c r="EM31" s="501"/>
      <c r="EN31" s="501"/>
      <c r="EO31" s="501"/>
      <c r="EP31" s="501"/>
      <c r="EQ31" s="501"/>
      <c r="ER31" s="501"/>
      <c r="ES31" s="501"/>
      <c r="ET31" s="501"/>
      <c r="EU31" s="501"/>
      <c r="EV31" s="501"/>
      <c r="EW31" s="501"/>
      <c r="EX31" s="501"/>
      <c r="EY31" s="501"/>
      <c r="EZ31" s="501"/>
      <c r="FA31" s="501"/>
      <c r="FB31" s="501"/>
      <c r="FC31" s="501"/>
      <c r="FD31" s="501"/>
      <c r="FE31" s="501"/>
      <c r="FF31" s="501"/>
      <c r="FG31" s="501"/>
      <c r="FH31" s="501"/>
      <c r="FI31" s="501"/>
      <c r="FJ31" s="501"/>
      <c r="FK31" s="501"/>
      <c r="FL31" s="501"/>
      <c r="FM31" s="501"/>
      <c r="FN31" s="501"/>
      <c r="FO31" s="501"/>
      <c r="FP31" s="501"/>
      <c r="FQ31" s="501"/>
      <c r="FR31" s="501"/>
      <c r="FS31" s="501"/>
      <c r="FT31" s="501"/>
      <c r="FU31" s="501"/>
      <c r="FV31" s="501"/>
      <c r="FW31" s="501"/>
      <c r="FX31" s="501"/>
      <c r="FY31" s="501"/>
      <c r="FZ31" s="501"/>
      <c r="GA31" s="501"/>
      <c r="GB31" s="501"/>
      <c r="GC31" s="501"/>
      <c r="GD31" s="501"/>
      <c r="GE31" s="501"/>
      <c r="GF31" s="501"/>
      <c r="GG31" s="501"/>
      <c r="GH31" s="501"/>
      <c r="GI31" s="501"/>
      <c r="GJ31" s="501"/>
      <c r="GK31" s="501"/>
      <c r="GL31" s="501"/>
      <c r="GM31" s="501"/>
      <c r="GN31" s="501"/>
      <c r="GO31" s="501"/>
      <c r="GP31" s="501"/>
      <c r="GQ31" s="501"/>
      <c r="GR31" s="501"/>
      <c r="GS31" s="501"/>
      <c r="GT31" s="501"/>
      <c r="GU31" s="501"/>
      <c r="GV31" s="501"/>
      <c r="GW31" s="501"/>
      <c r="GX31" s="501"/>
      <c r="GY31" s="501"/>
      <c r="GZ31" s="501"/>
      <c r="HA31" s="501"/>
      <c r="HB31" s="501"/>
      <c r="HC31" s="501"/>
      <c r="HD31" s="501"/>
      <c r="HE31" s="501"/>
      <c r="HF31" s="501"/>
      <c r="HG31" s="501"/>
      <c r="HH31" s="501"/>
      <c r="HI31" s="501"/>
      <c r="HJ31" s="501"/>
      <c r="HK31" s="501"/>
      <c r="HL31" s="501"/>
      <c r="HM31" s="501"/>
      <c r="HN31" s="501"/>
      <c r="HO31" s="501"/>
      <c r="HP31" s="501"/>
      <c r="HQ31" s="501"/>
      <c r="HR31" s="501"/>
      <c r="HS31" s="501"/>
      <c r="HT31" s="501"/>
      <c r="HU31" s="501"/>
      <c r="HV31" s="501"/>
      <c r="HW31" s="501"/>
      <c r="HX31" s="501"/>
      <c r="HY31" s="501"/>
      <c r="HZ31" s="501"/>
      <c r="IA31" s="501"/>
      <c r="IB31" s="501"/>
      <c r="IC31" s="501"/>
      <c r="ID31" s="501"/>
      <c r="IE31" s="501"/>
      <c r="IF31" s="501"/>
      <c r="IG31" s="501"/>
      <c r="IH31" s="501"/>
      <c r="II31" s="501"/>
      <c r="IJ31" s="501"/>
      <c r="IK31" s="501"/>
      <c r="IL31" s="501"/>
      <c r="IM31" s="501"/>
      <c r="IN31" s="501"/>
      <c r="IO31" s="501"/>
      <c r="IP31" s="501"/>
      <c r="IQ31" s="501"/>
      <c r="IR31" s="501"/>
      <c r="IS31" s="501"/>
      <c r="IT31" s="501"/>
      <c r="IU31" s="501"/>
      <c r="IV31" s="501"/>
      <c r="IW31" s="501"/>
    </row>
    <row r="32" customFormat="false" ht="12.75" hidden="false" customHeight="false" outlineLevel="0" collapsed="false">
      <c r="A32" s="495"/>
      <c r="B32" s="496" t="s">
        <v>251</v>
      </c>
      <c r="C32" s="497" t="s">
        <v>236</v>
      </c>
      <c r="D32" s="498"/>
      <c r="E32" s="499" t="n">
        <f aca="false">-E31*Wh_Serv</f>
        <v>-133.698612834966</v>
      </c>
      <c r="F32" s="499" t="n">
        <f aca="false">-F31*Wh_Serv</f>
        <v>-565.194204709124</v>
      </c>
      <c r="G32" s="499" t="n">
        <f aca="false">-G31*Wh_Serv</f>
        <v>-79.9399324559104</v>
      </c>
      <c r="H32" s="499" t="n">
        <f aca="false">-H31*Wh_Serv</f>
        <v>-0</v>
      </c>
      <c r="I32" s="499" t="n">
        <f aca="false">-I31*Wh_Serv</f>
        <v>-0</v>
      </c>
      <c r="J32" s="499" t="n">
        <f aca="false">-J31*Wh_Serv</f>
        <v>-0</v>
      </c>
      <c r="K32" s="499" t="n">
        <f aca="false">-K31*Wh_Serv</f>
        <v>-0</v>
      </c>
      <c r="L32" s="499" t="n">
        <f aca="false">-L31*Wh_Serv</f>
        <v>-0</v>
      </c>
      <c r="M32" s="499" t="n">
        <f aca="false">-M31*Wh_Serv</f>
        <v>-0</v>
      </c>
      <c r="N32" s="499" t="n">
        <f aca="false">-N31*Wh_Serv</f>
        <v>-0</v>
      </c>
      <c r="O32" s="499" t="n">
        <f aca="false">-O31*Wh_Serv</f>
        <v>-0</v>
      </c>
      <c r="P32" s="499" t="n">
        <f aca="false">-P31*Wh_Serv</f>
        <v>-0</v>
      </c>
      <c r="Q32" s="499" t="n">
        <f aca="false">-Q31*Wh_Serv</f>
        <v>-0</v>
      </c>
      <c r="R32" s="499" t="n">
        <f aca="false">-R31*Wh_Serv</f>
        <v>-0</v>
      </c>
      <c r="S32" s="499" t="n">
        <f aca="false">-S31*Wh_Serv</f>
        <v>-0</v>
      </c>
      <c r="T32" s="499" t="n">
        <f aca="false">-T31*Wh_Serv</f>
        <v>-0</v>
      </c>
      <c r="U32" s="499" t="n">
        <f aca="false">-U31*Wh_Serv</f>
        <v>-0</v>
      </c>
      <c r="V32" s="499" t="n">
        <f aca="false">-V31*Wh_Serv</f>
        <v>-0</v>
      </c>
      <c r="W32" s="499" t="n">
        <f aca="false">-W31*Wh_Serv</f>
        <v>-0</v>
      </c>
      <c r="X32" s="499" t="n">
        <f aca="false">-X31*Wh_Serv</f>
        <v>-0</v>
      </c>
      <c r="Y32" s="499" t="n">
        <f aca="false">-Y31*Wh_Serv</f>
        <v>-0</v>
      </c>
      <c r="Z32" s="499" t="n">
        <f aca="false">-Z31*Wh_Serv</f>
        <v>-0</v>
      </c>
      <c r="AA32" s="500" t="n">
        <f aca="false">SUM(D32:Z32)</f>
        <v>-778.83275</v>
      </c>
      <c r="AB32" s="500" t="n">
        <f aca="false">$E32+NPV(Disc,$F32:Z32)</f>
        <v>-665.102493959016</v>
      </c>
      <c r="AC32" s="501"/>
      <c r="AD32" s="501"/>
      <c r="AE32" s="501"/>
      <c r="AF32" s="501"/>
      <c r="AG32" s="501"/>
      <c r="AH32" s="501"/>
      <c r="AI32" s="501"/>
      <c r="AJ32" s="501"/>
      <c r="AK32" s="501"/>
      <c r="AL32" s="501"/>
      <c r="AM32" s="501"/>
      <c r="AN32" s="501"/>
      <c r="AO32" s="501"/>
      <c r="AP32" s="501"/>
      <c r="AQ32" s="501"/>
      <c r="AR32" s="501"/>
      <c r="AS32" s="501"/>
      <c r="AT32" s="501"/>
      <c r="AU32" s="501"/>
      <c r="AV32" s="501"/>
      <c r="AW32" s="501"/>
      <c r="AX32" s="501"/>
      <c r="AY32" s="501"/>
      <c r="AZ32" s="501"/>
      <c r="BA32" s="501"/>
      <c r="BB32" s="501"/>
      <c r="BC32" s="501"/>
      <c r="BD32" s="501"/>
      <c r="BE32" s="501"/>
      <c r="BF32" s="501"/>
      <c r="BG32" s="501"/>
      <c r="BH32" s="501"/>
      <c r="BI32" s="501"/>
      <c r="BJ32" s="501"/>
      <c r="BK32" s="501"/>
      <c r="BL32" s="501"/>
      <c r="BM32" s="501"/>
      <c r="BN32" s="501"/>
      <c r="BO32" s="501"/>
      <c r="BP32" s="501"/>
      <c r="BQ32" s="501"/>
      <c r="BR32" s="501"/>
      <c r="BS32" s="501"/>
      <c r="BT32" s="501"/>
      <c r="BU32" s="501"/>
      <c r="BV32" s="501"/>
      <c r="BW32" s="501"/>
      <c r="BX32" s="501"/>
      <c r="BY32" s="501"/>
      <c r="BZ32" s="501"/>
      <c r="CA32" s="501"/>
      <c r="CB32" s="501"/>
      <c r="CC32" s="501"/>
      <c r="CD32" s="501"/>
      <c r="CE32" s="501"/>
      <c r="CF32" s="501"/>
      <c r="CG32" s="501"/>
      <c r="CH32" s="501"/>
      <c r="CI32" s="501"/>
      <c r="CJ32" s="501"/>
      <c r="CK32" s="501"/>
      <c r="CL32" s="501"/>
      <c r="CM32" s="501"/>
      <c r="CN32" s="501"/>
      <c r="CO32" s="501"/>
      <c r="CP32" s="501"/>
      <c r="CQ32" s="501"/>
      <c r="CR32" s="501"/>
      <c r="CS32" s="501"/>
      <c r="CT32" s="501"/>
      <c r="CU32" s="501"/>
      <c r="CV32" s="501"/>
      <c r="CW32" s="501"/>
      <c r="CX32" s="501"/>
      <c r="CY32" s="501"/>
      <c r="CZ32" s="501"/>
      <c r="DA32" s="501"/>
      <c r="DB32" s="501"/>
      <c r="DC32" s="501"/>
      <c r="DD32" s="501"/>
      <c r="DE32" s="501"/>
      <c r="DF32" s="501"/>
      <c r="DG32" s="501"/>
      <c r="DH32" s="501"/>
      <c r="DI32" s="501"/>
      <c r="DJ32" s="501"/>
      <c r="DK32" s="501"/>
      <c r="DL32" s="501"/>
      <c r="DM32" s="501"/>
      <c r="DN32" s="501"/>
      <c r="DO32" s="501"/>
      <c r="DP32" s="501"/>
      <c r="DQ32" s="501"/>
      <c r="DR32" s="501"/>
      <c r="DS32" s="501"/>
      <c r="DT32" s="501"/>
      <c r="DU32" s="501"/>
      <c r="DV32" s="501"/>
      <c r="DW32" s="501"/>
      <c r="DX32" s="501"/>
      <c r="DY32" s="501"/>
      <c r="DZ32" s="501"/>
      <c r="EA32" s="501"/>
      <c r="EB32" s="501"/>
      <c r="EC32" s="501"/>
      <c r="ED32" s="501"/>
      <c r="EE32" s="501"/>
      <c r="EF32" s="501"/>
      <c r="EG32" s="501"/>
      <c r="EH32" s="501"/>
      <c r="EI32" s="501"/>
      <c r="EJ32" s="501"/>
      <c r="EK32" s="501"/>
      <c r="EL32" s="501"/>
      <c r="EM32" s="501"/>
      <c r="EN32" s="501"/>
      <c r="EO32" s="501"/>
      <c r="EP32" s="501"/>
      <c r="EQ32" s="501"/>
      <c r="ER32" s="501"/>
      <c r="ES32" s="501"/>
      <c r="ET32" s="501"/>
      <c r="EU32" s="501"/>
      <c r="EV32" s="501"/>
      <c r="EW32" s="501"/>
      <c r="EX32" s="501"/>
      <c r="EY32" s="501"/>
      <c r="EZ32" s="501"/>
      <c r="FA32" s="501"/>
      <c r="FB32" s="501"/>
      <c r="FC32" s="501"/>
      <c r="FD32" s="501"/>
      <c r="FE32" s="501"/>
      <c r="FF32" s="501"/>
      <c r="FG32" s="501"/>
      <c r="FH32" s="501"/>
      <c r="FI32" s="501"/>
      <c r="FJ32" s="501"/>
      <c r="FK32" s="501"/>
      <c r="FL32" s="501"/>
      <c r="FM32" s="501"/>
      <c r="FN32" s="501"/>
      <c r="FO32" s="501"/>
      <c r="FP32" s="501"/>
      <c r="FQ32" s="501"/>
      <c r="FR32" s="501"/>
      <c r="FS32" s="501"/>
      <c r="FT32" s="501"/>
      <c r="FU32" s="501"/>
      <c r="FV32" s="501"/>
      <c r="FW32" s="501"/>
      <c r="FX32" s="501"/>
      <c r="FY32" s="501"/>
      <c r="FZ32" s="501"/>
      <c r="GA32" s="501"/>
      <c r="GB32" s="501"/>
      <c r="GC32" s="501"/>
      <c r="GD32" s="501"/>
      <c r="GE32" s="501"/>
      <c r="GF32" s="501"/>
      <c r="GG32" s="501"/>
      <c r="GH32" s="501"/>
      <c r="GI32" s="501"/>
      <c r="GJ32" s="501"/>
      <c r="GK32" s="501"/>
      <c r="GL32" s="501"/>
      <c r="GM32" s="501"/>
      <c r="GN32" s="501"/>
      <c r="GO32" s="501"/>
      <c r="GP32" s="501"/>
      <c r="GQ32" s="501"/>
      <c r="GR32" s="501"/>
      <c r="GS32" s="501"/>
      <c r="GT32" s="501"/>
      <c r="GU32" s="501"/>
      <c r="GV32" s="501"/>
      <c r="GW32" s="501"/>
      <c r="GX32" s="501"/>
      <c r="GY32" s="501"/>
      <c r="GZ32" s="501"/>
      <c r="HA32" s="501"/>
      <c r="HB32" s="501"/>
      <c r="HC32" s="501"/>
      <c r="HD32" s="501"/>
      <c r="HE32" s="501"/>
      <c r="HF32" s="501"/>
      <c r="HG32" s="501"/>
      <c r="HH32" s="501"/>
      <c r="HI32" s="501"/>
      <c r="HJ32" s="501"/>
      <c r="HK32" s="501"/>
      <c r="HL32" s="501"/>
      <c r="HM32" s="501"/>
      <c r="HN32" s="501"/>
      <c r="HO32" s="501"/>
      <c r="HP32" s="501"/>
      <c r="HQ32" s="501"/>
      <c r="HR32" s="501"/>
      <c r="HS32" s="501"/>
      <c r="HT32" s="501"/>
      <c r="HU32" s="501"/>
      <c r="HV32" s="501"/>
      <c r="HW32" s="501"/>
      <c r="HX32" s="501"/>
      <c r="HY32" s="501"/>
      <c r="HZ32" s="501"/>
      <c r="IA32" s="501"/>
      <c r="IB32" s="501"/>
      <c r="IC32" s="501"/>
      <c r="ID32" s="501"/>
      <c r="IE32" s="501"/>
      <c r="IF32" s="501"/>
      <c r="IG32" s="501"/>
      <c r="IH32" s="501"/>
      <c r="II32" s="501"/>
      <c r="IJ32" s="501"/>
      <c r="IK32" s="501"/>
      <c r="IL32" s="501"/>
      <c r="IM32" s="501"/>
      <c r="IN32" s="501"/>
      <c r="IO32" s="501"/>
      <c r="IP32" s="501"/>
      <c r="IQ32" s="501"/>
      <c r="IR32" s="501"/>
      <c r="IS32" s="501"/>
      <c r="IT32" s="501"/>
      <c r="IU32" s="501"/>
      <c r="IV32" s="501"/>
      <c r="IW32" s="501"/>
    </row>
    <row r="33" customFormat="false" ht="12.75" hidden="false" customHeight="false" outlineLevel="0" collapsed="false">
      <c r="A33" s="495"/>
      <c r="B33" s="496" t="s">
        <v>255</v>
      </c>
      <c r="C33" s="497" t="s">
        <v>236</v>
      </c>
      <c r="D33" s="498"/>
      <c r="E33" s="499" t="n">
        <f aca="false">-EINC!E30+IF(E$7=YEAR(Startops1),-Assm!$R80,0)</f>
        <v>0</v>
      </c>
      <c r="F33" s="499" t="n">
        <f aca="false">-EINC!F30+IF(F$7=YEAR(Startops1),-Assm!$R80,0)</f>
        <v>0</v>
      </c>
      <c r="G33" s="499" t="n">
        <f aca="false">-EINC!G30+IF(G$7=YEAR(Startops1),-Assm!$R80,0)</f>
        <v>0</v>
      </c>
      <c r="H33" s="499" t="n">
        <f aca="false">-EINC!H30+IF(H$7=YEAR(Startops1),-Assm!$R80,0)</f>
        <v>-160.444559155393</v>
      </c>
      <c r="I33" s="499" t="n">
        <f aca="false">-EINC!I30+IF(I$7=YEAR(Startops1),-Assm!$R80,0)</f>
        <v>9.25641687434958</v>
      </c>
      <c r="J33" s="499" t="n">
        <f aca="false">-EINC!J30+IF(J$7=YEAR(Startops1),-Assm!$R80,0)</f>
        <v>9.25641687434958</v>
      </c>
      <c r="K33" s="499" t="n">
        <f aca="false">-EINC!K30+IF(K$7=YEAR(Startops1),-Assm!$R80,0)</f>
        <v>9.25641687434958</v>
      </c>
      <c r="L33" s="499" t="n">
        <f aca="false">-EINC!L30+IF(L$7=YEAR(Startops1),-Assm!$R80,0)</f>
        <v>9.25641687434958</v>
      </c>
      <c r="M33" s="499" t="n">
        <f aca="false">-EINC!M30+IF(M$7=YEAR(Startops1),-Assm!$R80,0)</f>
        <v>9.25641687434958</v>
      </c>
      <c r="N33" s="499" t="n">
        <f aca="false">-EINC!N30+IF(N$7=YEAR(Startops1),-Assm!$R80,0)</f>
        <v>9.25641687434958</v>
      </c>
      <c r="O33" s="499" t="n">
        <f aca="false">-EINC!O30+IF(O$7=YEAR(Startops1),-Assm!$R80,0)</f>
        <v>9.25641687434958</v>
      </c>
      <c r="P33" s="499" t="n">
        <f aca="false">-EINC!P30+IF(P$7=YEAR(Startops1),-Assm!$R80,0)</f>
        <v>9.25641687434958</v>
      </c>
      <c r="Q33" s="499" t="n">
        <f aca="false">-EINC!Q30+IF(Q$7=YEAR(Startops1),-Assm!$R80,0)</f>
        <v>9.25641687434958</v>
      </c>
      <c r="R33" s="499" t="n">
        <f aca="false">-EINC!R30+IF(R$7=YEAR(Startops1),-Assm!$R80,0)</f>
        <v>9.25641687434958</v>
      </c>
      <c r="S33" s="499" t="n">
        <f aca="false">-EINC!S30+IF(S$7=YEAR(Startops1),-Assm!$R80,0)</f>
        <v>9.25641687434958</v>
      </c>
      <c r="T33" s="499" t="n">
        <f aca="false">-EINC!T30+IF(T$7=YEAR(Startops1),-Assm!$R80,0)</f>
        <v>9.25641687434958</v>
      </c>
      <c r="U33" s="499" t="n">
        <f aca="false">-EINC!U30+IF(U$7=YEAR(Startops1),-Assm!$R80,0)</f>
        <v>9.25641687434958</v>
      </c>
      <c r="V33" s="499" t="n">
        <f aca="false">-EINC!V30+IF(V$7=YEAR(Startops1),-Assm!$R80,0)</f>
        <v>9.25641687434958</v>
      </c>
      <c r="W33" s="499" t="n">
        <f aca="false">-EINC!W30+IF(W$7=YEAR(Startops1),-Assm!$R80,0)</f>
        <v>9.25641687434958</v>
      </c>
      <c r="X33" s="499" t="n">
        <f aca="false">-EINC!X30+IF(X$7=YEAR(Startops1),-Assm!$R80,0)</f>
        <v>9.25641687434958</v>
      </c>
      <c r="Y33" s="499" t="n">
        <f aca="false">-EINC!Y30+IF(Y$7=YEAR(Startops1),-Assm!$R80,0)</f>
        <v>9.25641687434958</v>
      </c>
      <c r="Z33" s="499" t="n">
        <f aca="false">-EINC!Z30+IF(Z$7=YEAR(Startops1),-Assm!$R80,0)</f>
        <v>3.08547229144986</v>
      </c>
      <c r="AA33" s="500" t="n">
        <f aca="false">SUM(D33:Z33)</f>
        <v>0</v>
      </c>
      <c r="AB33" s="500" t="n">
        <f aca="false">$E33+NPV(Disc,$F33:Z33)</f>
        <v>-67.7226409018899</v>
      </c>
      <c r="AC33" s="501"/>
      <c r="AD33" s="501"/>
      <c r="AE33" s="501"/>
      <c r="AF33" s="501"/>
      <c r="AG33" s="501"/>
      <c r="AH33" s="501"/>
      <c r="AI33" s="501"/>
      <c r="AJ33" s="501"/>
      <c r="AK33" s="501"/>
      <c r="AL33" s="501"/>
      <c r="AM33" s="501"/>
      <c r="AN33" s="501"/>
      <c r="AO33" s="501"/>
      <c r="AP33" s="501"/>
      <c r="AQ33" s="501"/>
      <c r="AR33" s="501"/>
      <c r="AS33" s="501"/>
      <c r="AT33" s="501"/>
      <c r="AU33" s="501"/>
      <c r="AV33" s="501"/>
      <c r="AW33" s="501"/>
      <c r="AX33" s="501"/>
      <c r="AY33" s="501"/>
      <c r="AZ33" s="501"/>
      <c r="BA33" s="501"/>
      <c r="BB33" s="501"/>
      <c r="BC33" s="501"/>
      <c r="BD33" s="501"/>
      <c r="BE33" s="501"/>
      <c r="BF33" s="501"/>
      <c r="BG33" s="501"/>
      <c r="BH33" s="501"/>
      <c r="BI33" s="501"/>
      <c r="BJ33" s="501"/>
      <c r="BK33" s="501"/>
      <c r="BL33" s="501"/>
      <c r="BM33" s="501"/>
      <c r="BN33" s="501"/>
      <c r="BO33" s="501"/>
      <c r="BP33" s="501"/>
      <c r="BQ33" s="501"/>
      <c r="BR33" s="501"/>
      <c r="BS33" s="501"/>
      <c r="BT33" s="501"/>
      <c r="BU33" s="501"/>
      <c r="BV33" s="501"/>
      <c r="BW33" s="501"/>
      <c r="BX33" s="501"/>
      <c r="BY33" s="501"/>
      <c r="BZ33" s="501"/>
      <c r="CA33" s="501"/>
      <c r="CB33" s="501"/>
      <c r="CC33" s="501"/>
      <c r="CD33" s="501"/>
      <c r="CE33" s="501"/>
      <c r="CF33" s="501"/>
      <c r="CG33" s="501"/>
      <c r="CH33" s="501"/>
      <c r="CI33" s="501"/>
      <c r="CJ33" s="501"/>
      <c r="CK33" s="501"/>
      <c r="CL33" s="501"/>
      <c r="CM33" s="501"/>
      <c r="CN33" s="501"/>
      <c r="CO33" s="501"/>
      <c r="CP33" s="501"/>
      <c r="CQ33" s="501"/>
      <c r="CR33" s="501"/>
      <c r="CS33" s="501"/>
      <c r="CT33" s="501"/>
      <c r="CU33" s="501"/>
      <c r="CV33" s="501"/>
      <c r="CW33" s="501"/>
      <c r="CX33" s="501"/>
      <c r="CY33" s="501"/>
      <c r="CZ33" s="501"/>
      <c r="DA33" s="501"/>
      <c r="DB33" s="501"/>
      <c r="DC33" s="501"/>
      <c r="DD33" s="501"/>
      <c r="DE33" s="501"/>
      <c r="DF33" s="501"/>
      <c r="DG33" s="501"/>
      <c r="DH33" s="501"/>
      <c r="DI33" s="501"/>
      <c r="DJ33" s="501"/>
      <c r="DK33" s="501"/>
      <c r="DL33" s="501"/>
      <c r="DM33" s="501"/>
      <c r="DN33" s="501"/>
      <c r="DO33" s="501"/>
      <c r="DP33" s="501"/>
      <c r="DQ33" s="501"/>
      <c r="DR33" s="501"/>
      <c r="DS33" s="501"/>
      <c r="DT33" s="501"/>
      <c r="DU33" s="501"/>
      <c r="DV33" s="501"/>
      <c r="DW33" s="501"/>
      <c r="DX33" s="501"/>
      <c r="DY33" s="501"/>
      <c r="DZ33" s="501"/>
      <c r="EA33" s="501"/>
      <c r="EB33" s="501"/>
      <c r="EC33" s="501"/>
      <c r="ED33" s="501"/>
      <c r="EE33" s="501"/>
      <c r="EF33" s="501"/>
      <c r="EG33" s="501"/>
      <c r="EH33" s="501"/>
      <c r="EI33" s="501"/>
      <c r="EJ33" s="501"/>
      <c r="EK33" s="501"/>
      <c r="EL33" s="501"/>
      <c r="EM33" s="501"/>
      <c r="EN33" s="501"/>
      <c r="EO33" s="501"/>
      <c r="EP33" s="501"/>
      <c r="EQ33" s="501"/>
      <c r="ER33" s="501"/>
      <c r="ES33" s="501"/>
      <c r="ET33" s="501"/>
      <c r="EU33" s="501"/>
      <c r="EV33" s="501"/>
      <c r="EW33" s="501"/>
      <c r="EX33" s="501"/>
      <c r="EY33" s="501"/>
      <c r="EZ33" s="501"/>
      <c r="FA33" s="501"/>
      <c r="FB33" s="501"/>
      <c r="FC33" s="501"/>
      <c r="FD33" s="501"/>
      <c r="FE33" s="501"/>
      <c r="FF33" s="501"/>
      <c r="FG33" s="501"/>
      <c r="FH33" s="501"/>
      <c r="FI33" s="501"/>
      <c r="FJ33" s="501"/>
      <c r="FK33" s="501"/>
      <c r="FL33" s="501"/>
      <c r="FM33" s="501"/>
      <c r="FN33" s="501"/>
      <c r="FO33" s="501"/>
      <c r="FP33" s="501"/>
      <c r="FQ33" s="501"/>
      <c r="FR33" s="501"/>
      <c r="FS33" s="501"/>
      <c r="FT33" s="501"/>
      <c r="FU33" s="501"/>
      <c r="FV33" s="501"/>
      <c r="FW33" s="501"/>
      <c r="FX33" s="501"/>
      <c r="FY33" s="501"/>
      <c r="FZ33" s="501"/>
      <c r="GA33" s="501"/>
      <c r="GB33" s="501"/>
      <c r="GC33" s="501"/>
      <c r="GD33" s="501"/>
      <c r="GE33" s="501"/>
      <c r="GF33" s="501"/>
      <c r="GG33" s="501"/>
      <c r="GH33" s="501"/>
      <c r="GI33" s="501"/>
      <c r="GJ33" s="501"/>
      <c r="GK33" s="501"/>
      <c r="GL33" s="501"/>
      <c r="GM33" s="501"/>
      <c r="GN33" s="501"/>
      <c r="GO33" s="501"/>
      <c r="GP33" s="501"/>
      <c r="GQ33" s="501"/>
      <c r="GR33" s="501"/>
      <c r="GS33" s="501"/>
      <c r="GT33" s="501"/>
      <c r="GU33" s="501"/>
      <c r="GV33" s="501"/>
      <c r="GW33" s="501"/>
      <c r="GX33" s="501"/>
      <c r="GY33" s="501"/>
      <c r="GZ33" s="501"/>
      <c r="HA33" s="501"/>
      <c r="HB33" s="501"/>
      <c r="HC33" s="501"/>
      <c r="HD33" s="501"/>
      <c r="HE33" s="501"/>
      <c r="HF33" s="501"/>
      <c r="HG33" s="501"/>
      <c r="HH33" s="501"/>
      <c r="HI33" s="501"/>
      <c r="HJ33" s="501"/>
      <c r="HK33" s="501"/>
      <c r="HL33" s="501"/>
      <c r="HM33" s="501"/>
      <c r="HN33" s="501"/>
      <c r="HO33" s="501"/>
      <c r="HP33" s="501"/>
      <c r="HQ33" s="501"/>
      <c r="HR33" s="501"/>
      <c r="HS33" s="501"/>
      <c r="HT33" s="501"/>
      <c r="HU33" s="501"/>
      <c r="HV33" s="501"/>
      <c r="HW33" s="501"/>
      <c r="HX33" s="501"/>
      <c r="HY33" s="501"/>
      <c r="HZ33" s="501"/>
      <c r="IA33" s="501"/>
      <c r="IB33" s="501"/>
      <c r="IC33" s="501"/>
      <c r="ID33" s="501"/>
      <c r="IE33" s="501"/>
      <c r="IF33" s="501"/>
      <c r="IG33" s="501"/>
      <c r="IH33" s="501"/>
      <c r="II33" s="501"/>
      <c r="IJ33" s="501"/>
      <c r="IK33" s="501"/>
      <c r="IL33" s="501"/>
      <c r="IM33" s="501"/>
      <c r="IN33" s="501"/>
      <c r="IO33" s="501"/>
      <c r="IP33" s="501"/>
      <c r="IQ33" s="501"/>
      <c r="IR33" s="501"/>
      <c r="IS33" s="501"/>
      <c r="IT33" s="501"/>
      <c r="IU33" s="501"/>
      <c r="IV33" s="501"/>
      <c r="IW33" s="501"/>
    </row>
    <row r="34" customFormat="false" ht="12.75" hidden="false" customHeight="false" outlineLevel="0" collapsed="false">
      <c r="A34" s="495"/>
      <c r="B34" s="496" t="s">
        <v>257</v>
      </c>
      <c r="C34" s="497" t="s">
        <v>236</v>
      </c>
      <c r="D34" s="498"/>
      <c r="E34" s="499" t="n">
        <f aca="false">-EINC!E31+IF(E$7=YEAR(Startops1),-Assm!$R81,0)</f>
        <v>0</v>
      </c>
      <c r="F34" s="499" t="n">
        <f aca="false">-EINC!F31+IF(F$7=YEAR(Startops1),-Assm!$R81,0)</f>
        <v>0</v>
      </c>
      <c r="G34" s="499" t="n">
        <f aca="false">-EINC!G31+IF(G$7=YEAR(Startops1),-Assm!$R81,0)</f>
        <v>0</v>
      </c>
      <c r="H34" s="499" t="n">
        <f aca="false">-EINC!H31+IF(H$7=YEAR(Startops1),-Assm!$R81,0)</f>
        <v>-646.899082568807</v>
      </c>
      <c r="I34" s="499" t="n">
        <f aca="false">-EINC!I31+IF(I$7=YEAR(Startops1),-Assm!$R81,0)</f>
        <v>37.3211009174312</v>
      </c>
      <c r="J34" s="499" t="n">
        <f aca="false">-EINC!J31+IF(J$7=YEAR(Startops1),-Assm!$R81,0)</f>
        <v>37.3211009174312</v>
      </c>
      <c r="K34" s="499" t="n">
        <f aca="false">-EINC!K31+IF(K$7=YEAR(Startops1),-Assm!$R81,0)</f>
        <v>37.3211009174312</v>
      </c>
      <c r="L34" s="499" t="n">
        <f aca="false">-EINC!L31+IF(L$7=YEAR(Startops1),-Assm!$R81,0)</f>
        <v>37.3211009174312</v>
      </c>
      <c r="M34" s="499" t="n">
        <f aca="false">-EINC!M31+IF(M$7=YEAR(Startops1),-Assm!$R81,0)</f>
        <v>37.3211009174312</v>
      </c>
      <c r="N34" s="499" t="n">
        <f aca="false">-EINC!N31+IF(N$7=YEAR(Startops1),-Assm!$R81,0)</f>
        <v>37.3211009174312</v>
      </c>
      <c r="O34" s="499" t="n">
        <f aca="false">-EINC!O31+IF(O$7=YEAR(Startops1),-Assm!$R81,0)</f>
        <v>37.3211009174312</v>
      </c>
      <c r="P34" s="499" t="n">
        <f aca="false">-EINC!P31+IF(P$7=YEAR(Startops1),-Assm!$R81,0)</f>
        <v>37.3211009174312</v>
      </c>
      <c r="Q34" s="499" t="n">
        <f aca="false">-EINC!Q31+IF(Q$7=YEAR(Startops1),-Assm!$R81,0)</f>
        <v>37.3211009174312</v>
      </c>
      <c r="R34" s="499" t="n">
        <f aca="false">-EINC!R31+IF(R$7=YEAR(Startops1),-Assm!$R81,0)</f>
        <v>37.3211009174312</v>
      </c>
      <c r="S34" s="499" t="n">
        <f aca="false">-EINC!S31+IF(S$7=YEAR(Startops1),-Assm!$R81,0)</f>
        <v>37.3211009174312</v>
      </c>
      <c r="T34" s="499" t="n">
        <f aca="false">-EINC!T31+IF(T$7=YEAR(Startops1),-Assm!$R81,0)</f>
        <v>37.3211009174312</v>
      </c>
      <c r="U34" s="499" t="n">
        <f aca="false">-EINC!U31+IF(U$7=YEAR(Startops1),-Assm!$R81,0)</f>
        <v>37.3211009174312</v>
      </c>
      <c r="V34" s="499" t="n">
        <f aca="false">-EINC!V31+IF(V$7=YEAR(Startops1),-Assm!$R81,0)</f>
        <v>37.3211009174312</v>
      </c>
      <c r="W34" s="499" t="n">
        <f aca="false">-EINC!W31+IF(W$7=YEAR(Startops1),-Assm!$R81,0)</f>
        <v>37.3211009174312</v>
      </c>
      <c r="X34" s="499" t="n">
        <f aca="false">-EINC!X31+IF(X$7=YEAR(Startops1),-Assm!$R81,0)</f>
        <v>37.3211009174312</v>
      </c>
      <c r="Y34" s="499" t="n">
        <f aca="false">-EINC!Y31+IF(Y$7=YEAR(Startops1),-Assm!$R81,0)</f>
        <v>37.3211009174312</v>
      </c>
      <c r="Z34" s="499" t="n">
        <f aca="false">-EINC!Z31+IF(Z$7=YEAR(Startops1),-Assm!$R81,0)</f>
        <v>12.4403669724771</v>
      </c>
      <c r="AA34" s="500" t="n">
        <f aca="false">SUM(D34:Z34)</f>
        <v>-6.57252030578093E-014</v>
      </c>
      <c r="AB34" s="500" t="n">
        <f aca="false">$E34+NPV(Disc,$F34:Z34)</f>
        <v>-273.052040525345</v>
      </c>
      <c r="AC34" s="501"/>
      <c r="AD34" s="501"/>
      <c r="AE34" s="501"/>
      <c r="AF34" s="501"/>
      <c r="AG34" s="501"/>
      <c r="AH34" s="501"/>
      <c r="AI34" s="501"/>
      <c r="AJ34" s="501"/>
      <c r="AK34" s="501"/>
      <c r="AL34" s="501"/>
      <c r="AM34" s="501"/>
      <c r="AN34" s="501"/>
      <c r="AO34" s="501"/>
      <c r="AP34" s="501"/>
      <c r="AQ34" s="501"/>
      <c r="AR34" s="501"/>
      <c r="AS34" s="501"/>
      <c r="AT34" s="501"/>
      <c r="AU34" s="501"/>
      <c r="AV34" s="501"/>
      <c r="AW34" s="501"/>
      <c r="AX34" s="501"/>
      <c r="AY34" s="501"/>
      <c r="AZ34" s="501"/>
      <c r="BA34" s="501"/>
      <c r="BB34" s="501"/>
      <c r="BC34" s="501"/>
      <c r="BD34" s="501"/>
      <c r="BE34" s="501"/>
      <c r="BF34" s="501"/>
      <c r="BG34" s="501"/>
      <c r="BH34" s="501"/>
      <c r="BI34" s="501"/>
      <c r="BJ34" s="501"/>
      <c r="BK34" s="501"/>
      <c r="BL34" s="501"/>
      <c r="BM34" s="501"/>
      <c r="BN34" s="501"/>
      <c r="BO34" s="501"/>
      <c r="BP34" s="501"/>
      <c r="BQ34" s="501"/>
      <c r="BR34" s="501"/>
      <c r="BS34" s="501"/>
      <c r="BT34" s="501"/>
      <c r="BU34" s="501"/>
      <c r="BV34" s="501"/>
      <c r="BW34" s="501"/>
      <c r="BX34" s="501"/>
      <c r="BY34" s="501"/>
      <c r="BZ34" s="501"/>
      <c r="CA34" s="501"/>
      <c r="CB34" s="501"/>
      <c r="CC34" s="501"/>
      <c r="CD34" s="501"/>
      <c r="CE34" s="501"/>
      <c r="CF34" s="501"/>
      <c r="CG34" s="501"/>
      <c r="CH34" s="501"/>
      <c r="CI34" s="501"/>
      <c r="CJ34" s="501"/>
      <c r="CK34" s="501"/>
      <c r="CL34" s="501"/>
      <c r="CM34" s="501"/>
      <c r="CN34" s="501"/>
      <c r="CO34" s="501"/>
      <c r="CP34" s="501"/>
      <c r="CQ34" s="501"/>
      <c r="CR34" s="501"/>
      <c r="CS34" s="501"/>
      <c r="CT34" s="501"/>
      <c r="CU34" s="501"/>
      <c r="CV34" s="501"/>
      <c r="CW34" s="501"/>
      <c r="CX34" s="501"/>
      <c r="CY34" s="501"/>
      <c r="CZ34" s="501"/>
      <c r="DA34" s="501"/>
      <c r="DB34" s="501"/>
      <c r="DC34" s="501"/>
      <c r="DD34" s="501"/>
      <c r="DE34" s="501"/>
      <c r="DF34" s="501"/>
      <c r="DG34" s="501"/>
      <c r="DH34" s="501"/>
      <c r="DI34" s="501"/>
      <c r="DJ34" s="501"/>
      <c r="DK34" s="501"/>
      <c r="DL34" s="501"/>
      <c r="DM34" s="501"/>
      <c r="DN34" s="501"/>
      <c r="DO34" s="501"/>
      <c r="DP34" s="501"/>
      <c r="DQ34" s="501"/>
      <c r="DR34" s="501"/>
      <c r="DS34" s="501"/>
      <c r="DT34" s="501"/>
      <c r="DU34" s="501"/>
      <c r="DV34" s="501"/>
      <c r="DW34" s="501"/>
      <c r="DX34" s="501"/>
      <c r="DY34" s="501"/>
      <c r="DZ34" s="501"/>
      <c r="EA34" s="501"/>
      <c r="EB34" s="501"/>
      <c r="EC34" s="501"/>
      <c r="ED34" s="501"/>
      <c r="EE34" s="501"/>
      <c r="EF34" s="501"/>
      <c r="EG34" s="501"/>
      <c r="EH34" s="501"/>
      <c r="EI34" s="501"/>
      <c r="EJ34" s="501"/>
      <c r="EK34" s="501"/>
      <c r="EL34" s="501"/>
      <c r="EM34" s="501"/>
      <c r="EN34" s="501"/>
      <c r="EO34" s="501"/>
      <c r="EP34" s="501"/>
      <c r="EQ34" s="501"/>
      <c r="ER34" s="501"/>
      <c r="ES34" s="501"/>
      <c r="ET34" s="501"/>
      <c r="EU34" s="501"/>
      <c r="EV34" s="501"/>
      <c r="EW34" s="501"/>
      <c r="EX34" s="501"/>
      <c r="EY34" s="501"/>
      <c r="EZ34" s="501"/>
      <c r="FA34" s="501"/>
      <c r="FB34" s="501"/>
      <c r="FC34" s="501"/>
      <c r="FD34" s="501"/>
      <c r="FE34" s="501"/>
      <c r="FF34" s="501"/>
      <c r="FG34" s="501"/>
      <c r="FH34" s="501"/>
      <c r="FI34" s="501"/>
      <c r="FJ34" s="501"/>
      <c r="FK34" s="501"/>
      <c r="FL34" s="501"/>
      <c r="FM34" s="501"/>
      <c r="FN34" s="501"/>
      <c r="FO34" s="501"/>
      <c r="FP34" s="501"/>
      <c r="FQ34" s="501"/>
      <c r="FR34" s="501"/>
      <c r="FS34" s="501"/>
      <c r="FT34" s="501"/>
      <c r="FU34" s="501"/>
      <c r="FV34" s="501"/>
      <c r="FW34" s="501"/>
      <c r="FX34" s="501"/>
      <c r="FY34" s="501"/>
      <c r="FZ34" s="501"/>
      <c r="GA34" s="501"/>
      <c r="GB34" s="501"/>
      <c r="GC34" s="501"/>
      <c r="GD34" s="501"/>
      <c r="GE34" s="501"/>
      <c r="GF34" s="501"/>
      <c r="GG34" s="501"/>
      <c r="GH34" s="501"/>
      <c r="GI34" s="501"/>
      <c r="GJ34" s="501"/>
      <c r="GK34" s="501"/>
      <c r="GL34" s="501"/>
      <c r="GM34" s="501"/>
      <c r="GN34" s="501"/>
      <c r="GO34" s="501"/>
      <c r="GP34" s="501"/>
      <c r="GQ34" s="501"/>
      <c r="GR34" s="501"/>
      <c r="GS34" s="501"/>
      <c r="GT34" s="501"/>
      <c r="GU34" s="501"/>
      <c r="GV34" s="501"/>
      <c r="GW34" s="501"/>
      <c r="GX34" s="501"/>
      <c r="GY34" s="501"/>
      <c r="GZ34" s="501"/>
      <c r="HA34" s="501"/>
      <c r="HB34" s="501"/>
      <c r="HC34" s="501"/>
      <c r="HD34" s="501"/>
      <c r="HE34" s="501"/>
      <c r="HF34" s="501"/>
      <c r="HG34" s="501"/>
      <c r="HH34" s="501"/>
      <c r="HI34" s="501"/>
      <c r="HJ34" s="501"/>
      <c r="HK34" s="501"/>
      <c r="HL34" s="501"/>
      <c r="HM34" s="501"/>
      <c r="HN34" s="501"/>
      <c r="HO34" s="501"/>
      <c r="HP34" s="501"/>
      <c r="HQ34" s="501"/>
      <c r="HR34" s="501"/>
      <c r="HS34" s="501"/>
      <c r="HT34" s="501"/>
      <c r="HU34" s="501"/>
      <c r="HV34" s="501"/>
      <c r="HW34" s="501"/>
      <c r="HX34" s="501"/>
      <c r="HY34" s="501"/>
      <c r="HZ34" s="501"/>
      <c r="IA34" s="501"/>
      <c r="IB34" s="501"/>
      <c r="IC34" s="501"/>
      <c r="ID34" s="501"/>
      <c r="IE34" s="501"/>
      <c r="IF34" s="501"/>
      <c r="IG34" s="501"/>
      <c r="IH34" s="501"/>
      <c r="II34" s="501"/>
      <c r="IJ34" s="501"/>
      <c r="IK34" s="501"/>
      <c r="IL34" s="501"/>
      <c r="IM34" s="501"/>
      <c r="IN34" s="501"/>
      <c r="IO34" s="501"/>
      <c r="IP34" s="501"/>
      <c r="IQ34" s="501"/>
      <c r="IR34" s="501"/>
      <c r="IS34" s="501"/>
      <c r="IT34" s="501"/>
      <c r="IU34" s="501"/>
      <c r="IV34" s="501"/>
      <c r="IW34" s="501"/>
    </row>
    <row r="35" customFormat="false" ht="12.75" hidden="false" customHeight="false" outlineLevel="0" collapsed="false">
      <c r="A35" s="502" t="n">
        <f aca="false">Assm!$I$75</f>
        <v>0.3</v>
      </c>
      <c r="B35" s="496" t="s">
        <v>513</v>
      </c>
      <c r="C35" s="497" t="s">
        <v>236</v>
      </c>
      <c r="D35" s="498"/>
      <c r="E35" s="499" t="n">
        <f aca="false">IF(E$7=YEAR(Startops1),Assm!$O$35*$A35,0)</f>
        <v>0</v>
      </c>
      <c r="F35" s="499" t="n">
        <f aca="false">IF(F$7=YEAR(Startops1),Assm!$O$35*$A35,0)</f>
        <v>0</v>
      </c>
      <c r="G35" s="499" t="n">
        <f aca="false">IF(G$7=YEAR(Startops1),Assm!$O$35*$A35,0)</f>
        <v>0</v>
      </c>
      <c r="H35" s="499" t="n">
        <f aca="false">IF(H$7=YEAR(Startops1),Assm!$O$35*$A35,0)</f>
        <v>0</v>
      </c>
      <c r="I35" s="499" t="n">
        <f aca="false">IF(I$7=YEAR(Startops1),Assm!$O$35*$A35,0)</f>
        <v>0</v>
      </c>
      <c r="J35" s="499" t="n">
        <f aca="false">IF(J$7=YEAR(Startops1),Assm!$O$35*$A35,0)</f>
        <v>0</v>
      </c>
      <c r="K35" s="499" t="n">
        <f aca="false">IF(K$7=YEAR(Startops1),Assm!$O$35*$A35,0)</f>
        <v>0</v>
      </c>
      <c r="L35" s="499" t="n">
        <f aca="false">IF(L$7=YEAR(Startops1),Assm!$O$35*$A35,0)</f>
        <v>0</v>
      </c>
      <c r="M35" s="499" t="n">
        <f aca="false">IF(M$7=YEAR(Startops1),Assm!$O$35*$A35,0)</f>
        <v>0</v>
      </c>
      <c r="N35" s="499" t="n">
        <f aca="false">IF(N$7=YEAR(Startops1),Assm!$O$35*$A35,0)</f>
        <v>0</v>
      </c>
      <c r="O35" s="499" t="n">
        <f aca="false">IF(O$7=YEAR(Startops1),Assm!$O$35*$A35,0)</f>
        <v>0</v>
      </c>
      <c r="P35" s="499" t="n">
        <f aca="false">IF(P$7=YEAR(Startops1),Assm!$O$35*$A35,0)</f>
        <v>0</v>
      </c>
      <c r="Q35" s="499" t="n">
        <f aca="false">IF(Q$7=YEAR(Startops1),Assm!$O$35*$A35,0)</f>
        <v>0</v>
      </c>
      <c r="R35" s="499" t="n">
        <f aca="false">IF(R$7=YEAR(Startops1),Assm!$O$35*$A35,0)</f>
        <v>0</v>
      </c>
      <c r="S35" s="499" t="n">
        <f aca="false">IF(S$7=YEAR(Startops1),Assm!$O$35*$A35,0)</f>
        <v>0</v>
      </c>
      <c r="T35" s="499" t="n">
        <f aca="false">IF(T$7=YEAR(Startops1),Assm!$O$35*$A35,0)</f>
        <v>0</v>
      </c>
      <c r="U35" s="499" t="n">
        <f aca="false">IF(U$7=YEAR(Startops1),Assm!$O$35*$A35,0)</f>
        <v>0</v>
      </c>
      <c r="V35" s="499" t="n">
        <f aca="false">IF(V$7=YEAR(Startops1),Assm!$O$35*$A35,0)</f>
        <v>0</v>
      </c>
      <c r="W35" s="499" t="n">
        <f aca="false">IF(W$7=YEAR(Startops1),Assm!$O$35*$A35,0)</f>
        <v>0</v>
      </c>
      <c r="X35" s="499" t="n">
        <f aca="false">IF(X$7=YEAR(Startops1),Assm!$O$35*$A35,0)</f>
        <v>0</v>
      </c>
      <c r="Y35" s="499" t="n">
        <f aca="false">IF(Y$7=YEAR(Startops1),Assm!$O$35*$A35,0)</f>
        <v>0</v>
      </c>
      <c r="Z35" s="499" t="n">
        <f aca="false">IF(Z$7=YEAR(Startops1),Assm!$O$35*$A35,0)</f>
        <v>0</v>
      </c>
      <c r="AA35" s="500" t="n">
        <f aca="false">SUM(D35:Z35)</f>
        <v>0</v>
      </c>
      <c r="AB35" s="500" t="n">
        <f aca="false">$E35+NPV(Disc,$F35:Z35)</f>
        <v>0</v>
      </c>
      <c r="AC35" s="501"/>
      <c r="AD35" s="501"/>
      <c r="AE35" s="501"/>
      <c r="AF35" s="501"/>
      <c r="AG35" s="501"/>
      <c r="AH35" s="501"/>
      <c r="AI35" s="501"/>
      <c r="AJ35" s="501"/>
      <c r="AK35" s="501"/>
      <c r="AL35" s="501"/>
      <c r="AM35" s="501"/>
      <c r="AN35" s="501"/>
      <c r="AO35" s="501"/>
      <c r="AP35" s="501"/>
      <c r="AQ35" s="501"/>
      <c r="AR35" s="501"/>
      <c r="AS35" s="501"/>
      <c r="AT35" s="501"/>
      <c r="AU35" s="501"/>
      <c r="AV35" s="501"/>
      <c r="AW35" s="501"/>
      <c r="AX35" s="501"/>
      <c r="AY35" s="501"/>
      <c r="AZ35" s="501"/>
      <c r="BA35" s="501"/>
      <c r="BB35" s="501"/>
      <c r="BC35" s="501"/>
      <c r="BD35" s="501"/>
      <c r="BE35" s="501"/>
      <c r="BF35" s="501"/>
      <c r="BG35" s="501"/>
      <c r="BH35" s="501"/>
      <c r="BI35" s="501"/>
      <c r="BJ35" s="501"/>
      <c r="BK35" s="501"/>
      <c r="BL35" s="501"/>
      <c r="BM35" s="501"/>
      <c r="BN35" s="501"/>
      <c r="BO35" s="501"/>
      <c r="BP35" s="501"/>
      <c r="BQ35" s="501"/>
      <c r="BR35" s="501"/>
      <c r="BS35" s="501"/>
      <c r="BT35" s="501"/>
      <c r="BU35" s="501"/>
      <c r="BV35" s="501"/>
      <c r="BW35" s="501"/>
      <c r="BX35" s="501"/>
      <c r="BY35" s="501"/>
      <c r="BZ35" s="501"/>
      <c r="CA35" s="501"/>
      <c r="CB35" s="501"/>
      <c r="CC35" s="501"/>
      <c r="CD35" s="501"/>
      <c r="CE35" s="501"/>
      <c r="CF35" s="501"/>
      <c r="CG35" s="501"/>
      <c r="CH35" s="501"/>
      <c r="CI35" s="501"/>
      <c r="CJ35" s="501"/>
      <c r="CK35" s="501"/>
      <c r="CL35" s="501"/>
      <c r="CM35" s="501"/>
      <c r="CN35" s="501"/>
      <c r="CO35" s="501"/>
      <c r="CP35" s="501"/>
      <c r="CQ35" s="501"/>
      <c r="CR35" s="501"/>
      <c r="CS35" s="501"/>
      <c r="CT35" s="501"/>
      <c r="CU35" s="501"/>
      <c r="CV35" s="501"/>
      <c r="CW35" s="501"/>
      <c r="CX35" s="501"/>
      <c r="CY35" s="501"/>
      <c r="CZ35" s="501"/>
      <c r="DA35" s="501"/>
      <c r="DB35" s="501"/>
      <c r="DC35" s="501"/>
      <c r="DD35" s="501"/>
      <c r="DE35" s="501"/>
      <c r="DF35" s="501"/>
      <c r="DG35" s="501"/>
      <c r="DH35" s="501"/>
      <c r="DI35" s="501"/>
      <c r="DJ35" s="501"/>
      <c r="DK35" s="501"/>
      <c r="DL35" s="501"/>
      <c r="DM35" s="501"/>
      <c r="DN35" s="501"/>
      <c r="DO35" s="501"/>
      <c r="DP35" s="501"/>
      <c r="DQ35" s="501"/>
      <c r="DR35" s="501"/>
      <c r="DS35" s="501"/>
      <c r="DT35" s="501"/>
      <c r="DU35" s="501"/>
      <c r="DV35" s="501"/>
      <c r="DW35" s="501"/>
      <c r="DX35" s="501"/>
      <c r="DY35" s="501"/>
      <c r="DZ35" s="501"/>
      <c r="EA35" s="501"/>
      <c r="EB35" s="501"/>
      <c r="EC35" s="501"/>
      <c r="ED35" s="501"/>
      <c r="EE35" s="501"/>
      <c r="EF35" s="501"/>
      <c r="EG35" s="501"/>
      <c r="EH35" s="501"/>
      <c r="EI35" s="501"/>
      <c r="EJ35" s="501"/>
      <c r="EK35" s="501"/>
      <c r="EL35" s="501"/>
      <c r="EM35" s="501"/>
      <c r="EN35" s="501"/>
      <c r="EO35" s="501"/>
      <c r="EP35" s="501"/>
      <c r="EQ35" s="501"/>
      <c r="ER35" s="501"/>
      <c r="ES35" s="501"/>
      <c r="ET35" s="501"/>
      <c r="EU35" s="501"/>
      <c r="EV35" s="501"/>
      <c r="EW35" s="501"/>
      <c r="EX35" s="501"/>
      <c r="EY35" s="501"/>
      <c r="EZ35" s="501"/>
      <c r="FA35" s="501"/>
      <c r="FB35" s="501"/>
      <c r="FC35" s="501"/>
      <c r="FD35" s="501"/>
      <c r="FE35" s="501"/>
      <c r="FF35" s="501"/>
      <c r="FG35" s="501"/>
      <c r="FH35" s="501"/>
      <c r="FI35" s="501"/>
      <c r="FJ35" s="501"/>
      <c r="FK35" s="501"/>
      <c r="FL35" s="501"/>
      <c r="FM35" s="501"/>
      <c r="FN35" s="501"/>
      <c r="FO35" s="501"/>
      <c r="FP35" s="501"/>
      <c r="FQ35" s="501"/>
      <c r="FR35" s="501"/>
      <c r="FS35" s="501"/>
      <c r="FT35" s="501"/>
      <c r="FU35" s="501"/>
      <c r="FV35" s="501"/>
      <c r="FW35" s="501"/>
      <c r="FX35" s="501"/>
      <c r="FY35" s="501"/>
      <c r="FZ35" s="501"/>
      <c r="GA35" s="501"/>
      <c r="GB35" s="501"/>
      <c r="GC35" s="501"/>
      <c r="GD35" s="501"/>
      <c r="GE35" s="501"/>
      <c r="GF35" s="501"/>
      <c r="GG35" s="501"/>
      <c r="GH35" s="501"/>
      <c r="GI35" s="501"/>
      <c r="GJ35" s="501"/>
      <c r="GK35" s="501"/>
      <c r="GL35" s="501"/>
      <c r="GM35" s="501"/>
      <c r="GN35" s="501"/>
      <c r="GO35" s="501"/>
      <c r="GP35" s="501"/>
      <c r="GQ35" s="501"/>
      <c r="GR35" s="501"/>
      <c r="GS35" s="501"/>
      <c r="GT35" s="501"/>
      <c r="GU35" s="501"/>
      <c r="GV35" s="501"/>
      <c r="GW35" s="501"/>
      <c r="GX35" s="501"/>
      <c r="GY35" s="501"/>
      <c r="GZ35" s="501"/>
      <c r="HA35" s="501"/>
      <c r="HB35" s="501"/>
      <c r="HC35" s="501"/>
      <c r="HD35" s="501"/>
      <c r="HE35" s="501"/>
      <c r="HF35" s="501"/>
      <c r="HG35" s="501"/>
      <c r="HH35" s="501"/>
      <c r="HI35" s="501"/>
      <c r="HJ35" s="501"/>
      <c r="HK35" s="501"/>
      <c r="HL35" s="501"/>
      <c r="HM35" s="501"/>
      <c r="HN35" s="501"/>
      <c r="HO35" s="501"/>
      <c r="HP35" s="501"/>
      <c r="HQ35" s="501"/>
      <c r="HR35" s="501"/>
      <c r="HS35" s="501"/>
      <c r="HT35" s="501"/>
      <c r="HU35" s="501"/>
      <c r="HV35" s="501"/>
      <c r="HW35" s="501"/>
      <c r="HX35" s="501"/>
      <c r="HY35" s="501"/>
      <c r="HZ35" s="501"/>
      <c r="IA35" s="501"/>
      <c r="IB35" s="501"/>
      <c r="IC35" s="501"/>
      <c r="ID35" s="501"/>
      <c r="IE35" s="501"/>
      <c r="IF35" s="501"/>
      <c r="IG35" s="501"/>
      <c r="IH35" s="501"/>
      <c r="II35" s="501"/>
      <c r="IJ35" s="501"/>
      <c r="IK35" s="501"/>
      <c r="IL35" s="501"/>
      <c r="IM35" s="501"/>
      <c r="IN35" s="501"/>
      <c r="IO35" s="501"/>
      <c r="IP35" s="501"/>
      <c r="IQ35" s="501"/>
      <c r="IR35" s="501"/>
      <c r="IS35" s="501"/>
      <c r="IT35" s="501"/>
      <c r="IU35" s="501"/>
      <c r="IV35" s="501"/>
      <c r="IW35" s="501"/>
    </row>
    <row r="36" customFormat="false" ht="12.75" hidden="false" customHeight="false" outlineLevel="0" collapsed="false">
      <c r="A36" s="502" t="n">
        <f aca="false">Assm!$I$76</f>
        <v>0</v>
      </c>
      <c r="B36" s="496" t="s">
        <v>514</v>
      </c>
      <c r="C36" s="497" t="s">
        <v>236</v>
      </c>
      <c r="D36" s="496"/>
      <c r="E36" s="499" t="n">
        <f aca="false">IF(E$7&lt;YEAR(Startops1),0,HLOOKUP(E$7,CF_Table,CF!$AB$28)*$A36)</f>
        <v>0</v>
      </c>
      <c r="F36" s="499" t="n">
        <f aca="false">IF(F$7&lt;YEAR(Startops1),0,HLOOKUP(F$7,CF_Table,CF!$AB$28)*$A36)</f>
        <v>0</v>
      </c>
      <c r="G36" s="499" t="n">
        <f aca="false">IF(G$7&lt;YEAR(Startops1),0,HLOOKUP(G$7,CF_Table,CF!$AB$28)*$A36)</f>
        <v>0</v>
      </c>
      <c r="H36" s="499" t="n">
        <f aca="false">IF(H$7&lt;YEAR(Startops1),0,HLOOKUP(H$7,CF_Table,CF!$AB$28)*$A36)</f>
        <v>0</v>
      </c>
      <c r="I36" s="499" t="n">
        <f aca="false">IF(I$7&lt;YEAR(Startops1),0,HLOOKUP(I$7,CF_Table,CF!$AB$28)*$A36)</f>
        <v>0</v>
      </c>
      <c r="J36" s="499" t="n">
        <f aca="false">IF(J$7&lt;YEAR(Startops1),0,HLOOKUP(J$7,CF_Table,CF!$AB$28)*$A36)</f>
        <v>0</v>
      </c>
      <c r="K36" s="499" t="n">
        <f aca="false">IF(K$7&lt;YEAR(Startops1),0,HLOOKUP(K$7,CF_Table,CF!$AB$28)*$A36)</f>
        <v>0</v>
      </c>
      <c r="L36" s="499" t="n">
        <f aca="false">IF(L$7&lt;YEAR(Startops1),0,HLOOKUP(L$7,CF_Table,CF!$AB$28)*$A36)</f>
        <v>0</v>
      </c>
      <c r="M36" s="499" t="n">
        <f aca="false">IF(M$7&lt;YEAR(Startops1),0,HLOOKUP(M$7,CF_Table,CF!$AB$28)*$A36)</f>
        <v>0</v>
      </c>
      <c r="N36" s="499" t="n">
        <f aca="false">IF(N$7&lt;YEAR(Startops1),0,HLOOKUP(N$7,CF_Table,CF!$AB$28)*$A36)</f>
        <v>0</v>
      </c>
      <c r="O36" s="499" t="n">
        <f aca="false">IF(O$7&lt;YEAR(Startops1),0,HLOOKUP(O$7,CF_Table,CF!$AB$28)*$A36)</f>
        <v>0</v>
      </c>
      <c r="P36" s="499" t="n">
        <f aca="false">IF(P$7&lt;YEAR(Startops1),0,HLOOKUP(P$7,CF_Table,CF!$AB$28)*$A36)</f>
        <v>0</v>
      </c>
      <c r="Q36" s="499" t="n">
        <f aca="false">IF(Q$7&lt;YEAR(Startops1),0,HLOOKUP(Q$7,CF_Table,CF!$AB$28)*$A36)</f>
        <v>0</v>
      </c>
      <c r="R36" s="499" t="n">
        <f aca="false">IF(R$7&lt;YEAR(Startops1),0,HLOOKUP(R$7,CF_Table,CF!$AB$28)*$A36)</f>
        <v>0</v>
      </c>
      <c r="S36" s="499" t="n">
        <f aca="false">IF(S$7&lt;YEAR(Startops1),0,HLOOKUP(S$7,CF_Table,CF!$AB$28)*$A36)</f>
        <v>0</v>
      </c>
      <c r="T36" s="499" t="n">
        <f aca="false">IF(T$7&lt;YEAR(Startops1),0,HLOOKUP(T$7,CF_Table,CF!$AB$28)*$A36)</f>
        <v>0</v>
      </c>
      <c r="U36" s="499" t="n">
        <f aca="false">IF(U$7&lt;YEAR(Startops1),0,HLOOKUP(U$7,CF_Table,CF!$AB$28)*$A36)</f>
        <v>0</v>
      </c>
      <c r="V36" s="499" t="n">
        <f aca="false">IF(V$7&lt;YEAR(Startops1),0,HLOOKUP(V$7,CF_Table,CF!$AB$28)*$A36)</f>
        <v>0</v>
      </c>
      <c r="W36" s="499" t="n">
        <f aca="false">IF(W$7&lt;YEAR(Startops1),0,HLOOKUP(W$7,CF_Table,CF!$AB$28)*$A36)</f>
        <v>0</v>
      </c>
      <c r="X36" s="499" t="n">
        <f aca="false">IF(X$7&lt;YEAR(Startops1),0,HLOOKUP(X$7,CF_Table,CF!$AB$28)*$A36)</f>
        <v>0</v>
      </c>
      <c r="Y36" s="499" t="n">
        <f aca="false">IF(Y$7&lt;YEAR(Startops1),0,HLOOKUP(Y$7,CF_Table,CF!$AB$28)*$A36)</f>
        <v>0</v>
      </c>
      <c r="Z36" s="499" t="n">
        <f aca="false">IF(Z$7&lt;YEAR(Startops1),0,HLOOKUP(Z$7,CF_Table,CF!$AB$28)*$A36)</f>
        <v>0</v>
      </c>
      <c r="AA36" s="500" t="n">
        <f aca="false">SUM(D36:Z36)</f>
        <v>0</v>
      </c>
      <c r="AB36" s="500" t="n">
        <f aca="false">$E36+NPV(Disc,$F36:Z36)</f>
        <v>0</v>
      </c>
      <c r="AC36" s="501"/>
      <c r="AD36" s="501"/>
      <c r="AE36" s="501"/>
      <c r="AF36" s="501"/>
      <c r="AG36" s="501"/>
      <c r="AH36" s="501"/>
      <c r="AI36" s="501"/>
      <c r="AJ36" s="501"/>
      <c r="AK36" s="501"/>
      <c r="AL36" s="501"/>
      <c r="AM36" s="501"/>
      <c r="AN36" s="501"/>
      <c r="AO36" s="501"/>
      <c r="AP36" s="501"/>
      <c r="AQ36" s="501"/>
      <c r="AR36" s="501"/>
      <c r="AS36" s="501"/>
      <c r="AT36" s="501"/>
      <c r="AU36" s="501"/>
      <c r="AV36" s="501"/>
      <c r="AW36" s="501"/>
      <c r="AX36" s="501"/>
      <c r="AY36" s="501"/>
      <c r="AZ36" s="501"/>
      <c r="BA36" s="501"/>
      <c r="BB36" s="501"/>
      <c r="BC36" s="501"/>
      <c r="BD36" s="501"/>
      <c r="BE36" s="501"/>
      <c r="BF36" s="501"/>
      <c r="BG36" s="501"/>
      <c r="BH36" s="501"/>
      <c r="BI36" s="501"/>
      <c r="BJ36" s="501"/>
      <c r="BK36" s="501"/>
      <c r="BL36" s="501"/>
      <c r="BM36" s="501"/>
      <c r="BN36" s="501"/>
      <c r="BO36" s="501"/>
      <c r="BP36" s="501"/>
      <c r="BQ36" s="501"/>
      <c r="BR36" s="501"/>
      <c r="BS36" s="501"/>
      <c r="BT36" s="501"/>
      <c r="BU36" s="501"/>
      <c r="BV36" s="501"/>
      <c r="BW36" s="501"/>
      <c r="BX36" s="501"/>
      <c r="BY36" s="501"/>
      <c r="BZ36" s="501"/>
      <c r="CA36" s="501"/>
      <c r="CB36" s="501"/>
      <c r="CC36" s="501"/>
      <c r="CD36" s="501"/>
      <c r="CE36" s="501"/>
      <c r="CF36" s="501"/>
      <c r="CG36" s="501"/>
      <c r="CH36" s="501"/>
      <c r="CI36" s="501"/>
      <c r="CJ36" s="501"/>
      <c r="CK36" s="501"/>
      <c r="CL36" s="501"/>
      <c r="CM36" s="501"/>
      <c r="CN36" s="501"/>
      <c r="CO36" s="501"/>
      <c r="CP36" s="501"/>
      <c r="CQ36" s="501"/>
      <c r="CR36" s="501"/>
      <c r="CS36" s="501"/>
      <c r="CT36" s="501"/>
      <c r="CU36" s="501"/>
      <c r="CV36" s="501"/>
      <c r="CW36" s="501"/>
      <c r="CX36" s="501"/>
      <c r="CY36" s="501"/>
      <c r="CZ36" s="501"/>
      <c r="DA36" s="501"/>
      <c r="DB36" s="501"/>
      <c r="DC36" s="501"/>
      <c r="DD36" s="501"/>
      <c r="DE36" s="501"/>
      <c r="DF36" s="501"/>
      <c r="DG36" s="501"/>
      <c r="DH36" s="501"/>
      <c r="DI36" s="501"/>
      <c r="DJ36" s="501"/>
      <c r="DK36" s="501"/>
      <c r="DL36" s="501"/>
      <c r="DM36" s="501"/>
      <c r="DN36" s="501"/>
      <c r="DO36" s="501"/>
      <c r="DP36" s="501"/>
      <c r="DQ36" s="501"/>
      <c r="DR36" s="501"/>
      <c r="DS36" s="501"/>
      <c r="DT36" s="501"/>
      <c r="DU36" s="501"/>
      <c r="DV36" s="501"/>
      <c r="DW36" s="501"/>
      <c r="DX36" s="501"/>
      <c r="DY36" s="501"/>
      <c r="DZ36" s="501"/>
      <c r="EA36" s="501"/>
      <c r="EB36" s="501"/>
      <c r="EC36" s="501"/>
      <c r="ED36" s="501"/>
      <c r="EE36" s="501"/>
      <c r="EF36" s="501"/>
      <c r="EG36" s="501"/>
      <c r="EH36" s="501"/>
      <c r="EI36" s="501"/>
      <c r="EJ36" s="501"/>
      <c r="EK36" s="501"/>
      <c r="EL36" s="501"/>
      <c r="EM36" s="501"/>
      <c r="EN36" s="501"/>
      <c r="EO36" s="501"/>
      <c r="EP36" s="501"/>
      <c r="EQ36" s="501"/>
      <c r="ER36" s="501"/>
      <c r="ES36" s="501"/>
      <c r="ET36" s="501"/>
      <c r="EU36" s="501"/>
      <c r="EV36" s="501"/>
      <c r="EW36" s="501"/>
      <c r="EX36" s="501"/>
      <c r="EY36" s="501"/>
      <c r="EZ36" s="501"/>
      <c r="FA36" s="501"/>
      <c r="FB36" s="501"/>
      <c r="FC36" s="501"/>
      <c r="FD36" s="501"/>
      <c r="FE36" s="501"/>
      <c r="FF36" s="501"/>
      <c r="FG36" s="501"/>
      <c r="FH36" s="501"/>
      <c r="FI36" s="501"/>
      <c r="FJ36" s="501"/>
      <c r="FK36" s="501"/>
      <c r="FL36" s="501"/>
      <c r="FM36" s="501"/>
      <c r="FN36" s="501"/>
      <c r="FO36" s="501"/>
      <c r="FP36" s="501"/>
      <c r="FQ36" s="501"/>
      <c r="FR36" s="501"/>
      <c r="FS36" s="501"/>
      <c r="FT36" s="501"/>
      <c r="FU36" s="501"/>
      <c r="FV36" s="501"/>
      <c r="FW36" s="501"/>
      <c r="FX36" s="501"/>
      <c r="FY36" s="501"/>
      <c r="FZ36" s="501"/>
      <c r="GA36" s="501"/>
      <c r="GB36" s="501"/>
      <c r="GC36" s="501"/>
      <c r="GD36" s="501"/>
      <c r="GE36" s="501"/>
      <c r="GF36" s="501"/>
      <c r="GG36" s="501"/>
      <c r="GH36" s="501"/>
      <c r="GI36" s="501"/>
      <c r="GJ36" s="501"/>
      <c r="GK36" s="501"/>
      <c r="GL36" s="501"/>
      <c r="GM36" s="501"/>
      <c r="GN36" s="501"/>
      <c r="GO36" s="501"/>
      <c r="GP36" s="501"/>
      <c r="GQ36" s="501"/>
      <c r="GR36" s="501"/>
      <c r="GS36" s="501"/>
      <c r="GT36" s="501"/>
      <c r="GU36" s="501"/>
      <c r="GV36" s="501"/>
      <c r="GW36" s="501"/>
      <c r="GX36" s="501"/>
      <c r="GY36" s="501"/>
      <c r="GZ36" s="501"/>
      <c r="HA36" s="501"/>
      <c r="HB36" s="501"/>
      <c r="HC36" s="501"/>
      <c r="HD36" s="501"/>
      <c r="HE36" s="501"/>
      <c r="HF36" s="501"/>
      <c r="HG36" s="501"/>
      <c r="HH36" s="501"/>
      <c r="HI36" s="501"/>
      <c r="HJ36" s="501"/>
      <c r="HK36" s="501"/>
      <c r="HL36" s="501"/>
      <c r="HM36" s="501"/>
      <c r="HN36" s="501"/>
      <c r="HO36" s="501"/>
      <c r="HP36" s="501"/>
      <c r="HQ36" s="501"/>
      <c r="HR36" s="501"/>
      <c r="HS36" s="501"/>
      <c r="HT36" s="501"/>
      <c r="HU36" s="501"/>
      <c r="HV36" s="501"/>
      <c r="HW36" s="501"/>
      <c r="HX36" s="501"/>
      <c r="HY36" s="501"/>
      <c r="HZ36" s="501"/>
      <c r="IA36" s="501"/>
      <c r="IB36" s="501"/>
      <c r="IC36" s="501"/>
      <c r="ID36" s="501"/>
      <c r="IE36" s="501"/>
      <c r="IF36" s="501"/>
      <c r="IG36" s="501"/>
      <c r="IH36" s="501"/>
      <c r="II36" s="501"/>
      <c r="IJ36" s="501"/>
      <c r="IK36" s="501"/>
      <c r="IL36" s="501"/>
      <c r="IM36" s="501"/>
      <c r="IN36" s="501"/>
      <c r="IO36" s="501"/>
      <c r="IP36" s="501"/>
      <c r="IQ36" s="501"/>
      <c r="IR36" s="501"/>
      <c r="IS36" s="501"/>
      <c r="IT36" s="501"/>
      <c r="IU36" s="501"/>
      <c r="IV36" s="501"/>
      <c r="IW36" s="501"/>
    </row>
    <row r="37" customFormat="false" ht="12.75" hidden="false" customHeight="false" outlineLevel="0" collapsed="false">
      <c r="A37" s="503"/>
      <c r="B37" s="484" t="s">
        <v>264</v>
      </c>
      <c r="C37" s="492"/>
      <c r="D37" s="485"/>
      <c r="E37" s="504" t="n">
        <f aca="false">-SUM(E29:E36)*USTax</f>
        <v>-338.603878328762</v>
      </c>
      <c r="F37" s="504" t="n">
        <f aca="false">-SUM(F29:F36)*USTax</f>
        <v>-1430.41522573233</v>
      </c>
      <c r="G37" s="504" t="n">
        <f aca="false">-SUM(G29:G36)*USTax</f>
        <v>-147.844425049708</v>
      </c>
      <c r="H37" s="504" t="n">
        <f aca="false">-SUM(H29:H36)*USTax</f>
        <v>364.63726912593</v>
      </c>
      <c r="I37" s="504" t="n">
        <f aca="false">-SUM(I29:I36)*USTax</f>
        <v>79.3815189919788</v>
      </c>
      <c r="J37" s="504" t="n">
        <f aca="false">-SUM(J29:J36)*USTax</f>
        <v>104.284210242032</v>
      </c>
      <c r="K37" s="504" t="n">
        <f aca="false">-SUM(K29:K36)*USTax</f>
        <v>124.219489321063</v>
      </c>
      <c r="L37" s="504" t="n">
        <f aca="false">-SUM(L29:L36)*USTax</f>
        <v>158.121182081925</v>
      </c>
      <c r="M37" s="504" t="n">
        <f aca="false">-SUM(M29:M36)*USTax</f>
        <v>172.702114392991</v>
      </c>
      <c r="N37" s="504" t="n">
        <f aca="false">-SUM(N29:N36)*USTax</f>
        <v>194.214423373169</v>
      </c>
      <c r="O37" s="504" t="n">
        <f aca="false">-SUM(O29:O36)*USTax</f>
        <v>194.668150452193</v>
      </c>
      <c r="P37" s="504" t="n">
        <f aca="false">-SUM(P29:P36)*USTax</f>
        <v>206.037656003573</v>
      </c>
      <c r="Q37" s="504" t="n">
        <f aca="false">-SUM(Q29:Q36)*USTax</f>
        <v>236.949647635637</v>
      </c>
      <c r="R37" s="504" t="n">
        <f aca="false">-SUM(R29:R36)*USTax</f>
        <v>269.949136585943</v>
      </c>
      <c r="S37" s="504" t="n">
        <f aca="false">-SUM(S29:S36)*USTax</f>
        <v>290.616204374701</v>
      </c>
      <c r="T37" s="504" t="n">
        <f aca="false">-SUM(T29:T36)*USTax</f>
        <v>291.39967138172</v>
      </c>
      <c r="U37" s="504" t="n">
        <f aca="false">-SUM(U29:U36)*USTax</f>
        <v>280.572854628528</v>
      </c>
      <c r="V37" s="504" t="n">
        <f aca="false">-SUM(V29:V36)*USTax</f>
        <v>271.93303139701</v>
      </c>
      <c r="W37" s="504" t="n">
        <f aca="false">-SUM(W29:W36)*USTax</f>
        <v>264.92906590784</v>
      </c>
      <c r="X37" s="504" t="n">
        <f aca="false">-SUM(X29:X36)*USTax</f>
        <v>301.24024298544</v>
      </c>
      <c r="Y37" s="504" t="n">
        <f aca="false">-SUM(Y29:Y36)*USTax</f>
        <v>337.822585744573</v>
      </c>
      <c r="Z37" s="504" t="n">
        <f aca="false">-SUM(Z29:Z36)*USTax</f>
        <v>154.207609776199</v>
      </c>
      <c r="AA37" s="505" t="n">
        <f aca="false">SUM(D37:Z37)</f>
        <v>2381.02253529164</v>
      </c>
      <c r="AB37" s="505" t="n">
        <f aca="false">$E37+NPV(Disc,$F37:Z37)</f>
        <v>-933.796247317224</v>
      </c>
      <c r="AC37" s="506"/>
      <c r="AD37" s="506"/>
      <c r="AE37" s="506"/>
      <c r="AF37" s="506"/>
      <c r="AG37" s="506"/>
      <c r="AH37" s="506"/>
      <c r="AI37" s="506"/>
      <c r="AJ37" s="506"/>
      <c r="AK37" s="506"/>
      <c r="AL37" s="506"/>
      <c r="AM37" s="506"/>
      <c r="AN37" s="506"/>
      <c r="AO37" s="506"/>
      <c r="AP37" s="506"/>
      <c r="AQ37" s="506"/>
      <c r="AR37" s="506"/>
      <c r="AS37" s="506"/>
      <c r="AT37" s="506"/>
      <c r="AU37" s="506"/>
      <c r="AV37" s="506"/>
      <c r="AW37" s="506"/>
      <c r="AX37" s="506"/>
      <c r="AY37" s="506"/>
      <c r="AZ37" s="506"/>
      <c r="BA37" s="506"/>
      <c r="BB37" s="506"/>
      <c r="BC37" s="506"/>
      <c r="BD37" s="506"/>
      <c r="BE37" s="506"/>
      <c r="BF37" s="506"/>
      <c r="BG37" s="506"/>
      <c r="BH37" s="506"/>
      <c r="BI37" s="506"/>
      <c r="BJ37" s="506"/>
      <c r="BK37" s="506"/>
      <c r="BL37" s="506"/>
      <c r="BM37" s="506"/>
      <c r="BN37" s="506"/>
      <c r="BO37" s="506"/>
      <c r="BP37" s="506"/>
      <c r="BQ37" s="506"/>
      <c r="BR37" s="506"/>
      <c r="BS37" s="506"/>
      <c r="BT37" s="506"/>
      <c r="BU37" s="506"/>
      <c r="BV37" s="506"/>
      <c r="BW37" s="506"/>
      <c r="BX37" s="506"/>
      <c r="BY37" s="506"/>
      <c r="BZ37" s="506"/>
      <c r="CA37" s="506"/>
      <c r="CB37" s="506"/>
      <c r="CC37" s="506"/>
      <c r="CD37" s="506"/>
      <c r="CE37" s="506"/>
      <c r="CF37" s="506"/>
      <c r="CG37" s="506"/>
      <c r="CH37" s="506"/>
      <c r="CI37" s="506"/>
      <c r="CJ37" s="506"/>
      <c r="CK37" s="506"/>
      <c r="CL37" s="506"/>
      <c r="CM37" s="506"/>
      <c r="CN37" s="506"/>
      <c r="CO37" s="506"/>
      <c r="CP37" s="506"/>
      <c r="CQ37" s="506"/>
      <c r="CR37" s="506"/>
      <c r="CS37" s="506"/>
      <c r="CT37" s="506"/>
      <c r="CU37" s="506"/>
      <c r="CV37" s="506"/>
      <c r="CW37" s="506"/>
      <c r="CX37" s="506"/>
      <c r="CY37" s="506"/>
      <c r="CZ37" s="506"/>
      <c r="DA37" s="506"/>
      <c r="DB37" s="506"/>
      <c r="DC37" s="506"/>
      <c r="DD37" s="506"/>
      <c r="DE37" s="506"/>
      <c r="DF37" s="506"/>
      <c r="DG37" s="506"/>
      <c r="DH37" s="506"/>
      <c r="DI37" s="506"/>
      <c r="DJ37" s="506"/>
      <c r="DK37" s="506"/>
      <c r="DL37" s="506"/>
      <c r="DM37" s="506"/>
      <c r="DN37" s="506"/>
      <c r="DO37" s="506"/>
      <c r="DP37" s="506"/>
      <c r="DQ37" s="506"/>
      <c r="DR37" s="506"/>
      <c r="DS37" s="506"/>
      <c r="DT37" s="506"/>
      <c r="DU37" s="506"/>
      <c r="DV37" s="506"/>
      <c r="DW37" s="506"/>
      <c r="DX37" s="506"/>
      <c r="DY37" s="506"/>
      <c r="DZ37" s="506"/>
      <c r="EA37" s="506"/>
      <c r="EB37" s="506"/>
      <c r="EC37" s="506"/>
      <c r="ED37" s="506"/>
      <c r="EE37" s="506"/>
      <c r="EF37" s="506"/>
      <c r="EG37" s="506"/>
      <c r="EH37" s="506"/>
      <c r="EI37" s="506"/>
      <c r="EJ37" s="506"/>
      <c r="EK37" s="506"/>
      <c r="EL37" s="506"/>
      <c r="EM37" s="506"/>
      <c r="EN37" s="506"/>
      <c r="EO37" s="506"/>
      <c r="EP37" s="506"/>
      <c r="EQ37" s="506"/>
      <c r="ER37" s="506"/>
      <c r="ES37" s="506"/>
      <c r="ET37" s="506"/>
      <c r="EU37" s="506"/>
      <c r="EV37" s="506"/>
      <c r="EW37" s="506"/>
      <c r="EX37" s="506"/>
      <c r="EY37" s="506"/>
      <c r="EZ37" s="506"/>
      <c r="FA37" s="506"/>
      <c r="FB37" s="506"/>
      <c r="FC37" s="506"/>
      <c r="FD37" s="506"/>
      <c r="FE37" s="506"/>
      <c r="FF37" s="506"/>
      <c r="FG37" s="506"/>
      <c r="FH37" s="506"/>
      <c r="FI37" s="506"/>
      <c r="FJ37" s="506"/>
      <c r="FK37" s="506"/>
      <c r="FL37" s="506"/>
      <c r="FM37" s="506"/>
      <c r="FN37" s="506"/>
      <c r="FO37" s="506"/>
      <c r="FP37" s="506"/>
      <c r="FQ37" s="506"/>
      <c r="FR37" s="506"/>
      <c r="FS37" s="506"/>
      <c r="FT37" s="506"/>
      <c r="FU37" s="506"/>
      <c r="FV37" s="506"/>
      <c r="FW37" s="506"/>
      <c r="FX37" s="506"/>
      <c r="FY37" s="506"/>
      <c r="FZ37" s="506"/>
      <c r="GA37" s="506"/>
      <c r="GB37" s="506"/>
      <c r="GC37" s="506"/>
      <c r="GD37" s="506"/>
      <c r="GE37" s="506"/>
      <c r="GF37" s="506"/>
      <c r="GG37" s="506"/>
      <c r="GH37" s="506"/>
      <c r="GI37" s="506"/>
      <c r="GJ37" s="506"/>
      <c r="GK37" s="506"/>
      <c r="GL37" s="506"/>
      <c r="GM37" s="506"/>
      <c r="GN37" s="506"/>
      <c r="GO37" s="506"/>
      <c r="GP37" s="506"/>
      <c r="GQ37" s="506"/>
      <c r="GR37" s="506"/>
      <c r="GS37" s="506"/>
      <c r="GT37" s="506"/>
      <c r="GU37" s="506"/>
      <c r="GV37" s="506"/>
      <c r="GW37" s="506"/>
      <c r="GX37" s="506"/>
      <c r="GY37" s="506"/>
      <c r="GZ37" s="506"/>
      <c r="HA37" s="506"/>
      <c r="HB37" s="506"/>
      <c r="HC37" s="506"/>
      <c r="HD37" s="506"/>
      <c r="HE37" s="506"/>
      <c r="HF37" s="506"/>
      <c r="HG37" s="506"/>
      <c r="HH37" s="506"/>
      <c r="HI37" s="506"/>
      <c r="HJ37" s="506"/>
      <c r="HK37" s="506"/>
      <c r="HL37" s="506"/>
      <c r="HM37" s="506"/>
      <c r="HN37" s="506"/>
      <c r="HO37" s="506"/>
      <c r="HP37" s="506"/>
      <c r="HQ37" s="506"/>
      <c r="HR37" s="506"/>
      <c r="HS37" s="506"/>
      <c r="HT37" s="506"/>
      <c r="HU37" s="506"/>
      <c r="HV37" s="506"/>
      <c r="HW37" s="506"/>
      <c r="HX37" s="506"/>
      <c r="HY37" s="506"/>
      <c r="HZ37" s="506"/>
      <c r="IA37" s="506"/>
      <c r="IB37" s="506"/>
      <c r="IC37" s="506"/>
      <c r="ID37" s="506"/>
      <c r="IE37" s="506"/>
      <c r="IF37" s="506"/>
      <c r="IG37" s="506"/>
      <c r="IH37" s="506"/>
      <c r="II37" s="506"/>
      <c r="IJ37" s="506"/>
      <c r="IK37" s="506"/>
      <c r="IL37" s="506"/>
      <c r="IM37" s="506"/>
      <c r="IN37" s="506"/>
      <c r="IO37" s="506"/>
      <c r="IP37" s="506"/>
      <c r="IQ37" s="506"/>
      <c r="IR37" s="506"/>
      <c r="IS37" s="506"/>
      <c r="IT37" s="506"/>
      <c r="IU37" s="506"/>
      <c r="IV37" s="506"/>
      <c r="IW37" s="506"/>
    </row>
    <row r="38" customFormat="false" ht="12.75" hidden="false" customHeight="false" outlineLevel="0" collapsed="false">
      <c r="A38" s="507"/>
      <c r="B38" s="39" t="s">
        <v>502</v>
      </c>
      <c r="C38" s="39"/>
      <c r="D38" s="462"/>
      <c r="E38" s="61" t="n">
        <f aca="false">SUM(E24:E37)</f>
        <v>-2535.159172224</v>
      </c>
      <c r="F38" s="61" t="n">
        <f aca="false">SUM(F24:F37)</f>
        <v>-6452.72722115846</v>
      </c>
      <c r="G38" s="61" t="n">
        <f aca="false">SUM(G24:G37)</f>
        <v>-5748.26489788833</v>
      </c>
      <c r="H38" s="61" t="n">
        <f aca="false">SUM(H24:H37)</f>
        <v>1187.53736095046</v>
      </c>
      <c r="I38" s="61" t="n">
        <f aca="false">SUM(I24:I37)</f>
        <v>1435.29260609149</v>
      </c>
      <c r="J38" s="61" t="n">
        <f aca="false">SUM(J24:J37)</f>
        <v>986.371210258166</v>
      </c>
      <c r="K38" s="61" t="n">
        <f aca="false">SUM(K24:K37)</f>
        <v>1464.86209933084</v>
      </c>
      <c r="L38" s="61" t="n">
        <f aca="false">SUM(L24:L37)</f>
        <v>250.283108887491</v>
      </c>
      <c r="M38" s="61" t="n">
        <f aca="false">SUM(M24:M37)</f>
        <v>1253.61504485292</v>
      </c>
      <c r="N38" s="61" t="n">
        <f aca="false">SUM(N24:N37)</f>
        <v>1412.09243780539</v>
      </c>
      <c r="O38" s="61" t="n">
        <f aca="false">SUM(O24:O37)</f>
        <v>2507.65757337681</v>
      </c>
      <c r="P38" s="61" t="n">
        <f aca="false">SUM(P24:P37)</f>
        <v>3801.03398891462</v>
      </c>
      <c r="Q38" s="61" t="n">
        <f aca="false">SUM(Q24:Q37)</f>
        <v>4117.84738762784</v>
      </c>
      <c r="R38" s="61" t="n">
        <f aca="false">SUM(R24:R37)</f>
        <v>3709.80134267984</v>
      </c>
      <c r="S38" s="61" t="n">
        <f aca="false">SUM(S24:S37)</f>
        <v>2471.4090117947</v>
      </c>
      <c r="T38" s="61" t="n">
        <f aca="false">SUM(T24:T37)</f>
        <v>2465.70126514766</v>
      </c>
      <c r="U38" s="61" t="n">
        <f aca="false">SUM(U24:U37)</f>
        <v>3083.41816647567</v>
      </c>
      <c r="V38" s="61" t="n">
        <f aca="false">SUM(V24:V37)</f>
        <v>4127.50142873931</v>
      </c>
      <c r="W38" s="61" t="n">
        <f aca="false">SUM(W24:W37)</f>
        <v>6147.25058908842</v>
      </c>
      <c r="X38" s="61" t="n">
        <f aca="false">SUM(X24:X37)</f>
        <v>6298.72068366026</v>
      </c>
      <c r="Y38" s="61" t="n">
        <f aca="false">SUM(Y24:Y37)</f>
        <v>6467.60604098712</v>
      </c>
      <c r="Z38" s="61" t="n">
        <f aca="false">SUM(Z24:Z37)</f>
        <v>103642.335889257</v>
      </c>
      <c r="AA38" s="309" t="n">
        <f aca="false">SUM(D38:Z38)</f>
        <v>142094.185944655</v>
      </c>
      <c r="AB38" s="309" t="n">
        <f aca="false">SUM(AB24:AB37)</f>
        <v>-2900.2143680298</v>
      </c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8"/>
      <c r="AQ38" s="508"/>
      <c r="AR38" s="508"/>
      <c r="AS38" s="508"/>
      <c r="AT38" s="508"/>
      <c r="AU38" s="508"/>
      <c r="AV38" s="508"/>
      <c r="AW38" s="508"/>
      <c r="AX38" s="508"/>
      <c r="AY38" s="508"/>
      <c r="AZ38" s="508"/>
      <c r="BA38" s="508"/>
      <c r="BB38" s="508"/>
      <c r="BC38" s="508"/>
      <c r="BD38" s="508"/>
      <c r="BE38" s="508"/>
      <c r="BF38" s="508"/>
      <c r="BG38" s="508"/>
      <c r="BH38" s="508"/>
      <c r="BI38" s="508"/>
      <c r="BJ38" s="508"/>
      <c r="BK38" s="508"/>
      <c r="BL38" s="508"/>
      <c r="BM38" s="508"/>
      <c r="BN38" s="508"/>
      <c r="BO38" s="508"/>
      <c r="BP38" s="508"/>
      <c r="BQ38" s="508"/>
      <c r="BR38" s="508"/>
      <c r="BS38" s="508"/>
      <c r="BT38" s="508"/>
      <c r="BU38" s="508"/>
      <c r="BV38" s="508"/>
      <c r="BW38" s="508"/>
      <c r="BX38" s="508"/>
      <c r="BY38" s="508"/>
      <c r="BZ38" s="508"/>
      <c r="CA38" s="508"/>
      <c r="CB38" s="508"/>
      <c r="CC38" s="508"/>
      <c r="CD38" s="508"/>
      <c r="CE38" s="508"/>
      <c r="CF38" s="508"/>
      <c r="CG38" s="508"/>
      <c r="CH38" s="508"/>
      <c r="CI38" s="508"/>
      <c r="CJ38" s="508"/>
      <c r="CK38" s="508"/>
      <c r="CL38" s="508"/>
      <c r="CM38" s="508"/>
      <c r="CN38" s="508"/>
      <c r="CO38" s="508"/>
      <c r="CP38" s="508"/>
      <c r="CQ38" s="508"/>
      <c r="CR38" s="508"/>
      <c r="CS38" s="508"/>
      <c r="CT38" s="508"/>
      <c r="CU38" s="508"/>
      <c r="CV38" s="508"/>
      <c r="CW38" s="508"/>
      <c r="CX38" s="508"/>
      <c r="CY38" s="508"/>
      <c r="CZ38" s="508"/>
      <c r="DA38" s="508"/>
      <c r="DB38" s="508"/>
      <c r="DC38" s="508"/>
      <c r="DD38" s="508"/>
      <c r="DE38" s="508"/>
      <c r="DF38" s="508"/>
      <c r="DG38" s="508"/>
      <c r="DH38" s="508"/>
      <c r="DI38" s="508"/>
      <c r="DJ38" s="508"/>
      <c r="DK38" s="508"/>
      <c r="DL38" s="508"/>
      <c r="DM38" s="508"/>
      <c r="DN38" s="508"/>
      <c r="DO38" s="508"/>
      <c r="DP38" s="508"/>
      <c r="DQ38" s="508"/>
      <c r="DR38" s="508"/>
      <c r="DS38" s="508"/>
      <c r="DT38" s="508"/>
      <c r="DU38" s="508"/>
      <c r="DV38" s="508"/>
      <c r="DW38" s="508"/>
      <c r="DX38" s="508"/>
      <c r="DY38" s="508"/>
      <c r="DZ38" s="508"/>
      <c r="EA38" s="508"/>
      <c r="EB38" s="508"/>
      <c r="EC38" s="508"/>
      <c r="ED38" s="508"/>
      <c r="EE38" s="508"/>
      <c r="EF38" s="508"/>
      <c r="EG38" s="508"/>
      <c r="EH38" s="508"/>
      <c r="EI38" s="508"/>
      <c r="EJ38" s="508"/>
      <c r="EK38" s="508"/>
      <c r="EL38" s="508"/>
      <c r="EM38" s="508"/>
      <c r="EN38" s="508"/>
      <c r="EO38" s="508"/>
      <c r="EP38" s="508"/>
      <c r="EQ38" s="508"/>
      <c r="ER38" s="508"/>
      <c r="ES38" s="508"/>
      <c r="ET38" s="508"/>
      <c r="EU38" s="508"/>
      <c r="EV38" s="508"/>
      <c r="EW38" s="508"/>
      <c r="EX38" s="508"/>
      <c r="EY38" s="508"/>
      <c r="EZ38" s="508"/>
      <c r="FA38" s="508"/>
      <c r="FB38" s="508"/>
      <c r="FC38" s="508"/>
      <c r="FD38" s="508"/>
      <c r="FE38" s="508"/>
      <c r="FF38" s="508"/>
      <c r="FG38" s="508"/>
      <c r="FH38" s="508"/>
      <c r="FI38" s="508"/>
      <c r="FJ38" s="508"/>
      <c r="FK38" s="508"/>
      <c r="FL38" s="508"/>
      <c r="FM38" s="508"/>
      <c r="FN38" s="508"/>
      <c r="FO38" s="508"/>
      <c r="FP38" s="508"/>
      <c r="FQ38" s="508"/>
      <c r="FR38" s="508"/>
      <c r="FS38" s="508"/>
      <c r="FT38" s="508"/>
      <c r="FU38" s="508"/>
      <c r="FV38" s="508"/>
      <c r="FW38" s="508"/>
      <c r="FX38" s="508"/>
      <c r="FY38" s="508"/>
      <c r="FZ38" s="508"/>
      <c r="GA38" s="508"/>
      <c r="GB38" s="508"/>
      <c r="GC38" s="508"/>
      <c r="GD38" s="508"/>
      <c r="GE38" s="508"/>
      <c r="GF38" s="508"/>
      <c r="GG38" s="508"/>
      <c r="GH38" s="508"/>
      <c r="GI38" s="508"/>
      <c r="GJ38" s="508"/>
      <c r="GK38" s="508"/>
      <c r="GL38" s="508"/>
      <c r="GM38" s="508"/>
      <c r="GN38" s="508"/>
      <c r="GO38" s="508"/>
      <c r="GP38" s="508"/>
      <c r="GQ38" s="508"/>
      <c r="GR38" s="508"/>
      <c r="GS38" s="508"/>
      <c r="GT38" s="508"/>
      <c r="GU38" s="508"/>
      <c r="GV38" s="508"/>
      <c r="GW38" s="508"/>
      <c r="GX38" s="508"/>
      <c r="GY38" s="508"/>
      <c r="GZ38" s="508"/>
      <c r="HA38" s="508"/>
      <c r="HB38" s="508"/>
      <c r="HC38" s="508"/>
      <c r="HD38" s="508"/>
      <c r="HE38" s="508"/>
      <c r="HF38" s="508"/>
      <c r="HG38" s="508"/>
      <c r="HH38" s="508"/>
      <c r="HI38" s="508"/>
      <c r="HJ38" s="508"/>
      <c r="HK38" s="508"/>
      <c r="HL38" s="508"/>
      <c r="HM38" s="508"/>
      <c r="HN38" s="508"/>
      <c r="HO38" s="508"/>
      <c r="HP38" s="508"/>
      <c r="HQ38" s="508"/>
      <c r="HR38" s="508"/>
      <c r="HS38" s="508"/>
      <c r="HT38" s="508"/>
      <c r="HU38" s="508"/>
      <c r="HV38" s="508"/>
      <c r="HW38" s="508"/>
      <c r="HX38" s="508"/>
      <c r="HY38" s="508"/>
      <c r="HZ38" s="508"/>
      <c r="IA38" s="508"/>
      <c r="IB38" s="508"/>
      <c r="IC38" s="508"/>
      <c r="ID38" s="508"/>
      <c r="IE38" s="508"/>
      <c r="IF38" s="508"/>
      <c r="IG38" s="508"/>
      <c r="IH38" s="508"/>
      <c r="II38" s="508"/>
      <c r="IJ38" s="508"/>
      <c r="IK38" s="508"/>
      <c r="IL38" s="508"/>
      <c r="IM38" s="508"/>
      <c r="IN38" s="508"/>
      <c r="IO38" s="508"/>
      <c r="IP38" s="508"/>
      <c r="IQ38" s="508"/>
      <c r="IR38" s="508"/>
      <c r="IS38" s="508"/>
      <c r="IT38" s="508"/>
      <c r="IU38" s="508"/>
      <c r="IV38" s="508"/>
      <c r="IW38" s="508"/>
    </row>
    <row r="39" customFormat="false" ht="12.75" hidden="false" customHeight="false" outlineLevel="0" collapsed="false">
      <c r="A39" s="507"/>
      <c r="B39" s="39"/>
      <c r="C39" s="39"/>
      <c r="D39" s="462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3"/>
      <c r="AB39" s="509"/>
      <c r="AC39" s="508"/>
      <c r="AD39" s="508"/>
      <c r="AE39" s="508"/>
      <c r="AF39" s="508"/>
      <c r="AG39" s="508"/>
      <c r="AH39" s="508"/>
      <c r="AI39" s="508"/>
      <c r="AJ39" s="508"/>
      <c r="AK39" s="508"/>
      <c r="AL39" s="508"/>
      <c r="AM39" s="508"/>
      <c r="AN39" s="508"/>
      <c r="AO39" s="508"/>
      <c r="AP39" s="508"/>
      <c r="AQ39" s="508"/>
      <c r="AR39" s="508"/>
      <c r="AS39" s="508"/>
      <c r="AT39" s="508"/>
      <c r="AU39" s="508"/>
      <c r="AV39" s="508"/>
      <c r="AW39" s="508"/>
      <c r="AX39" s="508"/>
      <c r="AY39" s="508"/>
      <c r="AZ39" s="508"/>
      <c r="BA39" s="508"/>
      <c r="BB39" s="508"/>
      <c r="BC39" s="508"/>
      <c r="BD39" s="508"/>
      <c r="BE39" s="508"/>
      <c r="BF39" s="508"/>
      <c r="BG39" s="508"/>
      <c r="BH39" s="508"/>
      <c r="BI39" s="508"/>
      <c r="BJ39" s="508"/>
      <c r="BK39" s="508"/>
      <c r="BL39" s="508"/>
      <c r="BM39" s="508"/>
      <c r="BN39" s="508"/>
      <c r="BO39" s="508"/>
      <c r="BP39" s="508"/>
      <c r="BQ39" s="508"/>
      <c r="BR39" s="508"/>
      <c r="BS39" s="508"/>
      <c r="BT39" s="508"/>
      <c r="BU39" s="508"/>
      <c r="BV39" s="508"/>
      <c r="BW39" s="508"/>
      <c r="BX39" s="508"/>
      <c r="BY39" s="508"/>
      <c r="BZ39" s="508"/>
      <c r="CA39" s="508"/>
      <c r="CB39" s="508"/>
      <c r="CC39" s="508"/>
      <c r="CD39" s="508"/>
      <c r="CE39" s="508"/>
      <c r="CF39" s="508"/>
      <c r="CG39" s="508"/>
      <c r="CH39" s="508"/>
      <c r="CI39" s="508"/>
      <c r="CJ39" s="508"/>
      <c r="CK39" s="508"/>
      <c r="CL39" s="508"/>
      <c r="CM39" s="508"/>
      <c r="CN39" s="508"/>
      <c r="CO39" s="508"/>
      <c r="CP39" s="508"/>
      <c r="CQ39" s="508"/>
      <c r="CR39" s="508"/>
      <c r="CS39" s="508"/>
      <c r="CT39" s="508"/>
      <c r="CU39" s="508"/>
      <c r="CV39" s="508"/>
      <c r="CW39" s="508"/>
      <c r="CX39" s="508"/>
      <c r="CY39" s="508"/>
      <c r="CZ39" s="508"/>
      <c r="DA39" s="508"/>
      <c r="DB39" s="508"/>
      <c r="DC39" s="508"/>
      <c r="DD39" s="508"/>
      <c r="DE39" s="508"/>
      <c r="DF39" s="508"/>
      <c r="DG39" s="508"/>
      <c r="DH39" s="508"/>
      <c r="DI39" s="508"/>
      <c r="DJ39" s="508"/>
      <c r="DK39" s="508"/>
      <c r="DL39" s="508"/>
      <c r="DM39" s="508"/>
      <c r="DN39" s="508"/>
      <c r="DO39" s="508"/>
      <c r="DP39" s="508"/>
      <c r="DQ39" s="508"/>
      <c r="DR39" s="508"/>
      <c r="DS39" s="508"/>
      <c r="DT39" s="508"/>
      <c r="DU39" s="508"/>
      <c r="DV39" s="508"/>
      <c r="DW39" s="508"/>
      <c r="DX39" s="508"/>
      <c r="DY39" s="508"/>
      <c r="DZ39" s="508"/>
      <c r="EA39" s="508"/>
      <c r="EB39" s="508"/>
      <c r="EC39" s="508"/>
      <c r="ED39" s="508"/>
      <c r="EE39" s="508"/>
      <c r="EF39" s="508"/>
      <c r="EG39" s="508"/>
      <c r="EH39" s="508"/>
      <c r="EI39" s="508"/>
      <c r="EJ39" s="508"/>
      <c r="EK39" s="508"/>
      <c r="EL39" s="508"/>
      <c r="EM39" s="508"/>
      <c r="EN39" s="508"/>
      <c r="EO39" s="508"/>
      <c r="EP39" s="508"/>
      <c r="EQ39" s="508"/>
      <c r="ER39" s="508"/>
      <c r="ES39" s="508"/>
      <c r="ET39" s="508"/>
      <c r="EU39" s="508"/>
      <c r="EV39" s="508"/>
      <c r="EW39" s="508"/>
      <c r="EX39" s="508"/>
      <c r="EY39" s="508"/>
      <c r="EZ39" s="508"/>
      <c r="FA39" s="508"/>
      <c r="FB39" s="508"/>
      <c r="FC39" s="508"/>
      <c r="FD39" s="508"/>
      <c r="FE39" s="508"/>
      <c r="FF39" s="508"/>
      <c r="FG39" s="508"/>
      <c r="FH39" s="508"/>
      <c r="FI39" s="508"/>
      <c r="FJ39" s="508"/>
      <c r="FK39" s="508"/>
      <c r="FL39" s="508"/>
      <c r="FM39" s="508"/>
      <c r="FN39" s="508"/>
      <c r="FO39" s="508"/>
      <c r="FP39" s="508"/>
      <c r="FQ39" s="508"/>
      <c r="FR39" s="508"/>
      <c r="FS39" s="508"/>
      <c r="FT39" s="508"/>
      <c r="FU39" s="508"/>
      <c r="FV39" s="508"/>
      <c r="FW39" s="508"/>
      <c r="FX39" s="508"/>
      <c r="FY39" s="508"/>
      <c r="FZ39" s="508"/>
      <c r="GA39" s="508"/>
      <c r="GB39" s="508"/>
      <c r="GC39" s="508"/>
      <c r="GD39" s="508"/>
      <c r="GE39" s="508"/>
      <c r="GF39" s="508"/>
      <c r="GG39" s="508"/>
      <c r="GH39" s="508"/>
      <c r="GI39" s="508"/>
      <c r="GJ39" s="508"/>
      <c r="GK39" s="508"/>
      <c r="GL39" s="508"/>
      <c r="GM39" s="508"/>
      <c r="GN39" s="508"/>
      <c r="GO39" s="508"/>
      <c r="GP39" s="508"/>
      <c r="GQ39" s="508"/>
      <c r="GR39" s="508"/>
      <c r="GS39" s="508"/>
      <c r="GT39" s="508"/>
      <c r="GU39" s="508"/>
      <c r="GV39" s="508"/>
      <c r="GW39" s="508"/>
      <c r="GX39" s="508"/>
      <c r="GY39" s="508"/>
      <c r="GZ39" s="508"/>
      <c r="HA39" s="508"/>
      <c r="HB39" s="508"/>
      <c r="HC39" s="508"/>
      <c r="HD39" s="508"/>
      <c r="HE39" s="508"/>
      <c r="HF39" s="508"/>
      <c r="HG39" s="508"/>
      <c r="HH39" s="508"/>
      <c r="HI39" s="508"/>
      <c r="HJ39" s="508"/>
      <c r="HK39" s="508"/>
      <c r="HL39" s="508"/>
      <c r="HM39" s="508"/>
      <c r="HN39" s="508"/>
      <c r="HO39" s="508"/>
      <c r="HP39" s="508"/>
      <c r="HQ39" s="508"/>
      <c r="HR39" s="508"/>
      <c r="HS39" s="508"/>
      <c r="HT39" s="508"/>
      <c r="HU39" s="508"/>
      <c r="HV39" s="508"/>
      <c r="HW39" s="508"/>
      <c r="HX39" s="508"/>
      <c r="HY39" s="508"/>
      <c r="HZ39" s="508"/>
      <c r="IA39" s="508"/>
      <c r="IB39" s="508"/>
      <c r="IC39" s="508"/>
      <c r="ID39" s="508"/>
      <c r="IE39" s="508"/>
      <c r="IF39" s="508"/>
      <c r="IG39" s="508"/>
      <c r="IH39" s="508"/>
      <c r="II39" s="508"/>
      <c r="IJ39" s="508"/>
      <c r="IK39" s="508"/>
      <c r="IL39" s="508"/>
      <c r="IM39" s="508"/>
      <c r="IN39" s="508"/>
      <c r="IO39" s="508"/>
      <c r="IP39" s="508"/>
      <c r="IQ39" s="508"/>
      <c r="IR39" s="508"/>
      <c r="IS39" s="508"/>
      <c r="IT39" s="508"/>
      <c r="IU39" s="508"/>
      <c r="IV39" s="508"/>
      <c r="IW39" s="508"/>
    </row>
    <row r="40" customFormat="false" ht="12.75" hidden="false" customHeight="false" outlineLevel="0" collapsed="false">
      <c r="A40" s="461"/>
      <c r="B40" s="39" t="s">
        <v>503</v>
      </c>
      <c r="C40" s="39"/>
      <c r="D40" s="329"/>
      <c r="E40" s="61" t="n">
        <f aca="false">$E38</f>
        <v>-2535.159172224</v>
      </c>
      <c r="F40" s="61" t="n">
        <f aca="false">$E38+NPV(Disc,$F38:F38)</f>
        <v>-7957.619021937</v>
      </c>
      <c r="G40" s="61" t="n">
        <f aca="false">$E38+NPV(Disc,$F38:G38)</f>
        <v>-12016.8414623638</v>
      </c>
      <c r="H40" s="61" t="n">
        <f aca="false">$E38+NPV(Disc,$F38:H38)</f>
        <v>-11312.1380124516</v>
      </c>
      <c r="I40" s="61" t="n">
        <f aca="false">$E38+NPV(Disc,$F38:I38)</f>
        <v>-10596.402440667</v>
      </c>
      <c r="J40" s="61" t="n">
        <f aca="false">$E38+NPV(Disc,$F38:J38)</f>
        <v>-10183.0642055039</v>
      </c>
      <c r="K40" s="61" t="n">
        <f aca="false">$E38+NPV(Disc,$F38:K38)</f>
        <v>-9667.2242548944</v>
      </c>
      <c r="L40" s="61" t="n">
        <f aca="false">$E38+NPV(Disc,$F38:L38)</f>
        <v>-9593.16099712026</v>
      </c>
      <c r="M40" s="61" t="n">
        <f aca="false">$E38+NPV(Disc,$F38:M38)</f>
        <v>-9281.42388748534</v>
      </c>
      <c r="N40" s="61" t="n">
        <f aca="false">$E38+NPV(Disc,$F38:N38)</f>
        <v>-8986.34341191893</v>
      </c>
      <c r="O40" s="61" t="n">
        <f aca="false">$E38+NPV(Disc,$F38:O38)</f>
        <v>-8545.99278565092</v>
      </c>
      <c r="P40" s="61" t="n">
        <f aca="false">$E38+NPV(Disc,$F38:P38)</f>
        <v>-7985.09312433615</v>
      </c>
      <c r="Q40" s="61" t="n">
        <f aca="false">$E38+NPV(Disc,$F38:Q38)</f>
        <v>-7474.46267288611</v>
      </c>
      <c r="R40" s="61" t="n">
        <f aca="false">$E38+NPV(Disc,$F38:R38)</f>
        <v>-7087.88198371501</v>
      </c>
      <c r="S40" s="61" t="n">
        <f aca="false">$E38+NPV(Disc,$F38:S38)</f>
        <v>-6871.46707964808</v>
      </c>
      <c r="T40" s="61" t="n">
        <f aca="false">$E38+NPV(Disc,$F38:T38)</f>
        <v>-6690.02582634147</v>
      </c>
      <c r="U40" s="61" t="n">
        <f aca="false">$E38+NPV(Disc,$F38:U38)</f>
        <v>-6499.35640676674</v>
      </c>
      <c r="V40" s="61" t="n">
        <f aca="false">$E38+NPV(Disc,$F38:V38)</f>
        <v>-6284.8753757762</v>
      </c>
      <c r="W40" s="61" t="n">
        <f aca="false">$E38+NPV(Disc,$F38:W38)</f>
        <v>-6016.44255681434</v>
      </c>
      <c r="X40" s="61" t="n">
        <f aca="false">$E38+NPV(Disc,$F38:X38)</f>
        <v>-5785.3105534773</v>
      </c>
      <c r="Y40" s="61" t="n">
        <f aca="false">$E38+NPV(Disc,$F38:Y38)</f>
        <v>-5585.87419756789</v>
      </c>
      <c r="Z40" s="61" t="n">
        <f aca="false">$E38+NPV(Disc,$F38:Z38)</f>
        <v>-2900.2143680298</v>
      </c>
      <c r="AA40" s="510"/>
      <c r="AB40" s="302"/>
    </row>
    <row r="41" customFormat="false" ht="12.75" hidden="false" customHeight="false" outlineLevel="0" collapsed="false">
      <c r="A41" s="461"/>
      <c r="B41" s="39" t="s">
        <v>504</v>
      </c>
      <c r="C41" s="39"/>
      <c r="D41" s="95"/>
      <c r="E41" s="95" t="e">
        <f aca="false">IRR($E38:E38,-0.9)</f>
        <v>#N/A</v>
      </c>
      <c r="F41" s="95" t="e">
        <f aca="false">IRR($E38:F38,-0.9)</f>
        <v>#N/A</v>
      </c>
      <c r="G41" s="95" t="e">
        <f aca="false">IRR($E38:G38,-0.9)</f>
        <v>#N/A</v>
      </c>
      <c r="H41" s="95" t="n">
        <f aca="false">IRR($E38:H38,-0.9)</f>
        <v>-0.828605950950289</v>
      </c>
      <c r="I41" s="95" t="n">
        <f aca="false">IRR($E38:I38,-0.9)</f>
        <v>-0.537439458464245</v>
      </c>
      <c r="J41" s="95" t="n">
        <f aca="false">IRR($E38:J38,-0.9)</f>
        <v>-0.399997389614603</v>
      </c>
      <c r="K41" s="95" t="n">
        <f aca="false">IRR($E38:K38,-0.9)</f>
        <v>-0.266476225891906</v>
      </c>
      <c r="L41" s="95" t="n">
        <f aca="false">IRR($E38:L38,-0.9)</f>
        <v>-0.247601943846855</v>
      </c>
      <c r="M41" s="95" t="e">
        <f aca="false">IRR($E38:M38,-0.9)</f>
        <v>#N/A</v>
      </c>
      <c r="N41" s="95" t="e">
        <f aca="false">IRR($E38:N38,-0.9)</f>
        <v>#N/A</v>
      </c>
      <c r="O41" s="95" t="e">
        <f aca="false">IRR($E38:O38,-0.9)</f>
        <v>#N/A</v>
      </c>
      <c r="P41" s="95" t="e">
        <f aca="false">IRR($E38:P38,-0.9)</f>
        <v>#N/A</v>
      </c>
      <c r="Q41" s="95" t="e">
        <f aca="false">IRR($E38:Q38,-0.9)</f>
        <v>#N/A</v>
      </c>
      <c r="R41" s="95" t="e">
        <f aca="false">IRR($E38:R38,-0.9)</f>
        <v>#N/A</v>
      </c>
      <c r="S41" s="95" t="e">
        <f aca="false">IRR($E38:S38,-0.9)</f>
        <v>#N/A</v>
      </c>
      <c r="T41" s="95" t="e">
        <f aca="false">IRR($E38:T38,-0.9)</f>
        <v>#N/A</v>
      </c>
      <c r="U41" s="95" t="e">
        <f aca="false">IRR($E38:U38,-0.9)</f>
        <v>#N/A</v>
      </c>
      <c r="V41" s="95" t="e">
        <f aca="false">IRR($E38:V38,-0.9)</f>
        <v>#N/A</v>
      </c>
      <c r="W41" s="95" t="e">
        <f aca="false">IRR($E38:W38,-0.9)</f>
        <v>#N/A</v>
      </c>
      <c r="X41" s="95" t="e">
        <f aca="false">IRR($E38:X38,-0.9)</f>
        <v>#N/A</v>
      </c>
      <c r="Y41" s="95" t="e">
        <f aca="false">IRR($E38:Y38,-0.9)</f>
        <v>#N/A</v>
      </c>
      <c r="Z41" s="95" t="e">
        <f aca="false">IRR($E38:Z38,-0.9)</f>
        <v>#N/A</v>
      </c>
      <c r="AA41" s="302"/>
      <c r="AB41" s="467" t="n">
        <f aca="false">IRR($E38:Z38)</f>
        <v>0.163937373052085</v>
      </c>
    </row>
    <row r="42" customFormat="false" ht="12.75" hidden="false" customHeight="false" outlineLevel="0" collapsed="false">
      <c r="A42" s="461"/>
      <c r="B42" s="39"/>
      <c r="C42" s="39"/>
      <c r="D42" s="468"/>
      <c r="E42" s="462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02"/>
      <c r="AB42" s="302"/>
    </row>
    <row r="43" customFormat="false" ht="12.75" hidden="false" customHeight="false" outlineLevel="0" collapsed="false">
      <c r="A43" s="461"/>
      <c r="B43" s="470" t="str">
        <f aca="false">CONCATENATE("Enron NPV @ ",TEXT(Disc,"0.0%"))</f>
        <v>Enron NPV @ 19.0%</v>
      </c>
      <c r="C43" s="471" t="n">
        <f aca="false">AB38</f>
        <v>-2900.2143680298</v>
      </c>
      <c r="D43" s="39"/>
      <c r="E43" s="511"/>
      <c r="F43" s="51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02"/>
      <c r="AB43" s="302"/>
    </row>
    <row r="44" customFormat="false" ht="12.75" hidden="false" customHeight="false" outlineLevel="0" collapsed="false">
      <c r="A44" s="461"/>
      <c r="B44" s="472" t="s">
        <v>515</v>
      </c>
      <c r="C44" s="473" t="n">
        <f aca="false">AB41</f>
        <v>0.163937373052085</v>
      </c>
      <c r="D44" s="39"/>
      <c r="E44" s="468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02"/>
      <c r="AB44" s="302"/>
    </row>
    <row r="45" customFormat="false" ht="12.75" hidden="false" customHeight="false" outlineLevel="0" collapsed="false">
      <c r="A45" s="513"/>
      <c r="B45" s="514" t="s">
        <v>516</v>
      </c>
      <c r="C45" s="515" t="n">
        <f aca="false">MAX(E45:Z45)</f>
        <v>0</v>
      </c>
      <c r="D45" s="516"/>
      <c r="E45" s="516" t="n">
        <f aca="false">IF(AND(D40&lt;0,E40&gt;0),E$6,0)</f>
        <v>0</v>
      </c>
      <c r="F45" s="516" t="n">
        <f aca="false">IF(AND(E40&lt;0,F40&gt;0),F$6,0)</f>
        <v>0</v>
      </c>
      <c r="G45" s="516" t="n">
        <f aca="false">IF(AND(F40&lt;0,G40&gt;0),G$6,0)</f>
        <v>0</v>
      </c>
      <c r="H45" s="516" t="n">
        <f aca="false">IF(AND(G40&lt;0,H40&gt;0),H$6,0)</f>
        <v>0</v>
      </c>
      <c r="I45" s="516" t="n">
        <f aca="false">IF(AND(H40&lt;0,I40&gt;0),I$6,0)</f>
        <v>0</v>
      </c>
      <c r="J45" s="516" t="n">
        <f aca="false">IF(AND(I40&lt;0,J40&gt;0),J$6,0)</f>
        <v>0</v>
      </c>
      <c r="K45" s="516" t="n">
        <f aca="false">IF(AND(J40&lt;0,K40&gt;0),K$6,0)</f>
        <v>0</v>
      </c>
      <c r="L45" s="516" t="n">
        <f aca="false">IF(AND(K40&lt;0,L40&gt;0),L$6,0)</f>
        <v>0</v>
      </c>
      <c r="M45" s="516" t="n">
        <f aca="false">IF(AND(L40&lt;0,M40&gt;0),M$6,0)</f>
        <v>0</v>
      </c>
      <c r="N45" s="516" t="n">
        <f aca="false">IF(AND(M40&lt;0,N40&gt;0),N$6,0)</f>
        <v>0</v>
      </c>
      <c r="O45" s="516" t="n">
        <f aca="false">IF(AND(N40&lt;0,O40&gt;0),O$6,0)</f>
        <v>0</v>
      </c>
      <c r="P45" s="516" t="n">
        <f aca="false">IF(AND(O40&lt;0,P40&gt;0),P$6,0)</f>
        <v>0</v>
      </c>
      <c r="Q45" s="516" t="n">
        <f aca="false">IF(AND(P40&lt;0,Q40&gt;0),Q$6,0)</f>
        <v>0</v>
      </c>
      <c r="R45" s="516" t="n">
        <f aca="false">IF(AND(Q40&lt;0,R40&gt;0),R$6,0)</f>
        <v>0</v>
      </c>
      <c r="S45" s="516" t="n">
        <f aca="false">IF(AND(R40&lt;0,S40&gt;0),S$6,0)</f>
        <v>0</v>
      </c>
      <c r="T45" s="516" t="n">
        <f aca="false">IF(AND(S40&lt;0,T40&gt;0),T$6,0)</f>
        <v>0</v>
      </c>
      <c r="U45" s="516" t="n">
        <f aca="false">IF(AND(T40&lt;0,U40&gt;0),U$6,0)</f>
        <v>0</v>
      </c>
      <c r="V45" s="516" t="n">
        <f aca="false">IF(AND(U40&lt;0,V40&gt;0),V$6,0)</f>
        <v>0</v>
      </c>
      <c r="W45" s="516" t="n">
        <f aca="false">IF(AND(V40&lt;0,W40&gt;0),W$6,0)</f>
        <v>0</v>
      </c>
      <c r="X45" s="516" t="n">
        <f aca="false">IF(AND(W40&lt;0,X40&gt;0),X$6,0)</f>
        <v>0</v>
      </c>
      <c r="Y45" s="516" t="n">
        <f aca="false">IF(AND(X40&lt;0,Y40&gt;0),Y$6,0)</f>
        <v>0</v>
      </c>
      <c r="Z45" s="516" t="n">
        <f aca="false">IF(AND(Y40&lt;0,Z40&gt;0),Z$6,0)</f>
        <v>0</v>
      </c>
      <c r="AA45" s="517"/>
      <c r="AB45" s="517"/>
    </row>
    <row r="46" customFormat="false" ht="12.75" hidden="false" customHeight="false" outlineLevel="0" collapsed="false">
      <c r="A46" s="461"/>
      <c r="B46" s="38"/>
      <c r="C46" s="38"/>
      <c r="D46" s="51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  <c r="AA46" s="302"/>
      <c r="AB46" s="302"/>
    </row>
    <row r="47" customFormat="false" ht="12.75" hidden="false" customHeight="false" outlineLevel="0" collapsed="false">
      <c r="A47" s="507"/>
      <c r="B47" s="39" t="s">
        <v>517</v>
      </c>
      <c r="C47" s="39"/>
      <c r="D47" s="462"/>
      <c r="E47" s="61" t="n">
        <f aca="false">E38</f>
        <v>-2535.159172224</v>
      </c>
      <c r="F47" s="61" t="n">
        <f aca="false">F38</f>
        <v>-6452.72722115846</v>
      </c>
      <c r="G47" s="61" t="n">
        <f aca="false">G38</f>
        <v>-5748.26489788833</v>
      </c>
      <c r="H47" s="61" t="n">
        <f aca="false">H38</f>
        <v>1187.53736095046</v>
      </c>
      <c r="I47" s="61" t="n">
        <f aca="false">I38</f>
        <v>1435.29260609149</v>
      </c>
      <c r="J47" s="61" t="n">
        <f aca="false">J38</f>
        <v>986.371210258166</v>
      </c>
      <c r="K47" s="61" t="n">
        <f aca="false">K38</f>
        <v>1464.86209933084</v>
      </c>
      <c r="L47" s="61" t="n">
        <f aca="false">L38</f>
        <v>250.283108887491</v>
      </c>
      <c r="M47" s="61" t="n">
        <f aca="false">M38</f>
        <v>1253.61504485292</v>
      </c>
      <c r="N47" s="61" t="n">
        <f aca="false">N38</f>
        <v>1412.09243780539</v>
      </c>
      <c r="O47" s="61" t="n">
        <f aca="false">O38</f>
        <v>2507.65757337681</v>
      </c>
      <c r="P47" s="61" t="n">
        <f aca="false">P38</f>
        <v>3801.03398891462</v>
      </c>
      <c r="Q47" s="61" t="n">
        <f aca="false">Q38</f>
        <v>4117.84738762784</v>
      </c>
      <c r="R47" s="61" t="n">
        <f aca="false">R38</f>
        <v>3709.80134267984</v>
      </c>
      <c r="S47" s="61" t="n">
        <f aca="false">S38</f>
        <v>2471.4090117947</v>
      </c>
      <c r="T47" s="61" t="n">
        <f aca="false">T38</f>
        <v>2465.70126514766</v>
      </c>
      <c r="U47" s="61" t="n">
        <f aca="false">U38</f>
        <v>3083.41816647567</v>
      </c>
      <c r="V47" s="61" t="n">
        <f aca="false">V38</f>
        <v>4127.50142873931</v>
      </c>
      <c r="W47" s="61" t="n">
        <f aca="false">W38</f>
        <v>6147.25058908842</v>
      </c>
      <c r="X47" s="61" t="n">
        <f aca="false">X38</f>
        <v>6298.72068366026</v>
      </c>
      <c r="Y47" s="61" t="n">
        <f aca="false">Y38</f>
        <v>6467.60604098712</v>
      </c>
      <c r="Z47" s="61" t="n">
        <f aca="false">Z38</f>
        <v>103642.335889257</v>
      </c>
      <c r="AA47" s="309" t="n">
        <f aca="false">SUM(D47:Z47)</f>
        <v>142094.185944655</v>
      </c>
      <c r="AB47" s="309" t="n">
        <f aca="false">$E47+NPV(Disc,$F47:Z47)</f>
        <v>-2900.2143680298</v>
      </c>
      <c r="AC47" s="508"/>
      <c r="AD47" s="508"/>
      <c r="AE47" s="508"/>
      <c r="AF47" s="508"/>
      <c r="AG47" s="508"/>
      <c r="AH47" s="508"/>
      <c r="AI47" s="508"/>
      <c r="AJ47" s="508"/>
      <c r="AK47" s="508"/>
      <c r="AL47" s="508"/>
      <c r="AM47" s="508"/>
      <c r="AN47" s="508"/>
      <c r="AO47" s="508"/>
      <c r="AP47" s="508"/>
      <c r="AQ47" s="508"/>
      <c r="AR47" s="508"/>
      <c r="AS47" s="508"/>
      <c r="AT47" s="508"/>
      <c r="AU47" s="508"/>
      <c r="AV47" s="508"/>
      <c r="AW47" s="508"/>
      <c r="AX47" s="508"/>
      <c r="AY47" s="508"/>
      <c r="AZ47" s="508"/>
      <c r="BA47" s="508"/>
      <c r="BB47" s="508"/>
      <c r="BC47" s="508"/>
      <c r="BD47" s="508"/>
      <c r="BE47" s="508"/>
      <c r="BF47" s="508"/>
      <c r="BG47" s="508"/>
      <c r="BH47" s="508"/>
      <c r="BI47" s="508"/>
      <c r="BJ47" s="508"/>
      <c r="BK47" s="508"/>
      <c r="BL47" s="508"/>
      <c r="BM47" s="508"/>
      <c r="BN47" s="508"/>
      <c r="BO47" s="508"/>
      <c r="BP47" s="508"/>
      <c r="BQ47" s="508"/>
      <c r="BR47" s="508"/>
      <c r="BS47" s="508"/>
      <c r="BT47" s="508"/>
      <c r="BU47" s="508"/>
      <c r="BV47" s="508"/>
      <c r="BW47" s="508"/>
      <c r="BX47" s="508"/>
      <c r="BY47" s="508"/>
      <c r="BZ47" s="508"/>
      <c r="CA47" s="508"/>
      <c r="CB47" s="508"/>
      <c r="CC47" s="508"/>
      <c r="CD47" s="508"/>
      <c r="CE47" s="508"/>
      <c r="CF47" s="508"/>
      <c r="CG47" s="508"/>
      <c r="CH47" s="508"/>
      <c r="CI47" s="508"/>
      <c r="CJ47" s="508"/>
      <c r="CK47" s="508"/>
      <c r="CL47" s="508"/>
      <c r="CM47" s="508"/>
      <c r="CN47" s="508"/>
      <c r="CO47" s="508"/>
      <c r="CP47" s="508"/>
      <c r="CQ47" s="508"/>
      <c r="CR47" s="508"/>
      <c r="CS47" s="508"/>
      <c r="CT47" s="508"/>
      <c r="CU47" s="508"/>
      <c r="CV47" s="508"/>
      <c r="CW47" s="508"/>
      <c r="CX47" s="508"/>
      <c r="CY47" s="508"/>
      <c r="CZ47" s="508"/>
      <c r="DA47" s="508"/>
      <c r="DB47" s="508"/>
      <c r="DC47" s="508"/>
      <c r="DD47" s="508"/>
      <c r="DE47" s="508"/>
      <c r="DF47" s="508"/>
      <c r="DG47" s="508"/>
      <c r="DH47" s="508"/>
      <c r="DI47" s="508"/>
      <c r="DJ47" s="508"/>
      <c r="DK47" s="508"/>
      <c r="DL47" s="508"/>
      <c r="DM47" s="508"/>
      <c r="DN47" s="508"/>
      <c r="DO47" s="508"/>
      <c r="DP47" s="508"/>
      <c r="DQ47" s="508"/>
      <c r="DR47" s="508"/>
      <c r="DS47" s="508"/>
      <c r="DT47" s="508"/>
      <c r="DU47" s="508"/>
      <c r="DV47" s="508"/>
      <c r="DW47" s="508"/>
      <c r="DX47" s="508"/>
      <c r="DY47" s="508"/>
      <c r="DZ47" s="508"/>
      <c r="EA47" s="508"/>
      <c r="EB47" s="508"/>
      <c r="EC47" s="508"/>
      <c r="ED47" s="508"/>
      <c r="EE47" s="508"/>
      <c r="EF47" s="508"/>
      <c r="EG47" s="508"/>
      <c r="EH47" s="508"/>
      <c r="EI47" s="508"/>
      <c r="EJ47" s="508"/>
      <c r="EK47" s="508"/>
      <c r="EL47" s="508"/>
      <c r="EM47" s="508"/>
      <c r="EN47" s="508"/>
      <c r="EO47" s="508"/>
      <c r="EP47" s="508"/>
      <c r="EQ47" s="508"/>
      <c r="ER47" s="508"/>
      <c r="ES47" s="508"/>
      <c r="ET47" s="508"/>
      <c r="EU47" s="508"/>
      <c r="EV47" s="508"/>
      <c r="EW47" s="508"/>
      <c r="EX47" s="508"/>
      <c r="EY47" s="508"/>
      <c r="EZ47" s="508"/>
      <c r="FA47" s="508"/>
      <c r="FB47" s="508"/>
      <c r="FC47" s="508"/>
      <c r="FD47" s="508"/>
      <c r="FE47" s="508"/>
      <c r="FF47" s="508"/>
      <c r="FG47" s="508"/>
      <c r="FH47" s="508"/>
      <c r="FI47" s="508"/>
      <c r="FJ47" s="508"/>
      <c r="FK47" s="508"/>
      <c r="FL47" s="508"/>
      <c r="FM47" s="508"/>
      <c r="FN47" s="508"/>
      <c r="FO47" s="508"/>
      <c r="FP47" s="508"/>
      <c r="FQ47" s="508"/>
      <c r="FR47" s="508"/>
      <c r="FS47" s="508"/>
      <c r="FT47" s="508"/>
      <c r="FU47" s="508"/>
      <c r="FV47" s="508"/>
      <c r="FW47" s="508"/>
      <c r="FX47" s="508"/>
      <c r="FY47" s="508"/>
      <c r="FZ47" s="508"/>
      <c r="GA47" s="508"/>
      <c r="GB47" s="508"/>
      <c r="GC47" s="508"/>
      <c r="GD47" s="508"/>
      <c r="GE47" s="508"/>
      <c r="GF47" s="508"/>
      <c r="GG47" s="508"/>
      <c r="GH47" s="508"/>
      <c r="GI47" s="508"/>
      <c r="GJ47" s="508"/>
      <c r="GK47" s="508"/>
      <c r="GL47" s="508"/>
      <c r="GM47" s="508"/>
      <c r="GN47" s="508"/>
      <c r="GO47" s="508"/>
      <c r="GP47" s="508"/>
      <c r="GQ47" s="508"/>
      <c r="GR47" s="508"/>
      <c r="GS47" s="508"/>
      <c r="GT47" s="508"/>
      <c r="GU47" s="508"/>
      <c r="GV47" s="508"/>
      <c r="GW47" s="508"/>
      <c r="GX47" s="508"/>
      <c r="GY47" s="508"/>
      <c r="GZ47" s="508"/>
      <c r="HA47" s="508"/>
      <c r="HB47" s="508"/>
      <c r="HC47" s="508"/>
      <c r="HD47" s="508"/>
      <c r="HE47" s="508"/>
      <c r="HF47" s="508"/>
      <c r="HG47" s="508"/>
      <c r="HH47" s="508"/>
      <c r="HI47" s="508"/>
      <c r="HJ47" s="508"/>
      <c r="HK47" s="508"/>
      <c r="HL47" s="508"/>
      <c r="HM47" s="508"/>
      <c r="HN47" s="508"/>
      <c r="HO47" s="508"/>
      <c r="HP47" s="508"/>
      <c r="HQ47" s="508"/>
      <c r="HR47" s="508"/>
      <c r="HS47" s="508"/>
      <c r="HT47" s="508"/>
      <c r="HU47" s="508"/>
      <c r="HV47" s="508"/>
      <c r="HW47" s="508"/>
      <c r="HX47" s="508"/>
      <c r="HY47" s="508"/>
      <c r="HZ47" s="508"/>
      <c r="IA47" s="508"/>
      <c r="IB47" s="508"/>
      <c r="IC47" s="508"/>
      <c r="ID47" s="508"/>
      <c r="IE47" s="508"/>
      <c r="IF47" s="508"/>
      <c r="IG47" s="508"/>
      <c r="IH47" s="508"/>
      <c r="II47" s="508"/>
      <c r="IJ47" s="508"/>
      <c r="IK47" s="508"/>
      <c r="IL47" s="508"/>
      <c r="IM47" s="508"/>
      <c r="IN47" s="508"/>
      <c r="IO47" s="508"/>
      <c r="IP47" s="508"/>
      <c r="IQ47" s="508"/>
      <c r="IR47" s="508"/>
      <c r="IS47" s="508"/>
      <c r="IT47" s="508"/>
      <c r="IU47" s="508"/>
      <c r="IV47" s="508"/>
      <c r="IW47" s="508"/>
    </row>
    <row r="48" customFormat="false" ht="12.75" hidden="false" customHeight="false" outlineLevel="0" collapsed="false">
      <c r="A48" s="479" t="n">
        <f aca="false">A$24</f>
        <v>0.3</v>
      </c>
      <c r="B48" s="301" t="s">
        <v>518</v>
      </c>
      <c r="C48" s="301"/>
      <c r="D48" s="519"/>
      <c r="E48" s="318" t="n">
        <f aca="false">IF(E$7&lt;YEAR(Startconst),0,-HLOOKUP(DATE(E$7,12,31),Idc_Table,IDC!$AP$75)*$A48-SUM($D48:D48))</f>
        <v>-0</v>
      </c>
      <c r="F48" s="318" t="n">
        <f aca="false">-HLOOKUP(DATE(F$7,12,31),Idc_Table,IDC!$AP$75)*$A48-SUM($D48:E48)</f>
        <v>-13407.4325998723</v>
      </c>
      <c r="G48" s="318" t="n">
        <f aca="false">-HLOOKUP(DATE(G$7,12,31),Idc_Table,IDC!$AP$75)*$A48-SUM($D48:F48)</f>
        <v>-7631.38853208427</v>
      </c>
      <c r="H48" s="318" t="n">
        <f aca="false">-HLOOKUP(DATE(H$7,12,31),Idc_Table,IDC!$AP$75)*$A48-SUM($D48:G48)</f>
        <v>0</v>
      </c>
      <c r="I48" s="318" t="n">
        <f aca="false">-HLOOKUP(DATE(I$7,12,31),Idc_Table,IDC!$AP$75)*$A48-SUM($D48:H48)</f>
        <v>0</v>
      </c>
      <c r="J48" s="318" t="n">
        <f aca="false">-HLOOKUP(DATE(J$7,12,31),Idc_Table,IDC!$AP$75)*$A48-SUM($D48:I48)</f>
        <v>0</v>
      </c>
      <c r="K48" s="318" t="n">
        <f aca="false">-HLOOKUP(DATE(K$7,12,31),Idc_Table,IDC!$AP$75)*$A48-SUM($D48:J48)</f>
        <v>0</v>
      </c>
      <c r="L48" s="318" t="n">
        <f aca="false">-HLOOKUP(DATE(L$7,12,31),Idc_Table,IDC!$AP$75)*$A48-SUM($D48:K48)</f>
        <v>0</v>
      </c>
      <c r="M48" s="318" t="n">
        <f aca="false">-HLOOKUP(DATE(M$7,12,31),Idc_Table,IDC!$AP$75)*$A48-SUM($D48:L48)</f>
        <v>0</v>
      </c>
      <c r="N48" s="318" t="n">
        <f aca="false">-HLOOKUP(DATE(N$7,12,31),Idc_Table,IDC!$AP$75)*$A48-SUM($D48:M48)</f>
        <v>0</v>
      </c>
      <c r="O48" s="318" t="n">
        <f aca="false">-HLOOKUP(DATE(O$7,12,31),Idc_Table,IDC!$AP$75)*$A48-SUM($D48:N48)</f>
        <v>0</v>
      </c>
      <c r="P48" s="318" t="n">
        <f aca="false">-HLOOKUP(DATE(P$7,12,31),Idc_Table,IDC!$AP$75)*$A48-SUM($D48:O48)</f>
        <v>0</v>
      </c>
      <c r="Q48" s="318" t="n">
        <f aca="false">-HLOOKUP(DATE(Q$7,12,31),Idc_Table,IDC!$AP$75)*$A48-SUM($D48:P48)</f>
        <v>0</v>
      </c>
      <c r="R48" s="318" t="n">
        <f aca="false">-HLOOKUP(DATE(R$7,12,31),Idc_Table,IDC!$AP$75)*$A48-SUM($D48:Q48)</f>
        <v>0</v>
      </c>
      <c r="S48" s="318" t="n">
        <f aca="false">-HLOOKUP(DATE(S$7,12,31),Idc_Table,IDC!$AP$75)*$A48-SUM($D48:R48)</f>
        <v>0</v>
      </c>
      <c r="T48" s="318" t="n">
        <f aca="false">-HLOOKUP(DATE(T$7,12,31),Idc_Table,IDC!$AP$75)*$A48-SUM($D48:S48)</f>
        <v>0</v>
      </c>
      <c r="U48" s="318" t="n">
        <f aca="false">-HLOOKUP(DATE(U$7,12,31),Idc_Table,IDC!$AP$75)*$A48-SUM($D48:T48)</f>
        <v>0</v>
      </c>
      <c r="V48" s="318" t="n">
        <f aca="false">-HLOOKUP(DATE(V$7,12,31),Idc_Table,IDC!$AP$75)*$A48-SUM($D48:U48)</f>
        <v>0</v>
      </c>
      <c r="W48" s="318" t="n">
        <f aca="false">-HLOOKUP(DATE(W$7,12,31),Idc_Table,IDC!$AP$75)*$A48-SUM($D48:V48)</f>
        <v>0</v>
      </c>
      <c r="X48" s="318" t="n">
        <f aca="false">-HLOOKUP(DATE(X$7,12,31),Idc_Table,IDC!$AP$75)*$A48-SUM($D48:W48)</f>
        <v>0</v>
      </c>
      <c r="Y48" s="318" t="n">
        <f aca="false">-HLOOKUP(DATE(Y$7,12,31),Idc_Table,IDC!$AP$75)*$A48-SUM($D48:X48)</f>
        <v>0</v>
      </c>
      <c r="Z48" s="318" t="n">
        <f aca="false">-HLOOKUP(DATE(Z$7,12,31),Idc_Table,IDC!$AP$75)*$A48-SUM($D48:Y48)</f>
        <v>0</v>
      </c>
      <c r="AA48" s="481" t="n">
        <f aca="false">SUM(D48:Z48)</f>
        <v>-21038.8211319565</v>
      </c>
      <c r="AB48" s="481" t="n">
        <f aca="false">$E48+NPV(Disc,$F48:Z48)</f>
        <v>-16655.7681844024</v>
      </c>
      <c r="AC48" s="482"/>
      <c r="AD48" s="482"/>
      <c r="AE48" s="482"/>
      <c r="AF48" s="482"/>
      <c r="AG48" s="482"/>
      <c r="AH48" s="482"/>
      <c r="AI48" s="482"/>
      <c r="AJ48" s="482"/>
      <c r="AK48" s="482"/>
      <c r="AL48" s="482"/>
      <c r="AM48" s="482"/>
      <c r="AN48" s="482"/>
      <c r="AO48" s="482"/>
      <c r="AP48" s="482"/>
      <c r="AQ48" s="482"/>
      <c r="AR48" s="482"/>
      <c r="AS48" s="482"/>
      <c r="AT48" s="482"/>
      <c r="AU48" s="482"/>
      <c r="AV48" s="482"/>
      <c r="AW48" s="482"/>
      <c r="AX48" s="482"/>
      <c r="AY48" s="482"/>
      <c r="AZ48" s="482"/>
      <c r="BA48" s="482"/>
      <c r="BB48" s="482"/>
      <c r="BC48" s="482"/>
      <c r="BD48" s="482"/>
      <c r="BE48" s="482"/>
      <c r="BF48" s="482"/>
      <c r="BG48" s="482"/>
      <c r="BH48" s="482"/>
      <c r="BI48" s="482"/>
      <c r="BJ48" s="482"/>
      <c r="BK48" s="482"/>
      <c r="BL48" s="482"/>
      <c r="BM48" s="482"/>
      <c r="BN48" s="482"/>
      <c r="BO48" s="482"/>
      <c r="BP48" s="482"/>
      <c r="BQ48" s="482"/>
      <c r="BR48" s="482"/>
      <c r="BS48" s="482"/>
      <c r="BT48" s="482"/>
      <c r="BU48" s="482"/>
      <c r="BV48" s="482"/>
      <c r="BW48" s="482"/>
      <c r="BX48" s="482"/>
      <c r="BY48" s="482"/>
      <c r="BZ48" s="482"/>
      <c r="CA48" s="482"/>
      <c r="CB48" s="482"/>
      <c r="CC48" s="482"/>
      <c r="CD48" s="482"/>
      <c r="CE48" s="482"/>
      <c r="CF48" s="482"/>
      <c r="CG48" s="482"/>
      <c r="CH48" s="482"/>
      <c r="CI48" s="482"/>
      <c r="CJ48" s="482"/>
      <c r="CK48" s="482"/>
      <c r="CL48" s="482"/>
      <c r="CM48" s="482"/>
      <c r="CN48" s="482"/>
      <c r="CO48" s="482"/>
      <c r="CP48" s="482"/>
      <c r="CQ48" s="482"/>
      <c r="CR48" s="482"/>
      <c r="CS48" s="482"/>
      <c r="CT48" s="482"/>
      <c r="CU48" s="482"/>
      <c r="CV48" s="482"/>
      <c r="CW48" s="482"/>
      <c r="CX48" s="482"/>
      <c r="CY48" s="482"/>
      <c r="CZ48" s="482"/>
      <c r="DA48" s="482"/>
      <c r="DB48" s="482"/>
      <c r="DC48" s="482"/>
      <c r="DD48" s="482"/>
      <c r="DE48" s="482"/>
      <c r="DF48" s="482"/>
      <c r="DG48" s="482"/>
      <c r="DH48" s="482"/>
      <c r="DI48" s="482"/>
      <c r="DJ48" s="482"/>
      <c r="DK48" s="482"/>
      <c r="DL48" s="482"/>
      <c r="DM48" s="482"/>
      <c r="DN48" s="482"/>
      <c r="DO48" s="482"/>
      <c r="DP48" s="482"/>
      <c r="DQ48" s="482"/>
      <c r="DR48" s="482"/>
      <c r="DS48" s="482"/>
      <c r="DT48" s="482"/>
      <c r="DU48" s="482"/>
      <c r="DV48" s="482"/>
      <c r="DW48" s="482"/>
      <c r="DX48" s="482"/>
      <c r="DY48" s="482"/>
      <c r="DZ48" s="482"/>
      <c r="EA48" s="482"/>
      <c r="EB48" s="482"/>
      <c r="EC48" s="482"/>
      <c r="ED48" s="482"/>
      <c r="EE48" s="482"/>
      <c r="EF48" s="482"/>
      <c r="EG48" s="482"/>
      <c r="EH48" s="482"/>
      <c r="EI48" s="482"/>
      <c r="EJ48" s="482"/>
      <c r="EK48" s="482"/>
      <c r="EL48" s="482"/>
      <c r="EM48" s="482"/>
      <c r="EN48" s="482"/>
      <c r="EO48" s="482"/>
      <c r="EP48" s="482"/>
      <c r="EQ48" s="482"/>
      <c r="ER48" s="482"/>
      <c r="ES48" s="482"/>
      <c r="ET48" s="482"/>
      <c r="EU48" s="482"/>
      <c r="EV48" s="482"/>
      <c r="EW48" s="482"/>
      <c r="EX48" s="482"/>
      <c r="EY48" s="482"/>
      <c r="EZ48" s="482"/>
      <c r="FA48" s="482"/>
      <c r="FB48" s="482"/>
      <c r="FC48" s="482"/>
      <c r="FD48" s="482"/>
      <c r="FE48" s="482"/>
      <c r="FF48" s="482"/>
      <c r="FG48" s="482"/>
      <c r="FH48" s="482"/>
      <c r="FI48" s="482"/>
      <c r="FJ48" s="482"/>
      <c r="FK48" s="482"/>
      <c r="FL48" s="482"/>
      <c r="FM48" s="482"/>
      <c r="FN48" s="482"/>
      <c r="FO48" s="482"/>
      <c r="FP48" s="482"/>
      <c r="FQ48" s="482"/>
      <c r="FR48" s="482"/>
      <c r="FS48" s="482"/>
      <c r="FT48" s="482"/>
      <c r="FU48" s="482"/>
      <c r="FV48" s="482"/>
      <c r="FW48" s="482"/>
      <c r="FX48" s="482"/>
      <c r="FY48" s="482"/>
      <c r="FZ48" s="482"/>
      <c r="GA48" s="482"/>
      <c r="GB48" s="482"/>
      <c r="GC48" s="482"/>
      <c r="GD48" s="482"/>
      <c r="GE48" s="482"/>
      <c r="GF48" s="482"/>
      <c r="GG48" s="482"/>
      <c r="GH48" s="482"/>
      <c r="GI48" s="482"/>
      <c r="GJ48" s="482"/>
      <c r="GK48" s="482"/>
      <c r="GL48" s="482"/>
      <c r="GM48" s="482"/>
      <c r="GN48" s="482"/>
      <c r="GO48" s="482"/>
      <c r="GP48" s="482"/>
      <c r="GQ48" s="482"/>
      <c r="GR48" s="482"/>
      <c r="GS48" s="482"/>
      <c r="GT48" s="482"/>
      <c r="GU48" s="482"/>
      <c r="GV48" s="482"/>
      <c r="GW48" s="482"/>
      <c r="GX48" s="482"/>
      <c r="GY48" s="482"/>
      <c r="GZ48" s="482"/>
      <c r="HA48" s="482"/>
      <c r="HB48" s="482"/>
      <c r="HC48" s="482"/>
      <c r="HD48" s="482"/>
      <c r="HE48" s="482"/>
      <c r="HF48" s="482"/>
      <c r="HG48" s="482"/>
      <c r="HH48" s="482"/>
      <c r="HI48" s="482"/>
      <c r="HJ48" s="482"/>
      <c r="HK48" s="482"/>
      <c r="HL48" s="482"/>
      <c r="HM48" s="482"/>
      <c r="HN48" s="482"/>
      <c r="HO48" s="482"/>
      <c r="HP48" s="482"/>
      <c r="HQ48" s="482"/>
      <c r="HR48" s="482"/>
      <c r="HS48" s="482"/>
      <c r="HT48" s="482"/>
      <c r="HU48" s="482"/>
      <c r="HV48" s="482"/>
      <c r="HW48" s="482"/>
      <c r="HX48" s="482"/>
      <c r="HY48" s="482"/>
      <c r="HZ48" s="482"/>
      <c r="IA48" s="482"/>
      <c r="IB48" s="482"/>
      <c r="IC48" s="482"/>
      <c r="ID48" s="482"/>
      <c r="IE48" s="482"/>
      <c r="IF48" s="482"/>
      <c r="IG48" s="482"/>
      <c r="IH48" s="482"/>
      <c r="II48" s="482"/>
      <c r="IJ48" s="482"/>
      <c r="IK48" s="482"/>
      <c r="IL48" s="482"/>
      <c r="IM48" s="482"/>
      <c r="IN48" s="482"/>
      <c r="IO48" s="482"/>
      <c r="IP48" s="482"/>
      <c r="IQ48" s="482"/>
      <c r="IR48" s="482"/>
      <c r="IS48" s="482"/>
      <c r="IT48" s="482"/>
      <c r="IU48" s="482"/>
      <c r="IV48" s="482"/>
      <c r="IW48" s="482"/>
    </row>
    <row r="49" customFormat="false" ht="12.75" hidden="false" customHeight="false" outlineLevel="0" collapsed="false">
      <c r="A49" s="489"/>
      <c r="B49" s="484" t="s">
        <v>519</v>
      </c>
      <c r="C49" s="484"/>
      <c r="D49" s="520"/>
      <c r="E49" s="491" t="n">
        <f aca="false">IF(E$7=YEAR(Fin_Close),-SUM($D48:E48),0)</f>
        <v>0</v>
      </c>
      <c r="F49" s="491" t="n">
        <f aca="false">IF(F$7=YEAR(Fin_Close),-SUM($D48:F48),0)</f>
        <v>0</v>
      </c>
      <c r="G49" s="491" t="n">
        <f aca="false">IF(G$7=YEAR(Fin_Close),-SUM($D48:G48),0)</f>
        <v>21038.8211319565</v>
      </c>
      <c r="H49" s="491" t="n">
        <f aca="false">IF(H$7=YEAR(Fin_Close),-SUM($D48:H48),0)</f>
        <v>0</v>
      </c>
      <c r="I49" s="491" t="n">
        <f aca="false">IF(I$7=YEAR(Fin_Close),-SUM($D48:I48),0)</f>
        <v>0</v>
      </c>
      <c r="J49" s="491" t="n">
        <f aca="false">IF(J$7=YEAR(Fin_Close),-SUM($D48:J48),0)</f>
        <v>0</v>
      </c>
      <c r="K49" s="491" t="n">
        <f aca="false">IF(K$7=YEAR(Fin_Close),-SUM($D48:K48),0)</f>
        <v>0</v>
      </c>
      <c r="L49" s="491" t="n">
        <f aca="false">IF(L$7=YEAR(Fin_Close),-SUM($D48:L48),0)</f>
        <v>0</v>
      </c>
      <c r="M49" s="491" t="n">
        <f aca="false">IF(M$7=YEAR(Fin_Close),-SUM($D48:M48),0)</f>
        <v>0</v>
      </c>
      <c r="N49" s="491" t="n">
        <f aca="false">IF(N$7=YEAR(Fin_Close),-SUM($D48:N48),0)</f>
        <v>0</v>
      </c>
      <c r="O49" s="491" t="n">
        <f aca="false">IF(O$7=YEAR(Fin_Close),-SUM($D48:O48),0)</f>
        <v>0</v>
      </c>
      <c r="P49" s="491" t="n">
        <f aca="false">IF(P$7=YEAR(Fin_Close),-SUM($D48:P48),0)</f>
        <v>0</v>
      </c>
      <c r="Q49" s="491" t="n">
        <f aca="false">IF(Q$7=YEAR(Fin_Close),-SUM($D48:Q48),0)</f>
        <v>0</v>
      </c>
      <c r="R49" s="491" t="n">
        <f aca="false">IF(R$7=YEAR(Fin_Close),-SUM($D48:R48),0)</f>
        <v>0</v>
      </c>
      <c r="S49" s="491" t="n">
        <f aca="false">IF(S$7=YEAR(Fin_Close),-SUM($D48:S48),0)</f>
        <v>0</v>
      </c>
      <c r="T49" s="491" t="n">
        <f aca="false">IF(T$7=YEAR(Fin_Close),-SUM($D48:T48),0)</f>
        <v>0</v>
      </c>
      <c r="U49" s="491" t="n">
        <f aca="false">IF(U$7=YEAR(Fin_Close),-SUM($D48:U48),0)</f>
        <v>0</v>
      </c>
      <c r="V49" s="491" t="n">
        <f aca="false">IF(V$7=YEAR(Fin_Close),-SUM($D48:V48),0)</f>
        <v>0</v>
      </c>
      <c r="W49" s="491" t="n">
        <f aca="false">IF(W$7=YEAR(Fin_Close),-SUM($D48:W48),0)</f>
        <v>0</v>
      </c>
      <c r="X49" s="491" t="n">
        <f aca="false">IF(X$7=YEAR(Fin_Close),-SUM($D48:X48),0)</f>
        <v>0</v>
      </c>
      <c r="Y49" s="491" t="n">
        <f aca="false">IF(Y$7=YEAR(Fin_Close),-SUM($D48:Y48),0)</f>
        <v>0</v>
      </c>
      <c r="Z49" s="491" t="n">
        <f aca="false">IF(Z$7=YEAR(Fin_Close),-SUM($D48:Z48),0)</f>
        <v>0</v>
      </c>
      <c r="AA49" s="487" t="n">
        <f aca="false">SUM(D49:Z49)</f>
        <v>21038.8211319565</v>
      </c>
      <c r="AB49" s="487" t="n">
        <f aca="false">$E49+NPV(Disc,$F49:Z49)</f>
        <v>14856.8753138596</v>
      </c>
      <c r="AC49" s="488"/>
      <c r="AD49" s="488"/>
      <c r="AE49" s="488"/>
      <c r="AF49" s="488"/>
      <c r="AG49" s="488"/>
      <c r="AH49" s="488"/>
      <c r="AI49" s="488"/>
      <c r="AJ49" s="488"/>
      <c r="AK49" s="488"/>
      <c r="AL49" s="488"/>
      <c r="AM49" s="488"/>
      <c r="AN49" s="488"/>
      <c r="AO49" s="488"/>
      <c r="AP49" s="488"/>
      <c r="AQ49" s="488"/>
      <c r="AR49" s="488"/>
      <c r="AS49" s="488"/>
      <c r="AT49" s="488"/>
      <c r="AU49" s="488"/>
      <c r="AV49" s="488"/>
      <c r="AW49" s="488"/>
      <c r="AX49" s="488"/>
      <c r="AY49" s="488"/>
      <c r="AZ49" s="488"/>
      <c r="BA49" s="488"/>
      <c r="BB49" s="488"/>
      <c r="BC49" s="488"/>
      <c r="BD49" s="488"/>
      <c r="BE49" s="488"/>
      <c r="BF49" s="488"/>
      <c r="BG49" s="488"/>
      <c r="BH49" s="488"/>
      <c r="BI49" s="488"/>
      <c r="BJ49" s="488"/>
      <c r="BK49" s="488"/>
      <c r="BL49" s="488"/>
      <c r="BM49" s="488"/>
      <c r="BN49" s="488"/>
      <c r="BO49" s="488"/>
      <c r="BP49" s="488"/>
      <c r="BQ49" s="488"/>
      <c r="BR49" s="488"/>
      <c r="BS49" s="488"/>
      <c r="BT49" s="488"/>
      <c r="BU49" s="488"/>
      <c r="BV49" s="488"/>
      <c r="BW49" s="488"/>
      <c r="BX49" s="488"/>
      <c r="BY49" s="488"/>
      <c r="BZ49" s="488"/>
      <c r="CA49" s="488"/>
      <c r="CB49" s="488"/>
      <c r="CC49" s="488"/>
      <c r="CD49" s="488"/>
      <c r="CE49" s="488"/>
      <c r="CF49" s="488"/>
      <c r="CG49" s="488"/>
      <c r="CH49" s="488"/>
      <c r="CI49" s="488"/>
      <c r="CJ49" s="488"/>
      <c r="CK49" s="488"/>
      <c r="CL49" s="488"/>
      <c r="CM49" s="488"/>
      <c r="CN49" s="488"/>
      <c r="CO49" s="488"/>
      <c r="CP49" s="488"/>
      <c r="CQ49" s="488"/>
      <c r="CR49" s="488"/>
      <c r="CS49" s="488"/>
      <c r="CT49" s="488"/>
      <c r="CU49" s="488"/>
      <c r="CV49" s="488"/>
      <c r="CW49" s="488"/>
      <c r="CX49" s="488"/>
      <c r="CY49" s="488"/>
      <c r="CZ49" s="488"/>
      <c r="DA49" s="488"/>
      <c r="DB49" s="488"/>
      <c r="DC49" s="488"/>
      <c r="DD49" s="488"/>
      <c r="DE49" s="488"/>
      <c r="DF49" s="488"/>
      <c r="DG49" s="488"/>
      <c r="DH49" s="488"/>
      <c r="DI49" s="488"/>
      <c r="DJ49" s="488"/>
      <c r="DK49" s="488"/>
      <c r="DL49" s="488"/>
      <c r="DM49" s="488"/>
      <c r="DN49" s="488"/>
      <c r="DO49" s="488"/>
      <c r="DP49" s="488"/>
      <c r="DQ49" s="488"/>
      <c r="DR49" s="488"/>
      <c r="DS49" s="488"/>
      <c r="DT49" s="488"/>
      <c r="DU49" s="488"/>
      <c r="DV49" s="488"/>
      <c r="DW49" s="488"/>
      <c r="DX49" s="488"/>
      <c r="DY49" s="488"/>
      <c r="DZ49" s="488"/>
      <c r="EA49" s="488"/>
      <c r="EB49" s="488"/>
      <c r="EC49" s="488"/>
      <c r="ED49" s="488"/>
      <c r="EE49" s="488"/>
      <c r="EF49" s="488"/>
      <c r="EG49" s="488"/>
      <c r="EH49" s="488"/>
      <c r="EI49" s="488"/>
      <c r="EJ49" s="488"/>
      <c r="EK49" s="488"/>
      <c r="EL49" s="488"/>
      <c r="EM49" s="488"/>
      <c r="EN49" s="488"/>
      <c r="EO49" s="488"/>
      <c r="EP49" s="488"/>
      <c r="EQ49" s="488"/>
      <c r="ER49" s="488"/>
      <c r="ES49" s="488"/>
      <c r="ET49" s="488"/>
      <c r="EU49" s="488"/>
      <c r="EV49" s="488"/>
      <c r="EW49" s="488"/>
      <c r="EX49" s="488"/>
      <c r="EY49" s="488"/>
      <c r="EZ49" s="488"/>
      <c r="FA49" s="488"/>
      <c r="FB49" s="488"/>
      <c r="FC49" s="488"/>
      <c r="FD49" s="488"/>
      <c r="FE49" s="488"/>
      <c r="FF49" s="488"/>
      <c r="FG49" s="488"/>
      <c r="FH49" s="488"/>
      <c r="FI49" s="488"/>
      <c r="FJ49" s="488"/>
      <c r="FK49" s="488"/>
      <c r="FL49" s="488"/>
      <c r="FM49" s="488"/>
      <c r="FN49" s="488"/>
      <c r="FO49" s="488"/>
      <c r="FP49" s="488"/>
      <c r="FQ49" s="488"/>
      <c r="FR49" s="488"/>
      <c r="FS49" s="488"/>
      <c r="FT49" s="488"/>
      <c r="FU49" s="488"/>
      <c r="FV49" s="488"/>
      <c r="FW49" s="488"/>
      <c r="FX49" s="488"/>
      <c r="FY49" s="488"/>
      <c r="FZ49" s="488"/>
      <c r="GA49" s="488"/>
      <c r="GB49" s="488"/>
      <c r="GC49" s="488"/>
      <c r="GD49" s="488"/>
      <c r="GE49" s="488"/>
      <c r="GF49" s="488"/>
      <c r="GG49" s="488"/>
      <c r="GH49" s="488"/>
      <c r="GI49" s="488"/>
      <c r="GJ49" s="488"/>
      <c r="GK49" s="488"/>
      <c r="GL49" s="488"/>
      <c r="GM49" s="488"/>
      <c r="GN49" s="488"/>
      <c r="GO49" s="488"/>
      <c r="GP49" s="488"/>
      <c r="GQ49" s="488"/>
      <c r="GR49" s="488"/>
      <c r="GS49" s="488"/>
      <c r="GT49" s="488"/>
      <c r="GU49" s="488"/>
      <c r="GV49" s="488"/>
      <c r="GW49" s="488"/>
      <c r="GX49" s="488"/>
      <c r="GY49" s="488"/>
      <c r="GZ49" s="488"/>
      <c r="HA49" s="488"/>
      <c r="HB49" s="488"/>
      <c r="HC49" s="488"/>
      <c r="HD49" s="488"/>
      <c r="HE49" s="488"/>
      <c r="HF49" s="488"/>
      <c r="HG49" s="488"/>
      <c r="HH49" s="488"/>
      <c r="HI49" s="488"/>
      <c r="HJ49" s="488"/>
      <c r="HK49" s="488"/>
      <c r="HL49" s="488"/>
      <c r="HM49" s="488"/>
      <c r="HN49" s="488"/>
      <c r="HO49" s="488"/>
      <c r="HP49" s="488"/>
      <c r="HQ49" s="488"/>
      <c r="HR49" s="488"/>
      <c r="HS49" s="488"/>
      <c r="HT49" s="488"/>
      <c r="HU49" s="488"/>
      <c r="HV49" s="488"/>
      <c r="HW49" s="488"/>
      <c r="HX49" s="488"/>
      <c r="HY49" s="488"/>
      <c r="HZ49" s="488"/>
      <c r="IA49" s="488"/>
      <c r="IB49" s="488"/>
      <c r="IC49" s="488"/>
      <c r="ID49" s="488"/>
      <c r="IE49" s="488"/>
      <c r="IF49" s="488"/>
      <c r="IG49" s="488"/>
      <c r="IH49" s="488"/>
      <c r="II49" s="488"/>
      <c r="IJ49" s="488"/>
      <c r="IK49" s="488"/>
      <c r="IL49" s="488"/>
      <c r="IM49" s="488"/>
      <c r="IN49" s="488"/>
      <c r="IO49" s="488"/>
      <c r="IP49" s="488"/>
      <c r="IQ49" s="488"/>
      <c r="IR49" s="488"/>
      <c r="IS49" s="488"/>
      <c r="IT49" s="488"/>
      <c r="IU49" s="488"/>
      <c r="IV49" s="488"/>
      <c r="IW49" s="488"/>
    </row>
    <row r="50" customFormat="false" ht="12.75" hidden="false" customHeight="false" outlineLevel="0" collapsed="false">
      <c r="A50" s="489"/>
      <c r="B50" s="484" t="s">
        <v>520</v>
      </c>
      <c r="C50" s="494" t="s">
        <v>272</v>
      </c>
      <c r="D50" s="520"/>
      <c r="E50" s="491" t="n">
        <f aca="false">IF(E$7&lt;YEAR(Startconst),0,(HLOOKUP(DATE(E$7,12,31),Idc_Table,IDC!$AP$73))*$A$48-SUM($D50:D50))</f>
        <v>0</v>
      </c>
      <c r="F50" s="491" t="n">
        <f aca="false">(HLOOKUP(DATE(F$7,12,31),Idc_Table,IDC!$AP$73))*$A$48-SUM($D50:E50)</f>
        <v>246.000979895534</v>
      </c>
      <c r="G50" s="491" t="n">
        <f aca="false">(HLOOKUP(DATE(G$7,12,31),Idc_Table,IDC!$AP$73))*$A$48-SUM($D50:F50)</f>
        <v>709.899118472099</v>
      </c>
      <c r="H50" s="491" t="n">
        <f aca="false">(HLOOKUP(DATE(H$7,12,31),Idc_Table,IDC!$AP$73))*$A$48-SUM($D50:G50)</f>
        <v>0</v>
      </c>
      <c r="I50" s="491" t="n">
        <f aca="false">(HLOOKUP(DATE(I$7,12,31),Idc_Table,IDC!$AP$73))*$A$48-SUM($D50:H50)</f>
        <v>0</v>
      </c>
      <c r="J50" s="491" t="n">
        <f aca="false">(HLOOKUP(DATE(J$7,12,31),Idc_Table,IDC!$AP$73))*$A$48-SUM($D50:I50)</f>
        <v>0</v>
      </c>
      <c r="K50" s="491" t="n">
        <f aca="false">(HLOOKUP(DATE(K$7,12,31),Idc_Table,IDC!$AP$73))*$A$48-SUM($D50:J50)</f>
        <v>0</v>
      </c>
      <c r="L50" s="491" t="n">
        <f aca="false">(HLOOKUP(DATE(L$7,12,31),Idc_Table,IDC!$AP$73))*$A$48-SUM($D50:K50)</f>
        <v>0</v>
      </c>
      <c r="M50" s="491" t="n">
        <f aca="false">(HLOOKUP(DATE(M$7,12,31),Idc_Table,IDC!$AP$73))*$A$48-SUM($D50:L50)</f>
        <v>0</v>
      </c>
      <c r="N50" s="491" t="n">
        <f aca="false">(HLOOKUP(DATE(N$7,12,31),Idc_Table,IDC!$AP$73))*$A$48-SUM($D50:M50)</f>
        <v>0</v>
      </c>
      <c r="O50" s="491" t="n">
        <f aca="false">(HLOOKUP(DATE(O$7,12,31),Idc_Table,IDC!$AP$73))*$A$48-SUM($D50:N50)</f>
        <v>0</v>
      </c>
      <c r="P50" s="491" t="n">
        <f aca="false">(HLOOKUP(DATE(P$7,12,31),Idc_Table,IDC!$AP$73))*$A$48-SUM($D50:O50)</f>
        <v>0</v>
      </c>
      <c r="Q50" s="491" t="n">
        <f aca="false">(HLOOKUP(DATE(Q$7,12,31),Idc_Table,IDC!$AP$73))*$A$48-SUM($D50:P50)</f>
        <v>0</v>
      </c>
      <c r="R50" s="491" t="n">
        <f aca="false">(HLOOKUP(DATE(R$7,12,31),Idc_Table,IDC!$AP$73))*$A$48-SUM($D50:Q50)</f>
        <v>0</v>
      </c>
      <c r="S50" s="491" t="n">
        <f aca="false">(HLOOKUP(DATE(S$7,12,31),Idc_Table,IDC!$AP$73))*$A$48-SUM($D50:R50)</f>
        <v>0</v>
      </c>
      <c r="T50" s="491" t="n">
        <f aca="false">(HLOOKUP(DATE(T$7,12,31),Idc_Table,IDC!$AP$73))*$A$48-SUM($D50:S50)</f>
        <v>0</v>
      </c>
      <c r="U50" s="491" t="n">
        <f aca="false">(HLOOKUP(DATE(U$7,12,31),Idc_Table,IDC!$AP$73))*$A$48-SUM($D50:T50)</f>
        <v>0</v>
      </c>
      <c r="V50" s="491" t="n">
        <f aca="false">(HLOOKUP(DATE(V$7,12,31),Idc_Table,IDC!$AP$73))*$A$48-SUM($D50:U50)</f>
        <v>0</v>
      </c>
      <c r="W50" s="491" t="n">
        <f aca="false">(HLOOKUP(DATE(W$7,12,31),Idc_Table,IDC!$AP$73))*$A$48-SUM($D50:V50)</f>
        <v>0</v>
      </c>
      <c r="X50" s="491" t="n">
        <f aca="false">(HLOOKUP(DATE(X$7,12,31),Idc_Table,IDC!$AP$73))*$A$48-SUM($D50:W50)</f>
        <v>0</v>
      </c>
      <c r="Y50" s="491" t="n">
        <f aca="false">(HLOOKUP(DATE(Y$7,12,31),Idc_Table,IDC!$AP$73))*$A$48-SUM($D50:X50)</f>
        <v>0</v>
      </c>
      <c r="Z50" s="491" t="n">
        <f aca="false">(HLOOKUP(DATE(Z$7,12,31),Idc_Table,IDC!$AP$73))*$A$48-SUM($D50:Y50)</f>
        <v>0</v>
      </c>
      <c r="AA50" s="487" t="n">
        <f aca="false">SUM(D50:Z50)</f>
        <v>955.900098367632</v>
      </c>
      <c r="AB50" s="487" t="n">
        <f aca="false">$E50+NPV(Disc,$F50:Z50)</f>
        <v>708.029294928172</v>
      </c>
      <c r="AC50" s="488"/>
      <c r="AD50" s="488"/>
      <c r="AE50" s="488"/>
      <c r="AF50" s="488"/>
      <c r="AG50" s="488"/>
      <c r="AH50" s="488"/>
      <c r="AI50" s="488"/>
      <c r="AJ50" s="488"/>
      <c r="AK50" s="488"/>
      <c r="AL50" s="488"/>
      <c r="AM50" s="488"/>
      <c r="AN50" s="488"/>
      <c r="AO50" s="488"/>
      <c r="AP50" s="488"/>
      <c r="AQ50" s="488"/>
      <c r="AR50" s="488"/>
      <c r="AS50" s="488"/>
      <c r="AT50" s="488"/>
      <c r="AU50" s="488"/>
      <c r="AV50" s="488"/>
      <c r="AW50" s="488"/>
      <c r="AX50" s="488"/>
      <c r="AY50" s="488"/>
      <c r="AZ50" s="488"/>
      <c r="BA50" s="488"/>
      <c r="BB50" s="488"/>
      <c r="BC50" s="488"/>
      <c r="BD50" s="488"/>
      <c r="BE50" s="488"/>
      <c r="BF50" s="488"/>
      <c r="BG50" s="488"/>
      <c r="BH50" s="488"/>
      <c r="BI50" s="488"/>
      <c r="BJ50" s="488"/>
      <c r="BK50" s="488"/>
      <c r="BL50" s="488"/>
      <c r="BM50" s="488"/>
      <c r="BN50" s="488"/>
      <c r="BO50" s="488"/>
      <c r="BP50" s="488"/>
      <c r="BQ50" s="488"/>
      <c r="BR50" s="488"/>
      <c r="BS50" s="488"/>
      <c r="BT50" s="488"/>
      <c r="BU50" s="488"/>
      <c r="BV50" s="488"/>
      <c r="BW50" s="488"/>
      <c r="BX50" s="488"/>
      <c r="BY50" s="488"/>
      <c r="BZ50" s="488"/>
      <c r="CA50" s="488"/>
      <c r="CB50" s="488"/>
      <c r="CC50" s="488"/>
      <c r="CD50" s="488"/>
      <c r="CE50" s="488"/>
      <c r="CF50" s="488"/>
      <c r="CG50" s="488"/>
      <c r="CH50" s="488"/>
      <c r="CI50" s="488"/>
      <c r="CJ50" s="488"/>
      <c r="CK50" s="488"/>
      <c r="CL50" s="488"/>
      <c r="CM50" s="488"/>
      <c r="CN50" s="488"/>
      <c r="CO50" s="488"/>
      <c r="CP50" s="488"/>
      <c r="CQ50" s="488"/>
      <c r="CR50" s="488"/>
      <c r="CS50" s="488"/>
      <c r="CT50" s="488"/>
      <c r="CU50" s="488"/>
      <c r="CV50" s="488"/>
      <c r="CW50" s="488"/>
      <c r="CX50" s="488"/>
      <c r="CY50" s="488"/>
      <c r="CZ50" s="488"/>
      <c r="DA50" s="488"/>
      <c r="DB50" s="488"/>
      <c r="DC50" s="488"/>
      <c r="DD50" s="488"/>
      <c r="DE50" s="488"/>
      <c r="DF50" s="488"/>
      <c r="DG50" s="488"/>
      <c r="DH50" s="488"/>
      <c r="DI50" s="488"/>
      <c r="DJ50" s="488"/>
      <c r="DK50" s="488"/>
      <c r="DL50" s="488"/>
      <c r="DM50" s="488"/>
      <c r="DN50" s="488"/>
      <c r="DO50" s="488"/>
      <c r="DP50" s="488"/>
      <c r="DQ50" s="488"/>
      <c r="DR50" s="488"/>
      <c r="DS50" s="488"/>
      <c r="DT50" s="488"/>
      <c r="DU50" s="488"/>
      <c r="DV50" s="488"/>
      <c r="DW50" s="488"/>
      <c r="DX50" s="488"/>
      <c r="DY50" s="488"/>
      <c r="DZ50" s="488"/>
      <c r="EA50" s="488"/>
      <c r="EB50" s="488"/>
      <c r="EC50" s="488"/>
      <c r="ED50" s="488"/>
      <c r="EE50" s="488"/>
      <c r="EF50" s="488"/>
      <c r="EG50" s="488"/>
      <c r="EH50" s="488"/>
      <c r="EI50" s="488"/>
      <c r="EJ50" s="488"/>
      <c r="EK50" s="488"/>
      <c r="EL50" s="488"/>
      <c r="EM50" s="488"/>
      <c r="EN50" s="488"/>
      <c r="EO50" s="488"/>
      <c r="EP50" s="488"/>
      <c r="EQ50" s="488"/>
      <c r="ER50" s="488"/>
      <c r="ES50" s="488"/>
      <c r="ET50" s="488"/>
      <c r="EU50" s="488"/>
      <c r="EV50" s="488"/>
      <c r="EW50" s="488"/>
      <c r="EX50" s="488"/>
      <c r="EY50" s="488"/>
      <c r="EZ50" s="488"/>
      <c r="FA50" s="488"/>
      <c r="FB50" s="488"/>
      <c r="FC50" s="488"/>
      <c r="FD50" s="488"/>
      <c r="FE50" s="488"/>
      <c r="FF50" s="488"/>
      <c r="FG50" s="488"/>
      <c r="FH50" s="488"/>
      <c r="FI50" s="488"/>
      <c r="FJ50" s="488"/>
      <c r="FK50" s="488"/>
      <c r="FL50" s="488"/>
      <c r="FM50" s="488"/>
      <c r="FN50" s="488"/>
      <c r="FO50" s="488"/>
      <c r="FP50" s="488"/>
      <c r="FQ50" s="488"/>
      <c r="FR50" s="488"/>
      <c r="FS50" s="488"/>
      <c r="FT50" s="488"/>
      <c r="FU50" s="488"/>
      <c r="FV50" s="488"/>
      <c r="FW50" s="488"/>
      <c r="FX50" s="488"/>
      <c r="FY50" s="488"/>
      <c r="FZ50" s="488"/>
      <c r="GA50" s="488"/>
      <c r="GB50" s="488"/>
      <c r="GC50" s="488"/>
      <c r="GD50" s="488"/>
      <c r="GE50" s="488"/>
      <c r="GF50" s="488"/>
      <c r="GG50" s="488"/>
      <c r="GH50" s="488"/>
      <c r="GI50" s="488"/>
      <c r="GJ50" s="488"/>
      <c r="GK50" s="488"/>
      <c r="GL50" s="488"/>
      <c r="GM50" s="488"/>
      <c r="GN50" s="488"/>
      <c r="GO50" s="488"/>
      <c r="GP50" s="488"/>
      <c r="GQ50" s="488"/>
      <c r="GR50" s="488"/>
      <c r="GS50" s="488"/>
      <c r="GT50" s="488"/>
      <c r="GU50" s="488"/>
      <c r="GV50" s="488"/>
      <c r="GW50" s="488"/>
      <c r="GX50" s="488"/>
      <c r="GY50" s="488"/>
      <c r="GZ50" s="488"/>
      <c r="HA50" s="488"/>
      <c r="HB50" s="488"/>
      <c r="HC50" s="488"/>
      <c r="HD50" s="488"/>
      <c r="HE50" s="488"/>
      <c r="HF50" s="488"/>
      <c r="HG50" s="488"/>
      <c r="HH50" s="488"/>
      <c r="HI50" s="488"/>
      <c r="HJ50" s="488"/>
      <c r="HK50" s="488"/>
      <c r="HL50" s="488"/>
      <c r="HM50" s="488"/>
      <c r="HN50" s="488"/>
      <c r="HO50" s="488"/>
      <c r="HP50" s="488"/>
      <c r="HQ50" s="488"/>
      <c r="HR50" s="488"/>
      <c r="HS50" s="488"/>
      <c r="HT50" s="488"/>
      <c r="HU50" s="488"/>
      <c r="HV50" s="488"/>
      <c r="HW50" s="488"/>
      <c r="HX50" s="488"/>
      <c r="HY50" s="488"/>
      <c r="HZ50" s="488"/>
      <c r="IA50" s="488"/>
      <c r="IB50" s="488"/>
      <c r="IC50" s="488"/>
      <c r="ID50" s="488"/>
      <c r="IE50" s="488"/>
      <c r="IF50" s="488"/>
      <c r="IG50" s="488"/>
      <c r="IH50" s="488"/>
      <c r="II50" s="488"/>
      <c r="IJ50" s="488"/>
      <c r="IK50" s="488"/>
      <c r="IL50" s="488"/>
      <c r="IM50" s="488"/>
      <c r="IN50" s="488"/>
      <c r="IO50" s="488"/>
      <c r="IP50" s="488"/>
      <c r="IQ50" s="488"/>
      <c r="IR50" s="488"/>
      <c r="IS50" s="488"/>
      <c r="IT50" s="488"/>
      <c r="IU50" s="488"/>
      <c r="IV50" s="488"/>
      <c r="IW50" s="488"/>
    </row>
    <row r="51" customFormat="false" ht="12.75" hidden="false" customHeight="false" outlineLevel="0" collapsed="false">
      <c r="A51" s="489"/>
      <c r="B51" s="484" t="s">
        <v>521</v>
      </c>
      <c r="C51" s="494" t="s">
        <v>272</v>
      </c>
      <c r="D51" s="520"/>
      <c r="E51" s="491" t="n">
        <f aca="false">Wh_Int*-E50</f>
        <v>-0</v>
      </c>
      <c r="F51" s="491" t="n">
        <f aca="false">Wh_Int*-F50</f>
        <v>-30.7501224869417</v>
      </c>
      <c r="G51" s="491" t="n">
        <f aca="false">Wh_Int*-G50</f>
        <v>-88.7373898090123</v>
      </c>
      <c r="H51" s="491" t="n">
        <f aca="false">Wh_Int*-H50</f>
        <v>-0</v>
      </c>
      <c r="I51" s="491" t="n">
        <f aca="false">Wh_Int*-I50</f>
        <v>-0</v>
      </c>
      <c r="J51" s="491" t="n">
        <f aca="false">Wh_Int*-J50</f>
        <v>-0</v>
      </c>
      <c r="K51" s="491" t="n">
        <f aca="false">Wh_Int*-K50</f>
        <v>-0</v>
      </c>
      <c r="L51" s="491" t="n">
        <f aca="false">Wh_Int*-L50</f>
        <v>-0</v>
      </c>
      <c r="M51" s="491" t="n">
        <f aca="false">Wh_Int*-M50</f>
        <v>-0</v>
      </c>
      <c r="N51" s="491" t="n">
        <f aca="false">Wh_Int*-N50</f>
        <v>-0</v>
      </c>
      <c r="O51" s="491" t="n">
        <f aca="false">Wh_Int*-O50</f>
        <v>-0</v>
      </c>
      <c r="P51" s="491" t="n">
        <f aca="false">Wh_Int*-P50</f>
        <v>-0</v>
      </c>
      <c r="Q51" s="491" t="n">
        <f aca="false">Wh_Int*-Q50</f>
        <v>-0</v>
      </c>
      <c r="R51" s="491" t="n">
        <f aca="false">Wh_Int*-R50</f>
        <v>-0</v>
      </c>
      <c r="S51" s="491" t="n">
        <f aca="false">Wh_Int*-S50</f>
        <v>-0</v>
      </c>
      <c r="T51" s="491" t="n">
        <f aca="false">Wh_Int*-T50</f>
        <v>-0</v>
      </c>
      <c r="U51" s="491" t="n">
        <f aca="false">Wh_Int*-U50</f>
        <v>-0</v>
      </c>
      <c r="V51" s="491" t="n">
        <f aca="false">Wh_Int*-V50</f>
        <v>-0</v>
      </c>
      <c r="W51" s="491" t="n">
        <f aca="false">Wh_Int*-W50</f>
        <v>-0</v>
      </c>
      <c r="X51" s="491" t="n">
        <f aca="false">Wh_Int*-X50</f>
        <v>-0</v>
      </c>
      <c r="Y51" s="491" t="n">
        <f aca="false">Wh_Int*-Y50</f>
        <v>-0</v>
      </c>
      <c r="Z51" s="491" t="n">
        <f aca="false">Wh_Int*-Z50</f>
        <v>-0</v>
      </c>
      <c r="AA51" s="487" t="n">
        <f aca="false">SUM(D51:Z51)</f>
        <v>-119.487512295954</v>
      </c>
      <c r="AB51" s="487" t="n">
        <f aca="false">$E51+NPV(Disc,$F51:Z51)</f>
        <v>-88.5036618660215</v>
      </c>
      <c r="AC51" s="488"/>
      <c r="AD51" s="488"/>
      <c r="AE51" s="488"/>
      <c r="AF51" s="488"/>
      <c r="AG51" s="488"/>
      <c r="AH51" s="488"/>
      <c r="AI51" s="488"/>
      <c r="AJ51" s="488"/>
      <c r="AK51" s="488"/>
      <c r="AL51" s="488"/>
      <c r="AM51" s="488"/>
      <c r="AN51" s="488"/>
      <c r="AO51" s="488"/>
      <c r="AP51" s="488"/>
      <c r="AQ51" s="488"/>
      <c r="AR51" s="488"/>
      <c r="AS51" s="488"/>
      <c r="AT51" s="488"/>
      <c r="AU51" s="488"/>
      <c r="AV51" s="488"/>
      <c r="AW51" s="488"/>
      <c r="AX51" s="488"/>
      <c r="AY51" s="488"/>
      <c r="AZ51" s="488"/>
      <c r="BA51" s="488"/>
      <c r="BB51" s="488"/>
      <c r="BC51" s="488"/>
      <c r="BD51" s="488"/>
      <c r="BE51" s="488"/>
      <c r="BF51" s="488"/>
      <c r="BG51" s="488"/>
      <c r="BH51" s="488"/>
      <c r="BI51" s="488"/>
      <c r="BJ51" s="488"/>
      <c r="BK51" s="488"/>
      <c r="BL51" s="488"/>
      <c r="BM51" s="488"/>
      <c r="BN51" s="488"/>
      <c r="BO51" s="488"/>
      <c r="BP51" s="488"/>
      <c r="BQ51" s="488"/>
      <c r="BR51" s="488"/>
      <c r="BS51" s="488"/>
      <c r="BT51" s="488"/>
      <c r="BU51" s="488"/>
      <c r="BV51" s="488"/>
      <c r="BW51" s="488"/>
      <c r="BX51" s="488"/>
      <c r="BY51" s="488"/>
      <c r="BZ51" s="488"/>
      <c r="CA51" s="488"/>
      <c r="CB51" s="488"/>
      <c r="CC51" s="488"/>
      <c r="CD51" s="488"/>
      <c r="CE51" s="488"/>
      <c r="CF51" s="488"/>
      <c r="CG51" s="488"/>
      <c r="CH51" s="488"/>
      <c r="CI51" s="488"/>
      <c r="CJ51" s="488"/>
      <c r="CK51" s="488"/>
      <c r="CL51" s="488"/>
      <c r="CM51" s="488"/>
      <c r="CN51" s="488"/>
      <c r="CO51" s="488"/>
      <c r="CP51" s="488"/>
      <c r="CQ51" s="488"/>
      <c r="CR51" s="488"/>
      <c r="CS51" s="488"/>
      <c r="CT51" s="488"/>
      <c r="CU51" s="488"/>
      <c r="CV51" s="488"/>
      <c r="CW51" s="488"/>
      <c r="CX51" s="488"/>
      <c r="CY51" s="488"/>
      <c r="CZ51" s="488"/>
      <c r="DA51" s="488"/>
      <c r="DB51" s="488"/>
      <c r="DC51" s="488"/>
      <c r="DD51" s="488"/>
      <c r="DE51" s="488"/>
      <c r="DF51" s="488"/>
      <c r="DG51" s="488"/>
      <c r="DH51" s="488"/>
      <c r="DI51" s="488"/>
      <c r="DJ51" s="488"/>
      <c r="DK51" s="488"/>
      <c r="DL51" s="488"/>
      <c r="DM51" s="488"/>
      <c r="DN51" s="488"/>
      <c r="DO51" s="488"/>
      <c r="DP51" s="488"/>
      <c r="DQ51" s="488"/>
      <c r="DR51" s="488"/>
      <c r="DS51" s="488"/>
      <c r="DT51" s="488"/>
      <c r="DU51" s="488"/>
      <c r="DV51" s="488"/>
      <c r="DW51" s="488"/>
      <c r="DX51" s="488"/>
      <c r="DY51" s="488"/>
      <c r="DZ51" s="488"/>
      <c r="EA51" s="488"/>
      <c r="EB51" s="488"/>
      <c r="EC51" s="488"/>
      <c r="ED51" s="488"/>
      <c r="EE51" s="488"/>
      <c r="EF51" s="488"/>
      <c r="EG51" s="488"/>
      <c r="EH51" s="488"/>
      <c r="EI51" s="488"/>
      <c r="EJ51" s="488"/>
      <c r="EK51" s="488"/>
      <c r="EL51" s="488"/>
      <c r="EM51" s="488"/>
      <c r="EN51" s="488"/>
      <c r="EO51" s="488"/>
      <c r="EP51" s="488"/>
      <c r="EQ51" s="488"/>
      <c r="ER51" s="488"/>
      <c r="ES51" s="488"/>
      <c r="ET51" s="488"/>
      <c r="EU51" s="488"/>
      <c r="EV51" s="488"/>
      <c r="EW51" s="488"/>
      <c r="EX51" s="488"/>
      <c r="EY51" s="488"/>
      <c r="EZ51" s="488"/>
      <c r="FA51" s="488"/>
      <c r="FB51" s="488"/>
      <c r="FC51" s="488"/>
      <c r="FD51" s="488"/>
      <c r="FE51" s="488"/>
      <c r="FF51" s="488"/>
      <c r="FG51" s="488"/>
      <c r="FH51" s="488"/>
      <c r="FI51" s="488"/>
      <c r="FJ51" s="488"/>
      <c r="FK51" s="488"/>
      <c r="FL51" s="488"/>
      <c r="FM51" s="488"/>
      <c r="FN51" s="488"/>
      <c r="FO51" s="488"/>
      <c r="FP51" s="488"/>
      <c r="FQ51" s="488"/>
      <c r="FR51" s="488"/>
      <c r="FS51" s="488"/>
      <c r="FT51" s="488"/>
      <c r="FU51" s="488"/>
      <c r="FV51" s="488"/>
      <c r="FW51" s="488"/>
      <c r="FX51" s="488"/>
      <c r="FY51" s="488"/>
      <c r="FZ51" s="488"/>
      <c r="GA51" s="488"/>
      <c r="GB51" s="488"/>
      <c r="GC51" s="488"/>
      <c r="GD51" s="488"/>
      <c r="GE51" s="488"/>
      <c r="GF51" s="488"/>
      <c r="GG51" s="488"/>
      <c r="GH51" s="488"/>
      <c r="GI51" s="488"/>
      <c r="GJ51" s="488"/>
      <c r="GK51" s="488"/>
      <c r="GL51" s="488"/>
      <c r="GM51" s="488"/>
      <c r="GN51" s="488"/>
      <c r="GO51" s="488"/>
      <c r="GP51" s="488"/>
      <c r="GQ51" s="488"/>
      <c r="GR51" s="488"/>
      <c r="GS51" s="488"/>
      <c r="GT51" s="488"/>
      <c r="GU51" s="488"/>
      <c r="GV51" s="488"/>
      <c r="GW51" s="488"/>
      <c r="GX51" s="488"/>
      <c r="GY51" s="488"/>
      <c r="GZ51" s="488"/>
      <c r="HA51" s="488"/>
      <c r="HB51" s="488"/>
      <c r="HC51" s="488"/>
      <c r="HD51" s="488"/>
      <c r="HE51" s="488"/>
      <c r="HF51" s="488"/>
      <c r="HG51" s="488"/>
      <c r="HH51" s="488"/>
      <c r="HI51" s="488"/>
      <c r="HJ51" s="488"/>
      <c r="HK51" s="488"/>
      <c r="HL51" s="488"/>
      <c r="HM51" s="488"/>
      <c r="HN51" s="488"/>
      <c r="HO51" s="488"/>
      <c r="HP51" s="488"/>
      <c r="HQ51" s="488"/>
      <c r="HR51" s="488"/>
      <c r="HS51" s="488"/>
      <c r="HT51" s="488"/>
      <c r="HU51" s="488"/>
      <c r="HV51" s="488"/>
      <c r="HW51" s="488"/>
      <c r="HX51" s="488"/>
      <c r="HY51" s="488"/>
      <c r="HZ51" s="488"/>
      <c r="IA51" s="488"/>
      <c r="IB51" s="488"/>
      <c r="IC51" s="488"/>
      <c r="ID51" s="488"/>
      <c r="IE51" s="488"/>
      <c r="IF51" s="488"/>
      <c r="IG51" s="488"/>
      <c r="IH51" s="488"/>
      <c r="II51" s="488"/>
      <c r="IJ51" s="488"/>
      <c r="IK51" s="488"/>
      <c r="IL51" s="488"/>
      <c r="IM51" s="488"/>
      <c r="IN51" s="488"/>
      <c r="IO51" s="488"/>
      <c r="IP51" s="488"/>
      <c r="IQ51" s="488"/>
      <c r="IR51" s="488"/>
      <c r="IS51" s="488"/>
      <c r="IT51" s="488"/>
      <c r="IU51" s="488"/>
      <c r="IV51" s="488"/>
      <c r="IW51" s="488"/>
    </row>
    <row r="52" customFormat="false" ht="12.75" hidden="false" customHeight="false" outlineLevel="0" collapsed="false">
      <c r="A52" s="489"/>
      <c r="B52" s="484" t="s">
        <v>522</v>
      </c>
      <c r="C52" s="494" t="s">
        <v>272</v>
      </c>
      <c r="D52" s="520"/>
      <c r="E52" s="491" t="n">
        <f aca="false">-PLRisk!E43</f>
        <v>0</v>
      </c>
      <c r="F52" s="491" t="n">
        <f aca="false">-PLRisk!F43</f>
        <v>-89.3828839991485</v>
      </c>
      <c r="G52" s="491" t="n">
        <f aca="false">-PLRisk!G43</f>
        <v>-89.3828839991485</v>
      </c>
      <c r="H52" s="491" t="n">
        <f aca="false">-PLRisk!H43</f>
        <v>0</v>
      </c>
      <c r="I52" s="491" t="n">
        <f aca="false">-PLRisk!I43</f>
        <v>0</v>
      </c>
      <c r="J52" s="491" t="n">
        <f aca="false">-PLRisk!J43</f>
        <v>0</v>
      </c>
      <c r="K52" s="491" t="n">
        <f aca="false">-PLRisk!K43</f>
        <v>0</v>
      </c>
      <c r="L52" s="491" t="n">
        <f aca="false">-PLRisk!L43</f>
        <v>0</v>
      </c>
      <c r="M52" s="491" t="n">
        <f aca="false">-PLRisk!M43</f>
        <v>0</v>
      </c>
      <c r="N52" s="491" t="n">
        <f aca="false">-PLRisk!N43</f>
        <v>0</v>
      </c>
      <c r="O52" s="491" t="n">
        <f aca="false">-PLRisk!O43</f>
        <v>0</v>
      </c>
      <c r="P52" s="491" t="n">
        <f aca="false">-PLRisk!P43</f>
        <v>0</v>
      </c>
      <c r="Q52" s="491" t="n">
        <f aca="false">-PLRisk!Q43</f>
        <v>0</v>
      </c>
      <c r="R52" s="491" t="n">
        <f aca="false">-PLRisk!R43</f>
        <v>0</v>
      </c>
      <c r="S52" s="491" t="n">
        <f aca="false">-PLRisk!S43</f>
        <v>0</v>
      </c>
      <c r="T52" s="491" t="n">
        <f aca="false">-PLRisk!T43</f>
        <v>0</v>
      </c>
      <c r="U52" s="491" t="n">
        <f aca="false">-PLRisk!U43</f>
        <v>0</v>
      </c>
      <c r="V52" s="491" t="n">
        <f aca="false">-PLRisk!V43</f>
        <v>0</v>
      </c>
      <c r="W52" s="491" t="n">
        <f aca="false">-PLRisk!W43</f>
        <v>0</v>
      </c>
      <c r="X52" s="491" t="n">
        <f aca="false">-PLRisk!X43</f>
        <v>0</v>
      </c>
      <c r="Y52" s="491" t="n">
        <f aca="false">-PLRisk!Y43</f>
        <v>0</v>
      </c>
      <c r="Z52" s="491" t="n">
        <f aca="false">-PLRisk!Z43</f>
        <v>0</v>
      </c>
      <c r="AA52" s="487" t="n">
        <f aca="false">SUM(D52:Z52)</f>
        <v>-178.765767998297</v>
      </c>
      <c r="AB52" s="487" t="n">
        <f aca="false">$E52+NPV(Disc,$F52:Z52)</f>
        <v>-138.230715315398</v>
      </c>
      <c r="AC52" s="488"/>
      <c r="AD52" s="488"/>
      <c r="AE52" s="488"/>
      <c r="AF52" s="488"/>
      <c r="AG52" s="488"/>
      <c r="AH52" s="488"/>
      <c r="AI52" s="488"/>
      <c r="AJ52" s="488"/>
      <c r="AK52" s="488"/>
      <c r="AL52" s="488"/>
      <c r="AM52" s="488"/>
      <c r="AN52" s="488"/>
      <c r="AO52" s="488"/>
      <c r="AP52" s="488"/>
      <c r="AQ52" s="488"/>
      <c r="AR52" s="488"/>
      <c r="AS52" s="488"/>
      <c r="AT52" s="488"/>
      <c r="AU52" s="488"/>
      <c r="AV52" s="488"/>
      <c r="AW52" s="488"/>
      <c r="AX52" s="488"/>
      <c r="AY52" s="488"/>
      <c r="AZ52" s="488"/>
      <c r="BA52" s="488"/>
      <c r="BB52" s="488"/>
      <c r="BC52" s="488"/>
      <c r="BD52" s="488"/>
      <c r="BE52" s="488"/>
      <c r="BF52" s="488"/>
      <c r="BG52" s="488"/>
      <c r="BH52" s="488"/>
      <c r="BI52" s="488"/>
      <c r="BJ52" s="488"/>
      <c r="BK52" s="488"/>
      <c r="BL52" s="488"/>
      <c r="BM52" s="488"/>
      <c r="BN52" s="488"/>
      <c r="BO52" s="488"/>
      <c r="BP52" s="488"/>
      <c r="BQ52" s="488"/>
      <c r="BR52" s="488"/>
      <c r="BS52" s="488"/>
      <c r="BT52" s="488"/>
      <c r="BU52" s="488"/>
      <c r="BV52" s="488"/>
      <c r="BW52" s="488"/>
      <c r="BX52" s="488"/>
      <c r="BY52" s="488"/>
      <c r="BZ52" s="488"/>
      <c r="CA52" s="488"/>
      <c r="CB52" s="488"/>
      <c r="CC52" s="488"/>
      <c r="CD52" s="488"/>
      <c r="CE52" s="488"/>
      <c r="CF52" s="488"/>
      <c r="CG52" s="488"/>
      <c r="CH52" s="488"/>
      <c r="CI52" s="488"/>
      <c r="CJ52" s="488"/>
      <c r="CK52" s="488"/>
      <c r="CL52" s="488"/>
      <c r="CM52" s="488"/>
      <c r="CN52" s="488"/>
      <c r="CO52" s="488"/>
      <c r="CP52" s="488"/>
      <c r="CQ52" s="488"/>
      <c r="CR52" s="488"/>
      <c r="CS52" s="488"/>
      <c r="CT52" s="488"/>
      <c r="CU52" s="488"/>
      <c r="CV52" s="488"/>
      <c r="CW52" s="488"/>
      <c r="CX52" s="488"/>
      <c r="CY52" s="488"/>
      <c r="CZ52" s="488"/>
      <c r="DA52" s="488"/>
      <c r="DB52" s="488"/>
      <c r="DC52" s="488"/>
      <c r="DD52" s="488"/>
      <c r="DE52" s="488"/>
      <c r="DF52" s="488"/>
      <c r="DG52" s="488"/>
      <c r="DH52" s="488"/>
      <c r="DI52" s="488"/>
      <c r="DJ52" s="488"/>
      <c r="DK52" s="488"/>
      <c r="DL52" s="488"/>
      <c r="DM52" s="488"/>
      <c r="DN52" s="488"/>
      <c r="DO52" s="488"/>
      <c r="DP52" s="488"/>
      <c r="DQ52" s="488"/>
      <c r="DR52" s="488"/>
      <c r="DS52" s="488"/>
      <c r="DT52" s="488"/>
      <c r="DU52" s="488"/>
      <c r="DV52" s="488"/>
      <c r="DW52" s="488"/>
      <c r="DX52" s="488"/>
      <c r="DY52" s="488"/>
      <c r="DZ52" s="488"/>
      <c r="EA52" s="488"/>
      <c r="EB52" s="488"/>
      <c r="EC52" s="488"/>
      <c r="ED52" s="488"/>
      <c r="EE52" s="488"/>
      <c r="EF52" s="488"/>
      <c r="EG52" s="488"/>
      <c r="EH52" s="488"/>
      <c r="EI52" s="488"/>
      <c r="EJ52" s="488"/>
      <c r="EK52" s="488"/>
      <c r="EL52" s="488"/>
      <c r="EM52" s="488"/>
      <c r="EN52" s="488"/>
      <c r="EO52" s="488"/>
      <c r="EP52" s="488"/>
      <c r="EQ52" s="488"/>
      <c r="ER52" s="488"/>
      <c r="ES52" s="488"/>
      <c r="ET52" s="488"/>
      <c r="EU52" s="488"/>
      <c r="EV52" s="488"/>
      <c r="EW52" s="488"/>
      <c r="EX52" s="488"/>
      <c r="EY52" s="488"/>
      <c r="EZ52" s="488"/>
      <c r="FA52" s="488"/>
      <c r="FB52" s="488"/>
      <c r="FC52" s="488"/>
      <c r="FD52" s="488"/>
      <c r="FE52" s="488"/>
      <c r="FF52" s="488"/>
      <c r="FG52" s="488"/>
      <c r="FH52" s="488"/>
      <c r="FI52" s="488"/>
      <c r="FJ52" s="488"/>
      <c r="FK52" s="488"/>
      <c r="FL52" s="488"/>
      <c r="FM52" s="488"/>
      <c r="FN52" s="488"/>
      <c r="FO52" s="488"/>
      <c r="FP52" s="488"/>
      <c r="FQ52" s="488"/>
      <c r="FR52" s="488"/>
      <c r="FS52" s="488"/>
      <c r="FT52" s="488"/>
      <c r="FU52" s="488"/>
      <c r="FV52" s="488"/>
      <c r="FW52" s="488"/>
      <c r="FX52" s="488"/>
      <c r="FY52" s="488"/>
      <c r="FZ52" s="488"/>
      <c r="GA52" s="488"/>
      <c r="GB52" s="488"/>
      <c r="GC52" s="488"/>
      <c r="GD52" s="488"/>
      <c r="GE52" s="488"/>
      <c r="GF52" s="488"/>
      <c r="GG52" s="488"/>
      <c r="GH52" s="488"/>
      <c r="GI52" s="488"/>
      <c r="GJ52" s="488"/>
      <c r="GK52" s="488"/>
      <c r="GL52" s="488"/>
      <c r="GM52" s="488"/>
      <c r="GN52" s="488"/>
      <c r="GO52" s="488"/>
      <c r="GP52" s="488"/>
      <c r="GQ52" s="488"/>
      <c r="GR52" s="488"/>
      <c r="GS52" s="488"/>
      <c r="GT52" s="488"/>
      <c r="GU52" s="488"/>
      <c r="GV52" s="488"/>
      <c r="GW52" s="488"/>
      <c r="GX52" s="488"/>
      <c r="GY52" s="488"/>
      <c r="GZ52" s="488"/>
      <c r="HA52" s="488"/>
      <c r="HB52" s="488"/>
      <c r="HC52" s="488"/>
      <c r="HD52" s="488"/>
      <c r="HE52" s="488"/>
      <c r="HF52" s="488"/>
      <c r="HG52" s="488"/>
      <c r="HH52" s="488"/>
      <c r="HI52" s="488"/>
      <c r="HJ52" s="488"/>
      <c r="HK52" s="488"/>
      <c r="HL52" s="488"/>
      <c r="HM52" s="488"/>
      <c r="HN52" s="488"/>
      <c r="HO52" s="488"/>
      <c r="HP52" s="488"/>
      <c r="HQ52" s="488"/>
      <c r="HR52" s="488"/>
      <c r="HS52" s="488"/>
      <c r="HT52" s="488"/>
      <c r="HU52" s="488"/>
      <c r="HV52" s="488"/>
      <c r="HW52" s="488"/>
      <c r="HX52" s="488"/>
      <c r="HY52" s="488"/>
      <c r="HZ52" s="488"/>
      <c r="IA52" s="488"/>
      <c r="IB52" s="488"/>
      <c r="IC52" s="488"/>
      <c r="ID52" s="488"/>
      <c r="IE52" s="488"/>
      <c r="IF52" s="488"/>
      <c r="IG52" s="488"/>
      <c r="IH52" s="488"/>
      <c r="II52" s="488"/>
      <c r="IJ52" s="488"/>
      <c r="IK52" s="488"/>
      <c r="IL52" s="488"/>
      <c r="IM52" s="488"/>
      <c r="IN52" s="488"/>
      <c r="IO52" s="488"/>
      <c r="IP52" s="488"/>
      <c r="IQ52" s="488"/>
      <c r="IR52" s="488"/>
      <c r="IS52" s="488"/>
      <c r="IT52" s="488"/>
      <c r="IU52" s="488"/>
      <c r="IV52" s="488"/>
      <c r="IW52" s="488"/>
    </row>
    <row r="53" customFormat="false" ht="12.75" hidden="false" customHeight="false" outlineLevel="0" collapsed="false">
      <c r="A53" s="489"/>
      <c r="B53" s="484" t="s">
        <v>523</v>
      </c>
      <c r="C53" s="484"/>
      <c r="D53" s="520"/>
      <c r="E53" s="504" t="n">
        <f aca="false">-USTax*SUM(E50:E52)</f>
        <v>-0</v>
      </c>
      <c r="F53" s="504" t="n">
        <f aca="false">-USTax*SUM(F50:F52)</f>
        <v>-46.5711501614941</v>
      </c>
      <c r="G53" s="504" t="n">
        <f aca="false">-USTax*SUM(G50:G52)</f>
        <v>-196.758172525657</v>
      </c>
      <c r="H53" s="504" t="n">
        <f aca="false">-USTax*SUM(H50:H52)</f>
        <v>-0</v>
      </c>
      <c r="I53" s="504" t="n">
        <f aca="false">-USTax*SUM(I50:I52)</f>
        <v>-0</v>
      </c>
      <c r="J53" s="504" t="n">
        <f aca="false">-USTax*SUM(J50:J52)</f>
        <v>-0</v>
      </c>
      <c r="K53" s="504" t="n">
        <f aca="false">-USTax*SUM(K50:K52)</f>
        <v>-0</v>
      </c>
      <c r="L53" s="504" t="n">
        <f aca="false">-USTax*SUM(L50:L52)</f>
        <v>-0</v>
      </c>
      <c r="M53" s="504" t="n">
        <f aca="false">-USTax*SUM(M50:M52)</f>
        <v>-0</v>
      </c>
      <c r="N53" s="504" t="n">
        <f aca="false">-USTax*SUM(N50:N52)</f>
        <v>-0</v>
      </c>
      <c r="O53" s="504" t="n">
        <f aca="false">-USTax*SUM(O50:O52)</f>
        <v>-0</v>
      </c>
      <c r="P53" s="504" t="n">
        <f aca="false">-USTax*SUM(P50:P52)</f>
        <v>-0</v>
      </c>
      <c r="Q53" s="504" t="n">
        <f aca="false">-USTax*SUM(Q50:Q52)</f>
        <v>-0</v>
      </c>
      <c r="R53" s="504" t="n">
        <f aca="false">-USTax*SUM(R50:R52)</f>
        <v>-0</v>
      </c>
      <c r="S53" s="504" t="n">
        <f aca="false">-USTax*SUM(S50:S52)</f>
        <v>-0</v>
      </c>
      <c r="T53" s="504" t="n">
        <f aca="false">-USTax*SUM(T50:T52)</f>
        <v>-0</v>
      </c>
      <c r="U53" s="504" t="n">
        <f aca="false">-USTax*SUM(U50:U52)</f>
        <v>-0</v>
      </c>
      <c r="V53" s="504" t="n">
        <f aca="false">-USTax*SUM(V50:V52)</f>
        <v>-0</v>
      </c>
      <c r="W53" s="504" t="n">
        <f aca="false">-USTax*SUM(W50:W52)</f>
        <v>-0</v>
      </c>
      <c r="X53" s="504" t="n">
        <f aca="false">-USTax*SUM(X50:X52)</f>
        <v>-0</v>
      </c>
      <c r="Y53" s="504" t="n">
        <f aca="false">-USTax*SUM(Y50:Y52)</f>
        <v>-0</v>
      </c>
      <c r="Z53" s="504" t="n">
        <f aca="false">-USTax*SUM(Z50:Z52)</f>
        <v>-0</v>
      </c>
      <c r="AA53" s="505" t="n">
        <f aca="false">SUM(D53:Z53)</f>
        <v>-243.329322687151</v>
      </c>
      <c r="AB53" s="505" t="n">
        <f aca="false">$E53+NPV(Disc,$F53:Z53)</f>
        <v>-178.079119566298</v>
      </c>
      <c r="AC53" s="488"/>
      <c r="AD53" s="488"/>
      <c r="AE53" s="488"/>
      <c r="AF53" s="488"/>
      <c r="AG53" s="488"/>
      <c r="AH53" s="488"/>
      <c r="AI53" s="488"/>
      <c r="AJ53" s="488"/>
      <c r="AK53" s="488"/>
      <c r="AL53" s="488"/>
      <c r="AM53" s="488"/>
      <c r="AN53" s="488"/>
      <c r="AO53" s="488"/>
      <c r="AP53" s="488"/>
      <c r="AQ53" s="488"/>
      <c r="AR53" s="488"/>
      <c r="AS53" s="488"/>
      <c r="AT53" s="488"/>
      <c r="AU53" s="488"/>
      <c r="AV53" s="488"/>
      <c r="AW53" s="488"/>
      <c r="AX53" s="488"/>
      <c r="AY53" s="488"/>
      <c r="AZ53" s="488"/>
      <c r="BA53" s="488"/>
      <c r="BB53" s="488"/>
      <c r="BC53" s="488"/>
      <c r="BD53" s="488"/>
      <c r="BE53" s="488"/>
      <c r="BF53" s="488"/>
      <c r="BG53" s="488"/>
      <c r="BH53" s="488"/>
      <c r="BI53" s="488"/>
      <c r="BJ53" s="488"/>
      <c r="BK53" s="488"/>
      <c r="BL53" s="488"/>
      <c r="BM53" s="488"/>
      <c r="BN53" s="488"/>
      <c r="BO53" s="488"/>
      <c r="BP53" s="488"/>
      <c r="BQ53" s="488"/>
      <c r="BR53" s="488"/>
      <c r="BS53" s="488"/>
      <c r="BT53" s="488"/>
      <c r="BU53" s="488"/>
      <c r="BV53" s="488"/>
      <c r="BW53" s="488"/>
      <c r="BX53" s="488"/>
      <c r="BY53" s="488"/>
      <c r="BZ53" s="488"/>
      <c r="CA53" s="488"/>
      <c r="CB53" s="488"/>
      <c r="CC53" s="488"/>
      <c r="CD53" s="488"/>
      <c r="CE53" s="488"/>
      <c r="CF53" s="488"/>
      <c r="CG53" s="488"/>
      <c r="CH53" s="488"/>
      <c r="CI53" s="488"/>
      <c r="CJ53" s="488"/>
      <c r="CK53" s="488"/>
      <c r="CL53" s="488"/>
      <c r="CM53" s="488"/>
      <c r="CN53" s="488"/>
      <c r="CO53" s="488"/>
      <c r="CP53" s="488"/>
      <c r="CQ53" s="488"/>
      <c r="CR53" s="488"/>
      <c r="CS53" s="488"/>
      <c r="CT53" s="488"/>
      <c r="CU53" s="488"/>
      <c r="CV53" s="488"/>
      <c r="CW53" s="488"/>
      <c r="CX53" s="488"/>
      <c r="CY53" s="488"/>
      <c r="CZ53" s="488"/>
      <c r="DA53" s="488"/>
      <c r="DB53" s="488"/>
      <c r="DC53" s="488"/>
      <c r="DD53" s="488"/>
      <c r="DE53" s="488"/>
      <c r="DF53" s="488"/>
      <c r="DG53" s="488"/>
      <c r="DH53" s="488"/>
      <c r="DI53" s="488"/>
      <c r="DJ53" s="488"/>
      <c r="DK53" s="488"/>
      <c r="DL53" s="488"/>
      <c r="DM53" s="488"/>
      <c r="DN53" s="488"/>
      <c r="DO53" s="488"/>
      <c r="DP53" s="488"/>
      <c r="DQ53" s="488"/>
      <c r="DR53" s="488"/>
      <c r="DS53" s="488"/>
      <c r="DT53" s="488"/>
      <c r="DU53" s="488"/>
      <c r="DV53" s="488"/>
      <c r="DW53" s="488"/>
      <c r="DX53" s="488"/>
      <c r="DY53" s="488"/>
      <c r="DZ53" s="488"/>
      <c r="EA53" s="488"/>
      <c r="EB53" s="488"/>
      <c r="EC53" s="488"/>
      <c r="ED53" s="488"/>
      <c r="EE53" s="488"/>
      <c r="EF53" s="488"/>
      <c r="EG53" s="488"/>
      <c r="EH53" s="488"/>
      <c r="EI53" s="488"/>
      <c r="EJ53" s="488"/>
      <c r="EK53" s="488"/>
      <c r="EL53" s="488"/>
      <c r="EM53" s="488"/>
      <c r="EN53" s="488"/>
      <c r="EO53" s="488"/>
      <c r="EP53" s="488"/>
      <c r="EQ53" s="488"/>
      <c r="ER53" s="488"/>
      <c r="ES53" s="488"/>
      <c r="ET53" s="488"/>
      <c r="EU53" s="488"/>
      <c r="EV53" s="488"/>
      <c r="EW53" s="488"/>
      <c r="EX53" s="488"/>
      <c r="EY53" s="488"/>
      <c r="EZ53" s="488"/>
      <c r="FA53" s="488"/>
      <c r="FB53" s="488"/>
      <c r="FC53" s="488"/>
      <c r="FD53" s="488"/>
      <c r="FE53" s="488"/>
      <c r="FF53" s="488"/>
      <c r="FG53" s="488"/>
      <c r="FH53" s="488"/>
      <c r="FI53" s="488"/>
      <c r="FJ53" s="488"/>
      <c r="FK53" s="488"/>
      <c r="FL53" s="488"/>
      <c r="FM53" s="488"/>
      <c r="FN53" s="488"/>
      <c r="FO53" s="488"/>
      <c r="FP53" s="488"/>
      <c r="FQ53" s="488"/>
      <c r="FR53" s="488"/>
      <c r="FS53" s="488"/>
      <c r="FT53" s="488"/>
      <c r="FU53" s="488"/>
      <c r="FV53" s="488"/>
      <c r="FW53" s="488"/>
      <c r="FX53" s="488"/>
      <c r="FY53" s="488"/>
      <c r="FZ53" s="488"/>
      <c r="GA53" s="488"/>
      <c r="GB53" s="488"/>
      <c r="GC53" s="488"/>
      <c r="GD53" s="488"/>
      <c r="GE53" s="488"/>
      <c r="GF53" s="488"/>
      <c r="GG53" s="488"/>
      <c r="GH53" s="488"/>
      <c r="GI53" s="488"/>
      <c r="GJ53" s="488"/>
      <c r="GK53" s="488"/>
      <c r="GL53" s="488"/>
      <c r="GM53" s="488"/>
      <c r="GN53" s="488"/>
      <c r="GO53" s="488"/>
      <c r="GP53" s="488"/>
      <c r="GQ53" s="488"/>
      <c r="GR53" s="488"/>
      <c r="GS53" s="488"/>
      <c r="GT53" s="488"/>
      <c r="GU53" s="488"/>
      <c r="GV53" s="488"/>
      <c r="GW53" s="488"/>
      <c r="GX53" s="488"/>
      <c r="GY53" s="488"/>
      <c r="GZ53" s="488"/>
      <c r="HA53" s="488"/>
      <c r="HB53" s="488"/>
      <c r="HC53" s="488"/>
      <c r="HD53" s="488"/>
      <c r="HE53" s="488"/>
      <c r="HF53" s="488"/>
      <c r="HG53" s="488"/>
      <c r="HH53" s="488"/>
      <c r="HI53" s="488"/>
      <c r="HJ53" s="488"/>
      <c r="HK53" s="488"/>
      <c r="HL53" s="488"/>
      <c r="HM53" s="488"/>
      <c r="HN53" s="488"/>
      <c r="HO53" s="488"/>
      <c r="HP53" s="488"/>
      <c r="HQ53" s="488"/>
      <c r="HR53" s="488"/>
      <c r="HS53" s="488"/>
      <c r="HT53" s="488"/>
      <c r="HU53" s="488"/>
      <c r="HV53" s="488"/>
      <c r="HW53" s="488"/>
      <c r="HX53" s="488"/>
      <c r="HY53" s="488"/>
      <c r="HZ53" s="488"/>
      <c r="IA53" s="488"/>
      <c r="IB53" s="488"/>
      <c r="IC53" s="488"/>
      <c r="ID53" s="488"/>
      <c r="IE53" s="488"/>
      <c r="IF53" s="488"/>
      <c r="IG53" s="488"/>
      <c r="IH53" s="488"/>
      <c r="II53" s="488"/>
      <c r="IJ53" s="488"/>
      <c r="IK53" s="488"/>
      <c r="IL53" s="488"/>
      <c r="IM53" s="488"/>
      <c r="IN53" s="488"/>
      <c r="IO53" s="488"/>
      <c r="IP53" s="488"/>
      <c r="IQ53" s="488"/>
      <c r="IR53" s="488"/>
      <c r="IS53" s="488"/>
      <c r="IT53" s="488"/>
      <c r="IU53" s="488"/>
      <c r="IV53" s="488"/>
      <c r="IW53" s="488"/>
    </row>
    <row r="54" customFormat="false" ht="12.75" hidden="false" customHeight="false" outlineLevel="0" collapsed="false">
      <c r="A54" s="461"/>
      <c r="B54" s="39" t="s">
        <v>524</v>
      </c>
      <c r="C54" s="39"/>
      <c r="D54" s="478"/>
      <c r="E54" s="61" t="n">
        <f aca="false">SUM(E47:E53)</f>
        <v>-2535.159172224</v>
      </c>
      <c r="F54" s="61" t="n">
        <f aca="false">SUM(F47:F53)</f>
        <v>-19780.8629977828</v>
      </c>
      <c r="G54" s="61" t="n">
        <f aca="false">SUM(G47:G53)</f>
        <v>7994.18837412222</v>
      </c>
      <c r="H54" s="61" t="n">
        <f aca="false">SUM(H47:H53)</f>
        <v>1187.53736095046</v>
      </c>
      <c r="I54" s="61" t="n">
        <f aca="false">SUM(I47:I53)</f>
        <v>1435.29260609149</v>
      </c>
      <c r="J54" s="61" t="n">
        <f aca="false">SUM(J47:J53)</f>
        <v>986.371210258166</v>
      </c>
      <c r="K54" s="61" t="n">
        <f aca="false">SUM(K47:K53)</f>
        <v>1464.86209933084</v>
      </c>
      <c r="L54" s="61" t="n">
        <f aca="false">SUM(L47:L53)</f>
        <v>250.283108887491</v>
      </c>
      <c r="M54" s="61" t="n">
        <f aca="false">SUM(M47:M53)</f>
        <v>1253.61504485292</v>
      </c>
      <c r="N54" s="61" t="n">
        <f aca="false">SUM(N47:N53)</f>
        <v>1412.09243780539</v>
      </c>
      <c r="O54" s="61" t="n">
        <f aca="false">SUM(O47:O53)</f>
        <v>2507.65757337681</v>
      </c>
      <c r="P54" s="61" t="n">
        <f aca="false">SUM(P47:P53)</f>
        <v>3801.03398891462</v>
      </c>
      <c r="Q54" s="61" t="n">
        <f aca="false">SUM(Q47:Q53)</f>
        <v>4117.84738762784</v>
      </c>
      <c r="R54" s="61" t="n">
        <f aca="false">SUM(R47:R53)</f>
        <v>3709.80134267984</v>
      </c>
      <c r="S54" s="61" t="n">
        <f aca="false">SUM(S47:S53)</f>
        <v>2471.4090117947</v>
      </c>
      <c r="T54" s="61" t="n">
        <f aca="false">SUM(T47:T53)</f>
        <v>2465.70126514766</v>
      </c>
      <c r="U54" s="61" t="n">
        <f aca="false">SUM(U47:U53)</f>
        <v>3083.41816647567</v>
      </c>
      <c r="V54" s="61" t="n">
        <f aca="false">SUM(V47:V53)</f>
        <v>4127.50142873931</v>
      </c>
      <c r="W54" s="61" t="n">
        <f aca="false">SUM(W47:W53)</f>
        <v>6147.25058908842</v>
      </c>
      <c r="X54" s="61" t="n">
        <f aca="false">SUM(X47:X53)</f>
        <v>6298.72068366026</v>
      </c>
      <c r="Y54" s="61" t="n">
        <f aca="false">SUM(Y47:Y53)</f>
        <v>6467.60604098712</v>
      </c>
      <c r="Z54" s="61" t="n">
        <f aca="false">SUM(Z47:Z53)</f>
        <v>103642.335889257</v>
      </c>
      <c r="AA54" s="309" t="n">
        <f aca="false">SUM(D54:Z54)</f>
        <v>142508.503440041</v>
      </c>
      <c r="AB54" s="309" t="n">
        <f aca="false">SUM(AB47:AB53)</f>
        <v>-4395.8914403922</v>
      </c>
    </row>
    <row r="55" customFormat="false" ht="12.75" hidden="false" customHeight="false" outlineLevel="0" collapsed="false">
      <c r="A55" s="461"/>
      <c r="B55" s="39"/>
      <c r="C55" s="39"/>
      <c r="D55" s="478"/>
      <c r="E55" s="478"/>
      <c r="F55" s="478"/>
      <c r="G55" s="478"/>
      <c r="H55" s="478"/>
      <c r="I55" s="478"/>
      <c r="J55" s="478"/>
      <c r="K55" s="478"/>
      <c r="L55" s="478"/>
      <c r="M55" s="478"/>
      <c r="N55" s="478"/>
      <c r="O55" s="478"/>
      <c r="P55" s="478"/>
      <c r="Q55" s="478"/>
      <c r="R55" s="478"/>
      <c r="S55" s="478"/>
      <c r="T55" s="478"/>
      <c r="U55" s="478"/>
      <c r="V55" s="478"/>
      <c r="W55" s="478"/>
      <c r="X55" s="478"/>
      <c r="Y55" s="478"/>
      <c r="Z55" s="478"/>
      <c r="AA55" s="302"/>
      <c r="AB55" s="302"/>
    </row>
    <row r="56" customFormat="false" ht="12.75" hidden="false" customHeight="false" outlineLevel="0" collapsed="false">
      <c r="A56" s="461"/>
      <c r="B56" s="39" t="s">
        <v>503</v>
      </c>
      <c r="C56" s="39"/>
      <c r="D56" s="478"/>
      <c r="E56" s="61" t="n">
        <f aca="false">$E54</f>
        <v>-2535.159172224</v>
      </c>
      <c r="F56" s="61" t="n">
        <f aca="false">$E54+NPV(Disc,$F54:F54)</f>
        <v>-19157.7331199406</v>
      </c>
      <c r="G56" s="61" t="n">
        <f aca="false">$E54+NPV(Disc,$F54:G54)</f>
        <v>-13512.5185347262</v>
      </c>
      <c r="H56" s="61" t="n">
        <f aca="false">$E54+NPV(Disc,$F54:H54)</f>
        <v>-12807.815084814</v>
      </c>
      <c r="I56" s="61" t="n">
        <f aca="false">$E54+NPV(Disc,$F54:I54)</f>
        <v>-12092.0795130294</v>
      </c>
      <c r="J56" s="61" t="n">
        <f aca="false">$E54+NPV(Disc,$F54:J54)</f>
        <v>-11678.7412778663</v>
      </c>
      <c r="K56" s="61" t="n">
        <f aca="false">$E54+NPV(Disc,$F54:K54)</f>
        <v>-11162.9013272568</v>
      </c>
      <c r="L56" s="61" t="n">
        <f aca="false">$E54+NPV(Disc,$F54:L54)</f>
        <v>-11088.8380694827</v>
      </c>
      <c r="M56" s="61" t="n">
        <f aca="false">$E54+NPV(Disc,$F54:M54)</f>
        <v>-10777.1009598477</v>
      </c>
      <c r="N56" s="61" t="n">
        <f aca="false">$E54+NPV(Disc,$F54:N54)</f>
        <v>-10482.0204842813</v>
      </c>
      <c r="O56" s="61" t="n">
        <f aca="false">$E54+NPV(Disc,$F54:O54)</f>
        <v>-10041.6698580133</v>
      </c>
      <c r="P56" s="61" t="n">
        <f aca="false">$E54+NPV(Disc,$F54:P54)</f>
        <v>-9480.77019669855</v>
      </c>
      <c r="Q56" s="61" t="n">
        <f aca="false">$E54+NPV(Disc,$F54:Q54)</f>
        <v>-8970.1397452485</v>
      </c>
      <c r="R56" s="61" t="n">
        <f aca="false">$E54+NPV(Disc,$F54:R54)</f>
        <v>-8583.55905607741</v>
      </c>
      <c r="S56" s="61" t="n">
        <f aca="false">$E54+NPV(Disc,$F54:S54)</f>
        <v>-8367.14415201048</v>
      </c>
      <c r="T56" s="61" t="n">
        <f aca="false">$E54+NPV(Disc,$F54:T54)</f>
        <v>-8185.70289870386</v>
      </c>
      <c r="U56" s="61" t="n">
        <f aca="false">$E54+NPV(Disc,$F54:U54)</f>
        <v>-7995.03347912914</v>
      </c>
      <c r="V56" s="61" t="n">
        <f aca="false">$E54+NPV(Disc,$F54:V54)</f>
        <v>-7780.5524481386</v>
      </c>
      <c r="W56" s="61" t="n">
        <f aca="false">$E54+NPV(Disc,$F54:W54)</f>
        <v>-7512.11962917674</v>
      </c>
      <c r="X56" s="61" t="n">
        <f aca="false">$E54+NPV(Disc,$F54:X54)</f>
        <v>-7280.9876258397</v>
      </c>
      <c r="Y56" s="61" t="n">
        <f aca="false">$E54+NPV(Disc,$F54:Y54)</f>
        <v>-7081.55126993028</v>
      </c>
      <c r="Z56" s="61" t="n">
        <f aca="false">$E54+NPV(Disc,$F54:Z54)</f>
        <v>-4395.8914403922</v>
      </c>
      <c r="AA56" s="302"/>
      <c r="AB56" s="302"/>
    </row>
    <row r="57" customFormat="false" ht="12.75" hidden="false" customHeight="false" outlineLevel="0" collapsed="false">
      <c r="A57" s="461"/>
      <c r="B57" s="39" t="s">
        <v>504</v>
      </c>
      <c r="C57" s="39"/>
      <c r="D57" s="478"/>
      <c r="E57" s="95" t="e">
        <f aca="false">IRR($E54:E54,-0.9)</f>
        <v>#N/A</v>
      </c>
      <c r="F57" s="95" t="e">
        <f aca="false">IRR($E54:F54,-0.9)</f>
        <v>#N/A</v>
      </c>
      <c r="G57" s="95" t="n">
        <f aca="false">IRR($E54:G54,-0.9)</f>
        <v>-0.614871986454827</v>
      </c>
      <c r="H57" s="95" t="n">
        <f aca="false">IRR($E54:H54,-0.9)</f>
        <v>-0.505716618831137</v>
      </c>
      <c r="I57" s="95" t="n">
        <f aca="false">IRR($E54:I54,-0.9)</f>
        <v>-0.369271160455176</v>
      </c>
      <c r="J57" s="95" t="n">
        <f aca="false">IRR($E54:J54,-0.9)</f>
        <v>-0.291153988475033</v>
      </c>
      <c r="K57" s="95" t="n">
        <f aca="false">IRR($E54:K54,-0.9)</f>
        <v>-0.203932135313686</v>
      </c>
      <c r="L57" s="95" t="n">
        <f aca="false">IRR($E54:L54,-0.9)</f>
        <v>-0.191030658097614</v>
      </c>
      <c r="M57" s="95" t="e">
        <f aca="false">IRR($E54:M54,-0.9)</f>
        <v>#N/A</v>
      </c>
      <c r="N57" s="95" t="e">
        <f aca="false">IRR($E54:N54,-0.9)</f>
        <v>#N/A</v>
      </c>
      <c r="O57" s="95" t="e">
        <f aca="false">IRR($E54:O54,-0.9)</f>
        <v>#N/A</v>
      </c>
      <c r="P57" s="95" t="e">
        <f aca="false">IRR($E54:P54,-0.9)</f>
        <v>#N/A</v>
      </c>
      <c r="Q57" s="95" t="e">
        <f aca="false">IRR($E54:Q54,-0.9)</f>
        <v>#N/A</v>
      </c>
      <c r="R57" s="95" t="e">
        <f aca="false">IRR($E54:R54,-0.9)</f>
        <v>#N/A</v>
      </c>
      <c r="S57" s="95" t="e">
        <f aca="false">IRR($E54:S54,-0.9)</f>
        <v>#N/A</v>
      </c>
      <c r="T57" s="95" t="e">
        <f aca="false">IRR($E54:T54,-0.9)</f>
        <v>#N/A</v>
      </c>
      <c r="U57" s="95" t="e">
        <f aca="false">IRR($E54:U54,-0.9)</f>
        <v>#N/A</v>
      </c>
      <c r="V57" s="95" t="e">
        <f aca="false">IRR($E54:V54,-0.9)</f>
        <v>#N/A</v>
      </c>
      <c r="W57" s="95" t="e">
        <f aca="false">IRR($E54:W54,-0.9)</f>
        <v>#N/A</v>
      </c>
      <c r="X57" s="95" t="e">
        <f aca="false">IRR($E54:X54,-0.9)</f>
        <v>#N/A</v>
      </c>
      <c r="Y57" s="95" t="e">
        <f aca="false">IRR($E54:Y54,-0.9)</f>
        <v>#N/A</v>
      </c>
      <c r="Z57" s="95" t="e">
        <f aca="false">IRR($E54:Z54,-0.9)</f>
        <v>#N/A</v>
      </c>
      <c r="AA57" s="302"/>
      <c r="AB57" s="467" t="n">
        <f aca="false">IRR($E54:Z54)</f>
        <v>0.155504704154912</v>
      </c>
    </row>
    <row r="58" customFormat="false" ht="12.75" hidden="false" customHeight="false" outlineLevel="0" collapsed="false">
      <c r="A58" s="461"/>
      <c r="B58" s="39"/>
      <c r="C58" s="39"/>
      <c r="D58" s="478"/>
      <c r="E58" s="478"/>
      <c r="F58" s="478"/>
      <c r="G58" s="478"/>
      <c r="H58" s="478"/>
      <c r="I58" s="478"/>
      <c r="J58" s="478"/>
      <c r="K58" s="478"/>
      <c r="L58" s="478"/>
      <c r="M58" s="478"/>
      <c r="N58" s="478"/>
      <c r="O58" s="478"/>
      <c r="P58" s="478"/>
      <c r="Q58" s="478"/>
      <c r="R58" s="478"/>
      <c r="S58" s="478"/>
      <c r="T58" s="478"/>
      <c r="U58" s="478"/>
      <c r="V58" s="478"/>
      <c r="W58" s="478"/>
      <c r="X58" s="478"/>
      <c r="Y58" s="478"/>
      <c r="Z58" s="478"/>
      <c r="AA58" s="302"/>
      <c r="AB58" s="302"/>
    </row>
    <row r="59" customFormat="false" ht="12.75" hidden="false" customHeight="false" outlineLevel="0" collapsed="false">
      <c r="A59" s="461"/>
      <c r="B59" s="470" t="str">
        <f aca="false">CONCATENATE("Enron NPV w/ Bridge Loan @ ",TEXT(Disc,"0.0%"))</f>
        <v>Enron NPV w/ Bridge Loan @ 19.0%</v>
      </c>
      <c r="C59" s="471" t="n">
        <f aca="false">AB54</f>
        <v>-4395.8914403922</v>
      </c>
      <c r="D59" s="39"/>
      <c r="E59" s="478"/>
      <c r="F59" s="478"/>
      <c r="G59" s="478"/>
      <c r="H59" s="478"/>
      <c r="I59" s="478"/>
      <c r="J59" s="478"/>
      <c r="K59" s="478"/>
      <c r="L59" s="478"/>
      <c r="M59" s="478"/>
      <c r="N59" s="478"/>
      <c r="O59" s="478"/>
      <c r="P59" s="478"/>
      <c r="Q59" s="478"/>
      <c r="R59" s="478"/>
      <c r="S59" s="478"/>
      <c r="T59" s="478"/>
      <c r="U59" s="478"/>
      <c r="V59" s="478"/>
      <c r="W59" s="478"/>
      <c r="X59" s="478"/>
      <c r="Y59" s="478"/>
      <c r="Z59" s="478"/>
      <c r="AA59" s="302"/>
      <c r="AB59" s="302"/>
    </row>
    <row r="60" customFormat="false" ht="12.75" hidden="false" customHeight="false" outlineLevel="0" collapsed="false">
      <c r="A60" s="461"/>
      <c r="B60" s="472" t="s">
        <v>525</v>
      </c>
      <c r="C60" s="521" t="n">
        <f aca="false">AB57</f>
        <v>0.155504704154912</v>
      </c>
      <c r="D60" s="478"/>
      <c r="E60" s="478"/>
      <c r="F60" s="478"/>
      <c r="G60" s="478"/>
      <c r="H60" s="478"/>
      <c r="I60" s="478"/>
      <c r="J60" s="478"/>
      <c r="K60" s="478"/>
      <c r="L60" s="478"/>
      <c r="M60" s="478"/>
      <c r="N60" s="478"/>
      <c r="O60" s="478"/>
      <c r="P60" s="478"/>
      <c r="Q60" s="478"/>
      <c r="R60" s="478"/>
      <c r="S60" s="478"/>
      <c r="T60" s="478"/>
      <c r="U60" s="478"/>
      <c r="V60" s="478"/>
      <c r="W60" s="478"/>
      <c r="X60" s="478"/>
      <c r="Y60" s="478"/>
      <c r="Z60" s="478"/>
      <c r="AA60" s="302"/>
      <c r="AB60" s="302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</row>
    <row r="61" customFormat="false" ht="12.75" hidden="false" customHeight="false" outlineLevel="0" collapsed="false">
      <c r="A61" s="513"/>
      <c r="B61" s="514" t="s">
        <v>526</v>
      </c>
      <c r="C61" s="515" t="n">
        <f aca="false">MAX(E61:Z61)</f>
        <v>0</v>
      </c>
      <c r="D61" s="516"/>
      <c r="E61" s="516" t="n">
        <f aca="false">IF(AND(D56&lt;0,E56&gt;0),E$6,0)</f>
        <v>0</v>
      </c>
      <c r="F61" s="516" t="n">
        <f aca="false">IF(AND(E56&lt;0,F56&gt;0),F$6,0)</f>
        <v>0</v>
      </c>
      <c r="G61" s="516" t="n">
        <f aca="false">IF(AND(F56&lt;0,G56&gt;0),G$6,0)</f>
        <v>0</v>
      </c>
      <c r="H61" s="516" t="n">
        <f aca="false">IF(AND(G56&lt;0,H56&gt;0),H$6,0)</f>
        <v>0</v>
      </c>
      <c r="I61" s="516" t="n">
        <f aca="false">IF(AND(H56&lt;0,I56&gt;0),I$6,0)</f>
        <v>0</v>
      </c>
      <c r="J61" s="516" t="n">
        <f aca="false">IF(AND(I56&lt;0,J56&gt;0),J$6,0)</f>
        <v>0</v>
      </c>
      <c r="K61" s="516" t="n">
        <f aca="false">IF(AND(J56&lt;0,K56&gt;0),K$6,0)</f>
        <v>0</v>
      </c>
      <c r="L61" s="516" t="n">
        <f aca="false">IF(AND(K56&lt;0,L56&gt;0),L$6,0)</f>
        <v>0</v>
      </c>
      <c r="M61" s="516" t="n">
        <f aca="false">IF(AND(L56&lt;0,M56&gt;0),M$6,0)</f>
        <v>0</v>
      </c>
      <c r="N61" s="516" t="n">
        <f aca="false">IF(AND(M56&lt;0,N56&gt;0),N$6,0)</f>
        <v>0</v>
      </c>
      <c r="O61" s="516" t="n">
        <f aca="false">IF(AND(N56&lt;0,O56&gt;0),O$6,0)</f>
        <v>0</v>
      </c>
      <c r="P61" s="516" t="n">
        <f aca="false">IF(AND(O56&lt;0,P56&gt;0),P$6,0)</f>
        <v>0</v>
      </c>
      <c r="Q61" s="516" t="n">
        <f aca="false">IF(AND(P56&lt;0,Q56&gt;0),Q$6,0)</f>
        <v>0</v>
      </c>
      <c r="R61" s="516" t="n">
        <f aca="false">IF(AND(Q56&lt;0,R56&gt;0),R$6,0)</f>
        <v>0</v>
      </c>
      <c r="S61" s="516" t="n">
        <f aca="false">IF(AND(R56&lt;0,S56&gt;0),S$6,0)</f>
        <v>0</v>
      </c>
      <c r="T61" s="516" t="n">
        <f aca="false">IF(AND(S56&lt;0,T56&gt;0),T$6,0)</f>
        <v>0</v>
      </c>
      <c r="U61" s="516" t="n">
        <f aca="false">IF(AND(T56&lt;0,U56&gt;0),U$6,0)</f>
        <v>0</v>
      </c>
      <c r="V61" s="516" t="n">
        <f aca="false">IF(AND(U56&lt;0,V56&gt;0),V$6,0)</f>
        <v>0</v>
      </c>
      <c r="W61" s="516" t="n">
        <f aca="false">IF(AND(V56&lt;0,W56&gt;0),W$6,0)</f>
        <v>0</v>
      </c>
      <c r="X61" s="516" t="n">
        <f aca="false">IF(AND(W56&lt;0,X56&gt;0),X$6,0)</f>
        <v>0</v>
      </c>
      <c r="Y61" s="516" t="n">
        <f aca="false">IF(AND(X56&lt;0,Y56&gt;0),Y$6,0)</f>
        <v>0</v>
      </c>
      <c r="Z61" s="516" t="n">
        <f aca="false">IF(AND(Y56&lt;0,Z56&gt;0),Z$6,0)</f>
        <v>0</v>
      </c>
      <c r="AA61" s="517"/>
      <c r="AB61" s="517"/>
    </row>
    <row r="62" customFormat="false" ht="12.75" hidden="false" customHeight="false" outlineLevel="0" collapsed="false">
      <c r="A62" s="47"/>
      <c r="B62" s="478"/>
      <c r="C62" s="478"/>
      <c r="D62" s="478"/>
      <c r="E62" s="478"/>
      <c r="F62" s="478"/>
      <c r="G62" s="478"/>
      <c r="H62" s="478"/>
      <c r="I62" s="478"/>
      <c r="J62" s="478"/>
      <c r="K62" s="478"/>
      <c r="L62" s="478"/>
      <c r="M62" s="478"/>
      <c r="N62" s="478"/>
      <c r="O62" s="478"/>
      <c r="P62" s="478"/>
      <c r="Q62" s="478"/>
      <c r="R62" s="478"/>
      <c r="S62" s="478"/>
      <c r="T62" s="478"/>
      <c r="U62" s="478"/>
      <c r="V62" s="478"/>
      <c r="W62" s="478"/>
      <c r="X62" s="478"/>
      <c r="Y62" s="478"/>
      <c r="Z62" s="478"/>
      <c r="AA62" s="522"/>
      <c r="AB62" s="523"/>
    </row>
    <row r="63" customFormat="false" ht="12.75" hidden="false" customHeight="false" outlineLevel="0" collapsed="false">
      <c r="A63" s="507"/>
      <c r="B63" s="39" t="s">
        <v>527</v>
      </c>
      <c r="C63" s="39"/>
      <c r="D63" s="478"/>
      <c r="E63" s="61" t="n">
        <f aca="false">E54</f>
        <v>-2535.159172224</v>
      </c>
      <c r="F63" s="61" t="n">
        <f aca="false">F54</f>
        <v>-19780.8629977828</v>
      </c>
      <c r="G63" s="61" t="n">
        <f aca="false">G54</f>
        <v>7994.18837412222</v>
      </c>
      <c r="H63" s="61" t="n">
        <f aca="false">H54</f>
        <v>1187.53736095046</v>
      </c>
      <c r="I63" s="61" t="n">
        <f aca="false">I54</f>
        <v>1435.29260609149</v>
      </c>
      <c r="J63" s="61" t="n">
        <f aca="false">J54</f>
        <v>986.371210258166</v>
      </c>
      <c r="K63" s="61" t="n">
        <f aca="false">K54</f>
        <v>1464.86209933084</v>
      </c>
      <c r="L63" s="61" t="n">
        <f aca="false">L54</f>
        <v>250.283108887491</v>
      </c>
      <c r="M63" s="61" t="n">
        <f aca="false">M54</f>
        <v>1253.61504485292</v>
      </c>
      <c r="N63" s="61" t="n">
        <f aca="false">N54</f>
        <v>1412.09243780539</v>
      </c>
      <c r="O63" s="61" t="n">
        <f aca="false">O54</f>
        <v>2507.65757337681</v>
      </c>
      <c r="P63" s="61" t="n">
        <f aca="false">P54</f>
        <v>3801.03398891462</v>
      </c>
      <c r="Q63" s="61" t="n">
        <f aca="false">Q54</f>
        <v>4117.84738762784</v>
      </c>
      <c r="R63" s="61" t="n">
        <f aca="false">R54</f>
        <v>3709.80134267984</v>
      </c>
      <c r="S63" s="61" t="n">
        <f aca="false">S54</f>
        <v>2471.4090117947</v>
      </c>
      <c r="T63" s="61" t="n">
        <f aca="false">T54</f>
        <v>2465.70126514766</v>
      </c>
      <c r="U63" s="61" t="n">
        <f aca="false">U54</f>
        <v>3083.41816647567</v>
      </c>
      <c r="V63" s="61" t="n">
        <f aca="false">V54</f>
        <v>4127.50142873931</v>
      </c>
      <c r="W63" s="61" t="n">
        <f aca="false">W54</f>
        <v>6147.25058908842</v>
      </c>
      <c r="X63" s="61" t="n">
        <f aca="false">X54</f>
        <v>6298.72068366026</v>
      </c>
      <c r="Y63" s="61" t="n">
        <f aca="false">Y54</f>
        <v>6467.60604098712</v>
      </c>
      <c r="Z63" s="61" t="n">
        <f aca="false">Z54</f>
        <v>103642.335889257</v>
      </c>
      <c r="AA63" s="309" t="n">
        <f aca="false">SUM(D63:Z63)</f>
        <v>142508.503440041</v>
      </c>
      <c r="AB63" s="309" t="n">
        <f aca="false">$E63+NPV(Disc,$F63:Z63)</f>
        <v>-4395.8914403922</v>
      </c>
    </row>
    <row r="64" customFormat="false" ht="12.75" hidden="false" customHeight="false" outlineLevel="0" collapsed="false">
      <c r="A64" s="479" t="n">
        <f aca="false">A48</f>
        <v>0.3</v>
      </c>
      <c r="B64" s="301" t="s">
        <v>528</v>
      </c>
      <c r="C64" s="301"/>
      <c r="D64" s="519"/>
      <c r="E64" s="318" t="n">
        <f aca="false">IF(E$7&lt;YEAR(Startconst),0,-HLOOKUP(DATE(E$7,12,31),Idc_Table,IDC!$AP$46)*$A64-SUM($D64:D64))</f>
        <v>-0</v>
      </c>
      <c r="F64" s="318" t="n">
        <f aca="false">IF(F$7&lt;YEAR(Startconst),0,-HLOOKUP(DATE(F$7,12,31),Idc_Table,IDC!$AP$46)*$A64-SUM($D64:E64))</f>
        <v>-0</v>
      </c>
      <c r="G64" s="318" t="n">
        <f aca="false">IF(G$7&lt;YEAR(Startconst),0,-HLOOKUP(DATE(G$7,12,31),Idc_Table,IDC!$AP$46)*$A64-SUM($D64:F64))</f>
        <v>-728.534139478906</v>
      </c>
      <c r="H64" s="318" t="n">
        <f aca="false">IF(H$7&lt;YEAR(Startconst),0,-HLOOKUP(DATE(H$7,12,31),Idc_Table,IDC!$AP$46)*$A64-SUM($D64:G64))</f>
        <v>-13.5569593767985</v>
      </c>
      <c r="I64" s="318" t="n">
        <f aca="false">IF(I$7&lt;YEAR(Startconst),0,-HLOOKUP(DATE(I$7,12,31),Idc_Table,IDC!$AP$46)*$A64-SUM($D64:H64))</f>
        <v>0</v>
      </c>
      <c r="J64" s="318" t="n">
        <f aca="false">IF(J$7&lt;YEAR(Startconst),0,-HLOOKUP(DATE(J$7,12,31),Idc_Table,IDC!$AP$46)*$A64-SUM($D64:I64))</f>
        <v>0</v>
      </c>
      <c r="K64" s="318" t="n">
        <f aca="false">IF(K$7&lt;YEAR(Startconst),0,-HLOOKUP(DATE(K$7,12,31),Idc_Table,IDC!$AP$46)*$A64-SUM($D64:J64))</f>
        <v>0</v>
      </c>
      <c r="L64" s="318" t="n">
        <f aca="false">IF(L$7&lt;YEAR(Startconst),0,-HLOOKUP(DATE(L$7,12,31),Idc_Table,IDC!$AP$46)*$A64-SUM($D64:K64))</f>
        <v>0</v>
      </c>
      <c r="M64" s="318" t="n">
        <f aca="false">IF(M$7&lt;YEAR(Startconst),0,-HLOOKUP(DATE(M$7,12,31),Idc_Table,IDC!$AP$46)*$A64-SUM($D64:L64))</f>
        <v>0</v>
      </c>
      <c r="N64" s="318" t="n">
        <f aca="false">IF(N$7&lt;YEAR(Startconst),0,-HLOOKUP(DATE(N$7,12,31),Idc_Table,IDC!$AP$46)*$A64-SUM($D64:M64))</f>
        <v>0</v>
      </c>
      <c r="O64" s="318" t="n">
        <f aca="false">IF(O$7&lt;YEAR(Startconst),0,-HLOOKUP(DATE(O$7,12,31),Idc_Table,IDC!$AP$46)*$A64-SUM($D64:N64))</f>
        <v>0</v>
      </c>
      <c r="P64" s="318" t="n">
        <f aca="false">IF(P$7&lt;YEAR(Startconst),0,-HLOOKUP(DATE(P$7,12,31),Idc_Table,IDC!$AP$46)*$A64-SUM($D64:O64))</f>
        <v>0</v>
      </c>
      <c r="Q64" s="318" t="n">
        <f aca="false">IF(Q$7&lt;YEAR(Startconst),0,-HLOOKUP(DATE(Q$7,12,31),Idc_Table,IDC!$AP$46)*$A64-SUM($D64:P64))</f>
        <v>0</v>
      </c>
      <c r="R64" s="318" t="n">
        <f aca="false">IF(R$7&lt;YEAR(Startconst),0,-HLOOKUP(DATE(R$7,12,31),Idc_Table,IDC!$AP$46)*$A64-SUM($D64:Q64))</f>
        <v>0</v>
      </c>
      <c r="S64" s="318" t="n">
        <f aca="false">IF(S$7&lt;YEAR(Startconst),0,-HLOOKUP(DATE(S$7,12,31),Idc_Table,IDC!$AP$46)*$A64-SUM($D64:R64))</f>
        <v>0</v>
      </c>
      <c r="T64" s="318" t="n">
        <f aca="false">IF(T$7&lt;YEAR(Startconst),0,-HLOOKUP(DATE(T$7,12,31),Idc_Table,IDC!$AP$46)*$A64-SUM($D64:S64))</f>
        <v>0</v>
      </c>
      <c r="U64" s="318" t="n">
        <f aca="false">IF(U$7&lt;YEAR(Startconst),0,-HLOOKUP(DATE(U$7,12,31),Idc_Table,IDC!$AP$46)*$A64-SUM($D64:T64))</f>
        <v>0</v>
      </c>
      <c r="V64" s="318" t="n">
        <f aca="false">IF(V$7&lt;YEAR(Startconst),0,-HLOOKUP(DATE(V$7,12,31),Idc_Table,IDC!$AP$46)*$A64-SUM($D64:U64))</f>
        <v>0</v>
      </c>
      <c r="W64" s="318" t="n">
        <f aca="false">IF(W$7&lt;YEAR(Startconst),0,-HLOOKUP(DATE(W$7,12,31),Idc_Table,IDC!$AP$46)*$A64-SUM($D64:V64))</f>
        <v>0</v>
      </c>
      <c r="X64" s="318" t="n">
        <f aca="false">IF(X$7&lt;YEAR(Startconst),0,-HLOOKUP(DATE(X$7,12,31),Idc_Table,IDC!$AP$46)*$A64-SUM($D64:W64))</f>
        <v>0</v>
      </c>
      <c r="Y64" s="318" t="n">
        <f aca="false">IF(Y$7&lt;YEAR(Startconst),0,-HLOOKUP(DATE(Y$7,12,31),Idc_Table,IDC!$AP$46)*$A64-SUM($D64:X64))</f>
        <v>0</v>
      </c>
      <c r="Z64" s="318" t="n">
        <f aca="false">IF(Z$7&lt;YEAR(Startconst),0,-HLOOKUP(DATE(Z$7,12,31),Idc_Table,IDC!$AP$46)*$A64-SUM($D64:Y64))</f>
        <v>0</v>
      </c>
      <c r="AA64" s="481" t="n">
        <f aca="false">SUM(D64:Z64)</f>
        <v>-742.091098855705</v>
      </c>
      <c r="AB64" s="481" t="n">
        <f aca="false">$E64+NPV(Disc,$F64:Z64)</f>
        <v>-522.510092731129</v>
      </c>
      <c r="AC64" s="482"/>
      <c r="AD64" s="482"/>
      <c r="AE64" s="482"/>
      <c r="AF64" s="482"/>
      <c r="AG64" s="482"/>
      <c r="AH64" s="482"/>
      <c r="AI64" s="482"/>
      <c r="AJ64" s="482"/>
      <c r="AK64" s="482"/>
      <c r="AL64" s="482"/>
      <c r="AM64" s="482"/>
      <c r="AN64" s="482"/>
      <c r="AO64" s="482"/>
      <c r="AP64" s="482"/>
      <c r="AQ64" s="482"/>
      <c r="AR64" s="482"/>
      <c r="AS64" s="482"/>
      <c r="AT64" s="482"/>
      <c r="AU64" s="482"/>
      <c r="AV64" s="482"/>
      <c r="AW64" s="482"/>
      <c r="AX64" s="482"/>
      <c r="AY64" s="482"/>
      <c r="AZ64" s="482"/>
      <c r="BA64" s="482"/>
      <c r="BB64" s="482"/>
      <c r="BC64" s="482"/>
      <c r="BD64" s="482"/>
      <c r="BE64" s="482"/>
      <c r="BF64" s="482"/>
      <c r="BG64" s="482"/>
      <c r="BH64" s="482"/>
      <c r="BI64" s="482"/>
      <c r="BJ64" s="482"/>
      <c r="BK64" s="482"/>
      <c r="BL64" s="482"/>
      <c r="BM64" s="482"/>
      <c r="BN64" s="482"/>
      <c r="BO64" s="482"/>
      <c r="BP64" s="482"/>
      <c r="BQ64" s="482"/>
      <c r="BR64" s="482"/>
      <c r="BS64" s="482"/>
      <c r="BT64" s="482"/>
      <c r="BU64" s="482"/>
      <c r="BV64" s="482"/>
      <c r="BW64" s="482"/>
      <c r="BX64" s="482"/>
      <c r="BY64" s="482"/>
      <c r="BZ64" s="482"/>
      <c r="CA64" s="482"/>
      <c r="CB64" s="482"/>
      <c r="CC64" s="482"/>
      <c r="CD64" s="482"/>
      <c r="CE64" s="482"/>
      <c r="CF64" s="482"/>
      <c r="CG64" s="482"/>
      <c r="CH64" s="482"/>
      <c r="CI64" s="482"/>
      <c r="CJ64" s="482"/>
      <c r="CK64" s="482"/>
      <c r="CL64" s="482"/>
      <c r="CM64" s="482"/>
      <c r="CN64" s="482"/>
      <c r="CO64" s="482"/>
      <c r="CP64" s="482"/>
      <c r="CQ64" s="482"/>
      <c r="CR64" s="482"/>
      <c r="CS64" s="482"/>
      <c r="CT64" s="482"/>
      <c r="CU64" s="482"/>
      <c r="CV64" s="482"/>
      <c r="CW64" s="482"/>
      <c r="CX64" s="482"/>
      <c r="CY64" s="482"/>
      <c r="CZ64" s="482"/>
      <c r="DA64" s="482"/>
      <c r="DB64" s="482"/>
      <c r="DC64" s="482"/>
      <c r="DD64" s="482"/>
      <c r="DE64" s="482"/>
      <c r="DF64" s="482"/>
      <c r="DG64" s="482"/>
      <c r="DH64" s="482"/>
      <c r="DI64" s="482"/>
      <c r="DJ64" s="482"/>
      <c r="DK64" s="482"/>
      <c r="DL64" s="482"/>
      <c r="DM64" s="482"/>
      <c r="DN64" s="482"/>
      <c r="DO64" s="482"/>
      <c r="DP64" s="482"/>
      <c r="DQ64" s="482"/>
      <c r="DR64" s="482"/>
      <c r="DS64" s="482"/>
      <c r="DT64" s="482"/>
      <c r="DU64" s="482"/>
      <c r="DV64" s="482"/>
      <c r="DW64" s="482"/>
      <c r="DX64" s="482"/>
      <c r="DY64" s="482"/>
      <c r="DZ64" s="482"/>
      <c r="EA64" s="482"/>
      <c r="EB64" s="482"/>
      <c r="EC64" s="482"/>
      <c r="ED64" s="482"/>
      <c r="EE64" s="482"/>
      <c r="EF64" s="482"/>
      <c r="EG64" s="482"/>
      <c r="EH64" s="482"/>
      <c r="EI64" s="482"/>
      <c r="EJ64" s="482"/>
      <c r="EK64" s="482"/>
      <c r="EL64" s="482"/>
      <c r="EM64" s="482"/>
      <c r="EN64" s="482"/>
      <c r="EO64" s="482"/>
      <c r="EP64" s="482"/>
      <c r="EQ64" s="482"/>
      <c r="ER64" s="482"/>
      <c r="ES64" s="482"/>
      <c r="ET64" s="482"/>
      <c r="EU64" s="482"/>
      <c r="EV64" s="482"/>
      <c r="EW64" s="482"/>
      <c r="EX64" s="482"/>
      <c r="EY64" s="482"/>
      <c r="EZ64" s="482"/>
      <c r="FA64" s="482"/>
      <c r="FB64" s="482"/>
      <c r="FC64" s="482"/>
      <c r="FD64" s="482"/>
      <c r="FE64" s="482"/>
      <c r="FF64" s="482"/>
      <c r="FG64" s="482"/>
      <c r="FH64" s="482"/>
      <c r="FI64" s="482"/>
      <c r="FJ64" s="482"/>
      <c r="FK64" s="482"/>
      <c r="FL64" s="482"/>
      <c r="FM64" s="482"/>
      <c r="FN64" s="482"/>
      <c r="FO64" s="482"/>
      <c r="FP64" s="482"/>
      <c r="FQ64" s="482"/>
      <c r="FR64" s="482"/>
      <c r="FS64" s="482"/>
      <c r="FT64" s="482"/>
      <c r="FU64" s="482"/>
      <c r="FV64" s="482"/>
      <c r="FW64" s="482"/>
      <c r="FX64" s="482"/>
      <c r="FY64" s="482"/>
      <c r="FZ64" s="482"/>
      <c r="GA64" s="482"/>
      <c r="GB64" s="482"/>
      <c r="GC64" s="482"/>
      <c r="GD64" s="482"/>
      <c r="GE64" s="482"/>
      <c r="GF64" s="482"/>
      <c r="GG64" s="482"/>
      <c r="GH64" s="482"/>
      <c r="GI64" s="482"/>
      <c r="GJ64" s="482"/>
      <c r="GK64" s="482"/>
      <c r="GL64" s="482"/>
      <c r="GM64" s="482"/>
      <c r="GN64" s="482"/>
      <c r="GO64" s="482"/>
      <c r="GP64" s="482"/>
      <c r="GQ64" s="482"/>
      <c r="GR64" s="482"/>
      <c r="GS64" s="482"/>
      <c r="GT64" s="482"/>
      <c r="GU64" s="482"/>
      <c r="GV64" s="482"/>
      <c r="GW64" s="482"/>
      <c r="GX64" s="482"/>
      <c r="GY64" s="482"/>
      <c r="GZ64" s="482"/>
      <c r="HA64" s="482"/>
      <c r="HB64" s="482"/>
      <c r="HC64" s="482"/>
      <c r="HD64" s="482"/>
      <c r="HE64" s="482"/>
      <c r="HF64" s="482"/>
      <c r="HG64" s="482"/>
      <c r="HH64" s="482"/>
      <c r="HI64" s="482"/>
      <c r="HJ64" s="482"/>
      <c r="HK64" s="482"/>
      <c r="HL64" s="482"/>
      <c r="HM64" s="482"/>
      <c r="HN64" s="482"/>
      <c r="HO64" s="482"/>
      <c r="HP64" s="482"/>
      <c r="HQ64" s="482"/>
      <c r="HR64" s="482"/>
      <c r="HS64" s="482"/>
      <c r="HT64" s="482"/>
      <c r="HU64" s="482"/>
      <c r="HV64" s="482"/>
      <c r="HW64" s="482"/>
      <c r="HX64" s="482"/>
      <c r="HY64" s="482"/>
      <c r="HZ64" s="482"/>
      <c r="IA64" s="482"/>
      <c r="IB64" s="482"/>
      <c r="IC64" s="482"/>
      <c r="ID64" s="482"/>
      <c r="IE64" s="482"/>
      <c r="IF64" s="482"/>
      <c r="IG64" s="482"/>
      <c r="IH64" s="482"/>
      <c r="II64" s="482"/>
      <c r="IJ64" s="482"/>
      <c r="IK64" s="482"/>
      <c r="IL64" s="482"/>
      <c r="IM64" s="482"/>
      <c r="IN64" s="482"/>
      <c r="IO64" s="482"/>
      <c r="IP64" s="482"/>
      <c r="IQ64" s="482"/>
      <c r="IR64" s="482"/>
      <c r="IS64" s="482"/>
      <c r="IT64" s="482"/>
      <c r="IU64" s="482"/>
      <c r="IV64" s="482"/>
      <c r="IW64" s="482"/>
    </row>
    <row r="65" customFormat="false" ht="12.75" hidden="false" customHeight="false" outlineLevel="0" collapsed="false">
      <c r="A65" s="489"/>
      <c r="B65" s="484" t="s">
        <v>529</v>
      </c>
      <c r="C65" s="484"/>
      <c r="D65" s="520"/>
      <c r="E65" s="491" t="n">
        <f aca="false">IF(E$7&lt;YEAR(Startops1),0,-HLOOKUP(E$7,CF_Table,CF!$AB$69)*$A$64)</f>
        <v>0</v>
      </c>
      <c r="F65" s="491" t="n">
        <f aca="false">IF(F$7&lt;YEAR(Startops1),0,-HLOOKUP(F$7,CF_Table,CF!$AB$69)*$A$64)</f>
        <v>0</v>
      </c>
      <c r="G65" s="491" t="n">
        <f aca="false">IF(G$7&lt;YEAR(Startops1),0,-HLOOKUP(G$7,CF_Table,CF!$AB$69)*$A$64)</f>
        <v>0</v>
      </c>
      <c r="H65" s="491" t="n">
        <f aca="false">IF(H$7&lt;YEAR(Startops1),0,-HLOOKUP(H$7,CF_Table,CF!$AB$69)*$A$64)</f>
        <v>0</v>
      </c>
      <c r="I65" s="491" t="n">
        <f aca="false">IF(I$7&lt;YEAR(Startops1),0,-HLOOKUP(I$7,CF_Table,CF!$AB$69)*$A$64)</f>
        <v>33.2399945254817</v>
      </c>
      <c r="J65" s="491" t="n">
        <f aca="false">IF(J$7&lt;YEAR(Startops1),0,-HLOOKUP(J$7,CF_Table,CF!$AB$69)*$A$64)</f>
        <v>37.7016327906645</v>
      </c>
      <c r="K65" s="491" t="n">
        <f aca="false">IF(K$7&lt;YEAR(Startops1),0,-HLOOKUP(K$7,CF_Table,CF!$AB$69)*$A$64)</f>
        <v>42.7621344519914</v>
      </c>
      <c r="L65" s="491" t="n">
        <f aca="false">IF(L$7&lt;YEAR(Startops1),0,-HLOOKUP(L$7,CF_Table,CF!$AB$69)*$A$64)</f>
        <v>48.50188194881</v>
      </c>
      <c r="M65" s="491" t="n">
        <f aca="false">IF(M$7&lt;YEAR(Startops1),0,-HLOOKUP(M$7,CF_Table,CF!$AB$69)*$A$64)</f>
        <v>55.012047053389</v>
      </c>
      <c r="N65" s="491" t="n">
        <f aca="false">IF(N$7&lt;YEAR(Startops1),0,-HLOOKUP(N$7,CF_Table,CF!$AB$69)*$A$64)</f>
        <v>62.3960390691302</v>
      </c>
      <c r="O65" s="491" t="n">
        <f aca="false">IF(O$7&lt;YEAR(Startops1),0,-HLOOKUP(O$7,CF_Table,CF!$AB$69)*$A$64)</f>
        <v>70.7711474131841</v>
      </c>
      <c r="P65" s="491" t="n">
        <f aca="false">IF(P$7&lt;YEAR(Startops1),0,-HLOOKUP(P$7,CF_Table,CF!$AB$69)*$A$64)</f>
        <v>80.2704046747188</v>
      </c>
      <c r="Q65" s="491" t="n">
        <f aca="false">IF(Q$7&lt;YEAR(Startops1),0,-HLOOKUP(Q$7,CF_Table,CF!$AB$69)*$A$64)</f>
        <v>91.0446997421829</v>
      </c>
      <c r="R65" s="491" t="n">
        <f aca="false">IF(R$7&lt;YEAR(Startops1),0,-HLOOKUP(R$7,CF_Table,CF!$AB$69)*$A$64)</f>
        <v>103.265174565077</v>
      </c>
      <c r="S65" s="491" t="n">
        <f aca="false">IF(S$7&lt;YEAR(Startops1),0,-HLOOKUP(S$7,CF_Table,CF!$AB$69)*$A$64)</f>
        <v>117.125942621075</v>
      </c>
      <c r="T65" s="491" t="n">
        <f aca="false">IF(T$7&lt;YEAR(Startops1),0,-HLOOKUP(T$7,CF_Table,CF!$AB$69)*$A$64)</f>
        <v>0</v>
      </c>
      <c r="U65" s="491" t="n">
        <f aca="false">IF(U$7&lt;YEAR(Startops1),0,-HLOOKUP(U$7,CF_Table,CF!$AB$69)*$A$64)</f>
        <v>0</v>
      </c>
      <c r="V65" s="491" t="n">
        <f aca="false">IF(V$7&lt;YEAR(Startops1),0,-HLOOKUP(V$7,CF_Table,CF!$AB$69)*$A$64)</f>
        <v>0</v>
      </c>
      <c r="W65" s="491" t="n">
        <f aca="false">IF(W$7&lt;YEAR(Startops1),0,-HLOOKUP(W$7,CF_Table,CF!$AB$69)*$A$64)</f>
        <v>0</v>
      </c>
      <c r="X65" s="491" t="n">
        <f aca="false">IF(X$7&lt;YEAR(Startops1),0,-HLOOKUP(X$7,CF_Table,CF!$AB$69)*$A$64)</f>
        <v>0</v>
      </c>
      <c r="Y65" s="491" t="n">
        <f aca="false">IF(Y$7&lt;YEAR(Startops1),0,-HLOOKUP(Y$7,CF_Table,CF!$AB$69)*$A$64)</f>
        <v>0</v>
      </c>
      <c r="Z65" s="491" t="n">
        <f aca="false">IF(Z$7&lt;YEAR(Startops1),0,-HLOOKUP(Z$7,CF_Table,CF!$AB$69)*$A$64)</f>
        <v>0</v>
      </c>
      <c r="AA65" s="487" t="n">
        <f aca="false">SUM(D65:Z65)</f>
        <v>742.091098855705</v>
      </c>
      <c r="AB65" s="487" t="n">
        <f aca="false">$E65+NPV(Disc,$F65:Z65)</f>
        <v>145.083902346666</v>
      </c>
      <c r="AC65" s="488"/>
      <c r="AD65" s="488"/>
      <c r="AE65" s="488"/>
      <c r="AF65" s="488"/>
      <c r="AG65" s="488"/>
      <c r="AH65" s="488"/>
      <c r="AI65" s="488"/>
      <c r="AJ65" s="488"/>
      <c r="AK65" s="488"/>
      <c r="AL65" s="488"/>
      <c r="AM65" s="488"/>
      <c r="AN65" s="488"/>
      <c r="AO65" s="488"/>
      <c r="AP65" s="488"/>
      <c r="AQ65" s="488"/>
      <c r="AR65" s="488"/>
      <c r="AS65" s="488"/>
      <c r="AT65" s="488"/>
      <c r="AU65" s="488"/>
      <c r="AV65" s="488"/>
      <c r="AW65" s="488"/>
      <c r="AX65" s="488"/>
      <c r="AY65" s="488"/>
      <c r="AZ65" s="488"/>
      <c r="BA65" s="488"/>
      <c r="BB65" s="488"/>
      <c r="BC65" s="488"/>
      <c r="BD65" s="488"/>
      <c r="BE65" s="488"/>
      <c r="BF65" s="488"/>
      <c r="BG65" s="488"/>
      <c r="BH65" s="488"/>
      <c r="BI65" s="488"/>
      <c r="BJ65" s="488"/>
      <c r="BK65" s="488"/>
      <c r="BL65" s="488"/>
      <c r="BM65" s="488"/>
      <c r="BN65" s="488"/>
      <c r="BO65" s="488"/>
      <c r="BP65" s="488"/>
      <c r="BQ65" s="488"/>
      <c r="BR65" s="488"/>
      <c r="BS65" s="488"/>
      <c r="BT65" s="488"/>
      <c r="BU65" s="488"/>
      <c r="BV65" s="488"/>
      <c r="BW65" s="488"/>
      <c r="BX65" s="488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  <c r="CW65" s="488"/>
      <c r="CX65" s="488"/>
      <c r="CY65" s="488"/>
      <c r="CZ65" s="488"/>
      <c r="DA65" s="488"/>
      <c r="DB65" s="488"/>
      <c r="DC65" s="488"/>
      <c r="DD65" s="488"/>
      <c r="DE65" s="488"/>
      <c r="DF65" s="488"/>
      <c r="DG65" s="488"/>
      <c r="DH65" s="488"/>
      <c r="DI65" s="488"/>
      <c r="DJ65" s="488"/>
      <c r="DK65" s="488"/>
      <c r="DL65" s="488"/>
      <c r="DM65" s="488"/>
      <c r="DN65" s="488"/>
      <c r="DO65" s="488"/>
      <c r="DP65" s="488"/>
      <c r="DQ65" s="488"/>
      <c r="DR65" s="488"/>
      <c r="DS65" s="488"/>
      <c r="DT65" s="488"/>
      <c r="DU65" s="488"/>
      <c r="DV65" s="488"/>
      <c r="DW65" s="488"/>
      <c r="DX65" s="488"/>
      <c r="DY65" s="488"/>
      <c r="DZ65" s="488"/>
      <c r="EA65" s="488"/>
      <c r="EB65" s="488"/>
      <c r="EC65" s="488"/>
      <c r="ED65" s="488"/>
      <c r="EE65" s="488"/>
      <c r="EF65" s="488"/>
      <c r="EG65" s="488"/>
      <c r="EH65" s="488"/>
      <c r="EI65" s="488"/>
      <c r="EJ65" s="488"/>
      <c r="EK65" s="488"/>
      <c r="EL65" s="488"/>
      <c r="EM65" s="488"/>
      <c r="EN65" s="488"/>
      <c r="EO65" s="488"/>
      <c r="EP65" s="488"/>
      <c r="EQ65" s="488"/>
      <c r="ER65" s="488"/>
      <c r="ES65" s="488"/>
      <c r="ET65" s="488"/>
      <c r="EU65" s="488"/>
      <c r="EV65" s="488"/>
      <c r="EW65" s="488"/>
      <c r="EX65" s="488"/>
      <c r="EY65" s="488"/>
      <c r="EZ65" s="488"/>
      <c r="FA65" s="488"/>
      <c r="FB65" s="488"/>
      <c r="FC65" s="488"/>
      <c r="FD65" s="488"/>
      <c r="FE65" s="488"/>
      <c r="FF65" s="488"/>
      <c r="FG65" s="488"/>
      <c r="FH65" s="488"/>
      <c r="FI65" s="488"/>
      <c r="FJ65" s="488"/>
      <c r="FK65" s="488"/>
      <c r="FL65" s="488"/>
      <c r="FM65" s="488"/>
      <c r="FN65" s="488"/>
      <c r="FO65" s="488"/>
      <c r="FP65" s="488"/>
      <c r="FQ65" s="488"/>
      <c r="FR65" s="488"/>
      <c r="FS65" s="488"/>
      <c r="FT65" s="488"/>
      <c r="FU65" s="488"/>
      <c r="FV65" s="488"/>
      <c r="FW65" s="488"/>
      <c r="FX65" s="488"/>
      <c r="FY65" s="488"/>
      <c r="FZ65" s="488"/>
      <c r="GA65" s="488"/>
      <c r="GB65" s="488"/>
      <c r="GC65" s="488"/>
      <c r="GD65" s="488"/>
      <c r="GE65" s="488"/>
      <c r="GF65" s="488"/>
      <c r="GG65" s="488"/>
      <c r="GH65" s="488"/>
      <c r="GI65" s="488"/>
      <c r="GJ65" s="488"/>
      <c r="GK65" s="488"/>
      <c r="GL65" s="488"/>
      <c r="GM65" s="488"/>
      <c r="GN65" s="488"/>
      <c r="GO65" s="488"/>
      <c r="GP65" s="488"/>
      <c r="GQ65" s="488"/>
      <c r="GR65" s="488"/>
      <c r="GS65" s="488"/>
      <c r="GT65" s="488"/>
      <c r="GU65" s="488"/>
      <c r="GV65" s="488"/>
      <c r="GW65" s="488"/>
      <c r="GX65" s="488"/>
      <c r="GY65" s="488"/>
      <c r="GZ65" s="488"/>
      <c r="HA65" s="488"/>
      <c r="HB65" s="488"/>
      <c r="HC65" s="488"/>
      <c r="HD65" s="488"/>
      <c r="HE65" s="488"/>
      <c r="HF65" s="488"/>
      <c r="HG65" s="488"/>
      <c r="HH65" s="488"/>
      <c r="HI65" s="488"/>
      <c r="HJ65" s="488"/>
      <c r="HK65" s="488"/>
      <c r="HL65" s="488"/>
      <c r="HM65" s="488"/>
      <c r="HN65" s="488"/>
      <c r="HO65" s="488"/>
      <c r="HP65" s="488"/>
      <c r="HQ65" s="488"/>
      <c r="HR65" s="488"/>
      <c r="HS65" s="488"/>
      <c r="HT65" s="488"/>
      <c r="HU65" s="488"/>
      <c r="HV65" s="488"/>
      <c r="HW65" s="488"/>
      <c r="HX65" s="488"/>
      <c r="HY65" s="488"/>
      <c r="HZ65" s="488"/>
      <c r="IA65" s="488"/>
      <c r="IB65" s="488"/>
      <c r="IC65" s="488"/>
      <c r="ID65" s="488"/>
      <c r="IE65" s="488"/>
      <c r="IF65" s="488"/>
      <c r="IG65" s="488"/>
      <c r="IH65" s="488"/>
      <c r="II65" s="488"/>
      <c r="IJ65" s="488"/>
      <c r="IK65" s="488"/>
      <c r="IL65" s="488"/>
      <c r="IM65" s="488"/>
      <c r="IN65" s="488"/>
      <c r="IO65" s="488"/>
      <c r="IP65" s="488"/>
      <c r="IQ65" s="488"/>
      <c r="IR65" s="488"/>
      <c r="IS65" s="488"/>
      <c r="IT65" s="488"/>
      <c r="IU65" s="488"/>
      <c r="IV65" s="488"/>
      <c r="IW65" s="488"/>
    </row>
    <row r="66" customFormat="false" ht="12.75" hidden="false" customHeight="false" outlineLevel="0" collapsed="false">
      <c r="A66" s="489"/>
      <c r="B66" s="484" t="s">
        <v>530</v>
      </c>
      <c r="C66" s="494" t="s">
        <v>272</v>
      </c>
      <c r="D66" s="520"/>
      <c r="E66" s="491" t="n">
        <f aca="false">IF(E$7&lt;YEAR(Startops1),0,-HLOOKUP(E$7,CF_Table,CF!$AB$51)*$A$64)</f>
        <v>0</v>
      </c>
      <c r="F66" s="491" t="n">
        <f aca="false">IF(F$7&lt;YEAR(Startops1),0,-HLOOKUP(F$7,CF_Table,CF!$AB$51)*$A$64)</f>
        <v>0</v>
      </c>
      <c r="G66" s="491" t="n">
        <f aca="false">IF(G$7&lt;YEAR(Startops1),0,-HLOOKUP(G$7,CF_Table,CF!$AB$51)*$A$64)</f>
        <v>0</v>
      </c>
      <c r="H66" s="491" t="n">
        <f aca="false">IF(H$7&lt;YEAR(Startops1),0,-HLOOKUP(H$7,CF_Table,CF!$AB$51)*$A$64)</f>
        <v>40.1966011880174</v>
      </c>
      <c r="I66" s="491" t="n">
        <f aca="false">IF(I$7&lt;YEAR(Startops1),0,-HLOOKUP(I$7,CF_Table,CF!$AB$51)*$A$64)</f>
        <v>95.4255476240473</v>
      </c>
      <c r="J66" s="491" t="n">
        <f aca="false">IF(J$7&lt;YEAR(Startops1),0,-HLOOKUP(J$7,CF_Table,CF!$AB$51)*$A$64)</f>
        <v>90.9639093588645</v>
      </c>
      <c r="K66" s="491" t="n">
        <f aca="false">IF(K$7&lt;YEAR(Startops1),0,-HLOOKUP(K$7,CF_Table,CF!$AB$51)*$A$64)</f>
        <v>85.9034076975376</v>
      </c>
      <c r="L66" s="491" t="n">
        <f aca="false">IF(L$7&lt;YEAR(Startops1),0,-HLOOKUP(L$7,CF_Table,CF!$AB$51)*$A$64)</f>
        <v>80.163660200719</v>
      </c>
      <c r="M66" s="491" t="n">
        <f aca="false">IF(M$7&lt;YEAR(Startops1),0,-HLOOKUP(M$7,CF_Table,CF!$AB$51)*$A$64)</f>
        <v>73.65349509614</v>
      </c>
      <c r="N66" s="491" t="n">
        <f aca="false">IF(N$7&lt;YEAR(Startops1),0,-HLOOKUP(N$7,CF_Table,CF!$AB$51)*$A$64)</f>
        <v>66.2695030803989</v>
      </c>
      <c r="O66" s="491" t="n">
        <f aca="false">IF(O$7&lt;YEAR(Startops1),0,-HLOOKUP(O$7,CF_Table,CF!$AB$51)*$A$64)</f>
        <v>57.8943947363449</v>
      </c>
      <c r="P66" s="491" t="n">
        <f aca="false">IF(P$7&lt;YEAR(Startops1),0,-HLOOKUP(P$7,CF_Table,CF!$AB$51)*$A$64)</f>
        <v>48.3951374748102</v>
      </c>
      <c r="Q66" s="491" t="n">
        <f aca="false">IF(Q$7&lt;YEAR(Startops1),0,-HLOOKUP(Q$7,CF_Table,CF!$AB$51)*$A$64)</f>
        <v>37.6208424073461</v>
      </c>
      <c r="R66" s="491" t="n">
        <f aca="false">IF(R$7&lt;YEAR(Startops1),0,-HLOOKUP(R$7,CF_Table,CF!$AB$51)*$A$64)</f>
        <v>25.4003675844516</v>
      </c>
      <c r="S66" s="491" t="n">
        <f aca="false">IF(S$7&lt;YEAR(Startops1),0,-HLOOKUP(S$7,CF_Table,CF!$AB$51)*$A$64)</f>
        <v>11.5395995284541</v>
      </c>
      <c r="T66" s="491" t="n">
        <f aca="false">IF(T$7&lt;YEAR(Startops1),0,-HLOOKUP(T$7,CF_Table,CF!$AB$51)*$A$64)</f>
        <v>0</v>
      </c>
      <c r="U66" s="491" t="n">
        <f aca="false">IF(U$7&lt;YEAR(Startops1),0,-HLOOKUP(U$7,CF_Table,CF!$AB$51)*$A$64)</f>
        <v>0</v>
      </c>
      <c r="V66" s="491" t="n">
        <f aca="false">IF(V$7&lt;YEAR(Startops1),0,-HLOOKUP(V$7,CF_Table,CF!$AB$51)*$A$64)</f>
        <v>0</v>
      </c>
      <c r="W66" s="491" t="n">
        <f aca="false">IF(W$7&lt;YEAR(Startops1),0,-HLOOKUP(W$7,CF_Table,CF!$AB$51)*$A$64)</f>
        <v>0</v>
      </c>
      <c r="X66" s="491" t="n">
        <f aca="false">IF(X$7&lt;YEAR(Startops1),0,-HLOOKUP(X$7,CF_Table,CF!$AB$51)*$A$64)</f>
        <v>0</v>
      </c>
      <c r="Y66" s="491" t="n">
        <f aca="false">IF(Y$7&lt;YEAR(Startops1),0,-HLOOKUP(Y$7,CF_Table,CF!$AB$51)*$A$64)</f>
        <v>0</v>
      </c>
      <c r="Z66" s="491" t="n">
        <f aca="false">IF(Z$7&lt;YEAR(Startops1),0,-HLOOKUP(Z$7,CF_Table,CF!$AB$51)*$A$64)</f>
        <v>0</v>
      </c>
      <c r="AA66" s="487" t="n">
        <f aca="false">SUM(D66:Z66)</f>
        <v>713.426465977132</v>
      </c>
      <c r="AB66" s="487" t="n">
        <f aca="false">$E66+NPV(Disc,$F66:Z66)</f>
        <v>221.323387207167</v>
      </c>
      <c r="AC66" s="488"/>
      <c r="AD66" s="488"/>
      <c r="AE66" s="488"/>
      <c r="AF66" s="488"/>
      <c r="AG66" s="488"/>
      <c r="AH66" s="488"/>
      <c r="AI66" s="488"/>
      <c r="AJ66" s="488"/>
      <c r="AK66" s="488"/>
      <c r="AL66" s="488"/>
      <c r="AM66" s="488"/>
      <c r="AN66" s="488"/>
      <c r="AO66" s="488"/>
      <c r="AP66" s="488"/>
      <c r="AQ66" s="488"/>
      <c r="AR66" s="488"/>
      <c r="AS66" s="488"/>
      <c r="AT66" s="488"/>
      <c r="AU66" s="488"/>
      <c r="AV66" s="488"/>
      <c r="AW66" s="488"/>
      <c r="AX66" s="488"/>
      <c r="AY66" s="488"/>
      <c r="AZ66" s="488"/>
      <c r="BA66" s="488"/>
      <c r="BB66" s="488"/>
      <c r="BC66" s="488"/>
      <c r="BD66" s="488"/>
      <c r="BE66" s="488"/>
      <c r="BF66" s="488"/>
      <c r="BG66" s="488"/>
      <c r="BH66" s="488"/>
      <c r="BI66" s="488"/>
      <c r="BJ66" s="488"/>
      <c r="BK66" s="488"/>
      <c r="BL66" s="488"/>
      <c r="BM66" s="488"/>
      <c r="BN66" s="488"/>
      <c r="BO66" s="488"/>
      <c r="BP66" s="488"/>
      <c r="BQ66" s="488"/>
      <c r="BR66" s="488"/>
      <c r="BS66" s="488"/>
      <c r="BT66" s="488"/>
      <c r="BU66" s="488"/>
      <c r="BV66" s="488"/>
      <c r="BW66" s="488"/>
      <c r="BX66" s="488"/>
      <c r="BY66" s="488"/>
      <c r="BZ66" s="488"/>
      <c r="CA66" s="488"/>
      <c r="CB66" s="488"/>
      <c r="CC66" s="488"/>
      <c r="CD66" s="488"/>
      <c r="CE66" s="488"/>
      <c r="CF66" s="488"/>
      <c r="CG66" s="488"/>
      <c r="CH66" s="488"/>
      <c r="CI66" s="488"/>
      <c r="CJ66" s="488"/>
      <c r="CK66" s="488"/>
      <c r="CL66" s="488"/>
      <c r="CM66" s="488"/>
      <c r="CN66" s="488"/>
      <c r="CO66" s="488"/>
      <c r="CP66" s="488"/>
      <c r="CQ66" s="488"/>
      <c r="CR66" s="488"/>
      <c r="CS66" s="488"/>
      <c r="CT66" s="488"/>
      <c r="CU66" s="488"/>
      <c r="CV66" s="488"/>
      <c r="CW66" s="488"/>
      <c r="CX66" s="488"/>
      <c r="CY66" s="488"/>
      <c r="CZ66" s="488"/>
      <c r="DA66" s="488"/>
      <c r="DB66" s="488"/>
      <c r="DC66" s="488"/>
      <c r="DD66" s="488"/>
      <c r="DE66" s="488"/>
      <c r="DF66" s="488"/>
      <c r="DG66" s="488"/>
      <c r="DH66" s="488"/>
      <c r="DI66" s="488"/>
      <c r="DJ66" s="488"/>
      <c r="DK66" s="488"/>
      <c r="DL66" s="488"/>
      <c r="DM66" s="488"/>
      <c r="DN66" s="488"/>
      <c r="DO66" s="488"/>
      <c r="DP66" s="488"/>
      <c r="DQ66" s="488"/>
      <c r="DR66" s="488"/>
      <c r="DS66" s="488"/>
      <c r="DT66" s="488"/>
      <c r="DU66" s="488"/>
      <c r="DV66" s="488"/>
      <c r="DW66" s="488"/>
      <c r="DX66" s="488"/>
      <c r="DY66" s="488"/>
      <c r="DZ66" s="488"/>
      <c r="EA66" s="488"/>
      <c r="EB66" s="488"/>
      <c r="EC66" s="488"/>
      <c r="ED66" s="488"/>
      <c r="EE66" s="488"/>
      <c r="EF66" s="488"/>
      <c r="EG66" s="488"/>
      <c r="EH66" s="488"/>
      <c r="EI66" s="488"/>
      <c r="EJ66" s="488"/>
      <c r="EK66" s="488"/>
      <c r="EL66" s="488"/>
      <c r="EM66" s="488"/>
      <c r="EN66" s="488"/>
      <c r="EO66" s="488"/>
      <c r="EP66" s="488"/>
      <c r="EQ66" s="488"/>
      <c r="ER66" s="488"/>
      <c r="ES66" s="488"/>
      <c r="ET66" s="488"/>
      <c r="EU66" s="488"/>
      <c r="EV66" s="488"/>
      <c r="EW66" s="488"/>
      <c r="EX66" s="488"/>
      <c r="EY66" s="488"/>
      <c r="EZ66" s="488"/>
      <c r="FA66" s="488"/>
      <c r="FB66" s="488"/>
      <c r="FC66" s="488"/>
      <c r="FD66" s="488"/>
      <c r="FE66" s="488"/>
      <c r="FF66" s="488"/>
      <c r="FG66" s="488"/>
      <c r="FH66" s="488"/>
      <c r="FI66" s="488"/>
      <c r="FJ66" s="488"/>
      <c r="FK66" s="488"/>
      <c r="FL66" s="488"/>
      <c r="FM66" s="488"/>
      <c r="FN66" s="488"/>
      <c r="FO66" s="488"/>
      <c r="FP66" s="488"/>
      <c r="FQ66" s="488"/>
      <c r="FR66" s="488"/>
      <c r="FS66" s="488"/>
      <c r="FT66" s="488"/>
      <c r="FU66" s="488"/>
      <c r="FV66" s="488"/>
      <c r="FW66" s="488"/>
      <c r="FX66" s="488"/>
      <c r="FY66" s="488"/>
      <c r="FZ66" s="488"/>
      <c r="GA66" s="488"/>
      <c r="GB66" s="488"/>
      <c r="GC66" s="488"/>
      <c r="GD66" s="488"/>
      <c r="GE66" s="488"/>
      <c r="GF66" s="488"/>
      <c r="GG66" s="488"/>
      <c r="GH66" s="488"/>
      <c r="GI66" s="488"/>
      <c r="GJ66" s="488"/>
      <c r="GK66" s="488"/>
      <c r="GL66" s="488"/>
      <c r="GM66" s="488"/>
      <c r="GN66" s="488"/>
      <c r="GO66" s="488"/>
      <c r="GP66" s="488"/>
      <c r="GQ66" s="488"/>
      <c r="GR66" s="488"/>
      <c r="GS66" s="488"/>
      <c r="GT66" s="488"/>
      <c r="GU66" s="488"/>
      <c r="GV66" s="488"/>
      <c r="GW66" s="488"/>
      <c r="GX66" s="488"/>
      <c r="GY66" s="488"/>
      <c r="GZ66" s="488"/>
      <c r="HA66" s="488"/>
      <c r="HB66" s="488"/>
      <c r="HC66" s="488"/>
      <c r="HD66" s="488"/>
      <c r="HE66" s="488"/>
      <c r="HF66" s="488"/>
      <c r="HG66" s="488"/>
      <c r="HH66" s="488"/>
      <c r="HI66" s="488"/>
      <c r="HJ66" s="488"/>
      <c r="HK66" s="488"/>
      <c r="HL66" s="488"/>
      <c r="HM66" s="488"/>
      <c r="HN66" s="488"/>
      <c r="HO66" s="488"/>
      <c r="HP66" s="488"/>
      <c r="HQ66" s="488"/>
      <c r="HR66" s="488"/>
      <c r="HS66" s="488"/>
      <c r="HT66" s="488"/>
      <c r="HU66" s="488"/>
      <c r="HV66" s="488"/>
      <c r="HW66" s="488"/>
      <c r="HX66" s="488"/>
      <c r="HY66" s="488"/>
      <c r="HZ66" s="488"/>
      <c r="IA66" s="488"/>
      <c r="IB66" s="488"/>
      <c r="IC66" s="488"/>
      <c r="ID66" s="488"/>
      <c r="IE66" s="488"/>
      <c r="IF66" s="488"/>
      <c r="IG66" s="488"/>
      <c r="IH66" s="488"/>
      <c r="II66" s="488"/>
      <c r="IJ66" s="488"/>
      <c r="IK66" s="488"/>
      <c r="IL66" s="488"/>
      <c r="IM66" s="488"/>
      <c r="IN66" s="488"/>
      <c r="IO66" s="488"/>
      <c r="IP66" s="488"/>
      <c r="IQ66" s="488"/>
      <c r="IR66" s="488"/>
      <c r="IS66" s="488"/>
      <c r="IT66" s="488"/>
      <c r="IU66" s="488"/>
      <c r="IV66" s="488"/>
      <c r="IW66" s="488"/>
    </row>
    <row r="67" customFormat="false" ht="12.75" hidden="false" customHeight="false" outlineLevel="0" collapsed="false">
      <c r="A67" s="489"/>
      <c r="B67" s="484" t="s">
        <v>531</v>
      </c>
      <c r="C67" s="494" t="s">
        <v>272</v>
      </c>
      <c r="D67" s="520"/>
      <c r="E67" s="491" t="n">
        <f aca="false">Wh_Int*-E66</f>
        <v>-0</v>
      </c>
      <c r="F67" s="491" t="n">
        <f aca="false">Wh_Int*-F66</f>
        <v>-0</v>
      </c>
      <c r="G67" s="491" t="n">
        <f aca="false">Wh_Int*-G66</f>
        <v>-0</v>
      </c>
      <c r="H67" s="491" t="n">
        <f aca="false">Wh_Int*-H66</f>
        <v>-5.02457514850217</v>
      </c>
      <c r="I67" s="491" t="n">
        <f aca="false">Wh_Int*-I66</f>
        <v>-11.9281934530059</v>
      </c>
      <c r="J67" s="491" t="n">
        <f aca="false">Wh_Int*-J66</f>
        <v>-11.3704886698581</v>
      </c>
      <c r="K67" s="491" t="n">
        <f aca="false">Wh_Int*-K66</f>
        <v>-10.7379259621922</v>
      </c>
      <c r="L67" s="491" t="n">
        <f aca="false">Wh_Int*-L66</f>
        <v>-10.0204575250899</v>
      </c>
      <c r="M67" s="491" t="n">
        <f aca="false">Wh_Int*-M66</f>
        <v>-9.2066868870175</v>
      </c>
      <c r="N67" s="491" t="n">
        <f aca="false">Wh_Int*-N66</f>
        <v>-8.28368788504986</v>
      </c>
      <c r="O67" s="491" t="n">
        <f aca="false">Wh_Int*-O66</f>
        <v>-7.23679934204311</v>
      </c>
      <c r="P67" s="491" t="n">
        <f aca="false">Wh_Int*-P66</f>
        <v>-6.04939218435128</v>
      </c>
      <c r="Q67" s="491" t="n">
        <f aca="false">Wh_Int*-Q66</f>
        <v>-4.70260530091826</v>
      </c>
      <c r="R67" s="491" t="n">
        <f aca="false">Wh_Int*-R66</f>
        <v>-3.17504594805645</v>
      </c>
      <c r="S67" s="491" t="n">
        <f aca="false">Wh_Int*-S66</f>
        <v>-1.44244994105676</v>
      </c>
      <c r="T67" s="491" t="n">
        <f aca="false">Wh_Int*-T66</f>
        <v>-0</v>
      </c>
      <c r="U67" s="491" t="n">
        <f aca="false">Wh_Int*-U66</f>
        <v>-0</v>
      </c>
      <c r="V67" s="491" t="n">
        <f aca="false">Wh_Int*-V66</f>
        <v>-0</v>
      </c>
      <c r="W67" s="491" t="n">
        <f aca="false">Wh_Int*-W66</f>
        <v>-0</v>
      </c>
      <c r="X67" s="491" t="n">
        <f aca="false">Wh_Int*-X66</f>
        <v>-0</v>
      </c>
      <c r="Y67" s="491" t="n">
        <f aca="false">Wh_Int*-Y66</f>
        <v>-0</v>
      </c>
      <c r="Z67" s="491" t="n">
        <f aca="false">Wh_Int*-Z66</f>
        <v>-0</v>
      </c>
      <c r="AA67" s="487" t="n">
        <f aca="false">SUM(D67:Z67)</f>
        <v>-89.1783082471414</v>
      </c>
      <c r="AB67" s="487" t="n">
        <f aca="false">$E67+NPV(Disc,$F67:Z67)</f>
        <v>-27.6654234008959</v>
      </c>
      <c r="AC67" s="488"/>
      <c r="AD67" s="488"/>
      <c r="AE67" s="488"/>
      <c r="AF67" s="488"/>
      <c r="AG67" s="488"/>
      <c r="AH67" s="488"/>
      <c r="AI67" s="488"/>
      <c r="AJ67" s="488"/>
      <c r="AK67" s="488"/>
      <c r="AL67" s="488"/>
      <c r="AM67" s="488"/>
      <c r="AN67" s="488"/>
      <c r="AO67" s="488"/>
      <c r="AP67" s="488"/>
      <c r="AQ67" s="488"/>
      <c r="AR67" s="488"/>
      <c r="AS67" s="488"/>
      <c r="AT67" s="488"/>
      <c r="AU67" s="488"/>
      <c r="AV67" s="488"/>
      <c r="AW67" s="488"/>
      <c r="AX67" s="488"/>
      <c r="AY67" s="488"/>
      <c r="AZ67" s="488"/>
      <c r="BA67" s="488"/>
      <c r="BB67" s="488"/>
      <c r="BC67" s="488"/>
      <c r="BD67" s="488"/>
      <c r="BE67" s="488"/>
      <c r="BF67" s="488"/>
      <c r="BG67" s="488"/>
      <c r="BH67" s="488"/>
      <c r="BI67" s="488"/>
      <c r="BJ67" s="488"/>
      <c r="BK67" s="488"/>
      <c r="BL67" s="488"/>
      <c r="BM67" s="488"/>
      <c r="BN67" s="488"/>
      <c r="BO67" s="488"/>
      <c r="BP67" s="488"/>
      <c r="BQ67" s="488"/>
      <c r="BR67" s="488"/>
      <c r="BS67" s="488"/>
      <c r="BT67" s="488"/>
      <c r="BU67" s="488"/>
      <c r="BV67" s="488"/>
      <c r="BW67" s="488"/>
      <c r="BX67" s="488"/>
      <c r="BY67" s="488"/>
      <c r="BZ67" s="488"/>
      <c r="CA67" s="488"/>
      <c r="CB67" s="488"/>
      <c r="CC67" s="488"/>
      <c r="CD67" s="488"/>
      <c r="CE67" s="488"/>
      <c r="CF67" s="488"/>
      <c r="CG67" s="488"/>
      <c r="CH67" s="488"/>
      <c r="CI67" s="488"/>
      <c r="CJ67" s="488"/>
      <c r="CK67" s="488"/>
      <c r="CL67" s="488"/>
      <c r="CM67" s="488"/>
      <c r="CN67" s="488"/>
      <c r="CO67" s="488"/>
      <c r="CP67" s="488"/>
      <c r="CQ67" s="488"/>
      <c r="CR67" s="488"/>
      <c r="CS67" s="488"/>
      <c r="CT67" s="488"/>
      <c r="CU67" s="488"/>
      <c r="CV67" s="488"/>
      <c r="CW67" s="488"/>
      <c r="CX67" s="488"/>
      <c r="CY67" s="488"/>
      <c r="CZ67" s="488"/>
      <c r="DA67" s="488"/>
      <c r="DB67" s="488"/>
      <c r="DC67" s="488"/>
      <c r="DD67" s="488"/>
      <c r="DE67" s="488"/>
      <c r="DF67" s="488"/>
      <c r="DG67" s="488"/>
      <c r="DH67" s="488"/>
      <c r="DI67" s="488"/>
      <c r="DJ67" s="488"/>
      <c r="DK67" s="488"/>
      <c r="DL67" s="488"/>
      <c r="DM67" s="488"/>
      <c r="DN67" s="488"/>
      <c r="DO67" s="488"/>
      <c r="DP67" s="488"/>
      <c r="DQ67" s="488"/>
      <c r="DR67" s="488"/>
      <c r="DS67" s="488"/>
      <c r="DT67" s="488"/>
      <c r="DU67" s="488"/>
      <c r="DV67" s="488"/>
      <c r="DW67" s="488"/>
      <c r="DX67" s="488"/>
      <c r="DY67" s="488"/>
      <c r="DZ67" s="488"/>
      <c r="EA67" s="488"/>
      <c r="EB67" s="488"/>
      <c r="EC67" s="488"/>
      <c r="ED67" s="488"/>
      <c r="EE67" s="488"/>
      <c r="EF67" s="488"/>
      <c r="EG67" s="488"/>
      <c r="EH67" s="488"/>
      <c r="EI67" s="488"/>
      <c r="EJ67" s="488"/>
      <c r="EK67" s="488"/>
      <c r="EL67" s="488"/>
      <c r="EM67" s="488"/>
      <c r="EN67" s="488"/>
      <c r="EO67" s="488"/>
      <c r="EP67" s="488"/>
      <c r="EQ67" s="488"/>
      <c r="ER67" s="488"/>
      <c r="ES67" s="488"/>
      <c r="ET67" s="488"/>
      <c r="EU67" s="488"/>
      <c r="EV67" s="488"/>
      <c r="EW67" s="488"/>
      <c r="EX67" s="488"/>
      <c r="EY67" s="488"/>
      <c r="EZ67" s="488"/>
      <c r="FA67" s="488"/>
      <c r="FB67" s="488"/>
      <c r="FC67" s="488"/>
      <c r="FD67" s="488"/>
      <c r="FE67" s="488"/>
      <c r="FF67" s="488"/>
      <c r="FG67" s="488"/>
      <c r="FH67" s="488"/>
      <c r="FI67" s="488"/>
      <c r="FJ67" s="488"/>
      <c r="FK67" s="488"/>
      <c r="FL67" s="488"/>
      <c r="FM67" s="488"/>
      <c r="FN67" s="488"/>
      <c r="FO67" s="488"/>
      <c r="FP67" s="488"/>
      <c r="FQ67" s="488"/>
      <c r="FR67" s="488"/>
      <c r="FS67" s="488"/>
      <c r="FT67" s="488"/>
      <c r="FU67" s="488"/>
      <c r="FV67" s="488"/>
      <c r="FW67" s="488"/>
      <c r="FX67" s="488"/>
      <c r="FY67" s="488"/>
      <c r="FZ67" s="488"/>
      <c r="GA67" s="488"/>
      <c r="GB67" s="488"/>
      <c r="GC67" s="488"/>
      <c r="GD67" s="488"/>
      <c r="GE67" s="488"/>
      <c r="GF67" s="488"/>
      <c r="GG67" s="488"/>
      <c r="GH67" s="488"/>
      <c r="GI67" s="488"/>
      <c r="GJ67" s="488"/>
      <c r="GK67" s="488"/>
      <c r="GL67" s="488"/>
      <c r="GM67" s="488"/>
      <c r="GN67" s="488"/>
      <c r="GO67" s="488"/>
      <c r="GP67" s="488"/>
      <c r="GQ67" s="488"/>
      <c r="GR67" s="488"/>
      <c r="GS67" s="488"/>
      <c r="GT67" s="488"/>
      <c r="GU67" s="488"/>
      <c r="GV67" s="488"/>
      <c r="GW67" s="488"/>
      <c r="GX67" s="488"/>
      <c r="GY67" s="488"/>
      <c r="GZ67" s="488"/>
      <c r="HA67" s="488"/>
      <c r="HB67" s="488"/>
      <c r="HC67" s="488"/>
      <c r="HD67" s="488"/>
      <c r="HE67" s="488"/>
      <c r="HF67" s="488"/>
      <c r="HG67" s="488"/>
      <c r="HH67" s="488"/>
      <c r="HI67" s="488"/>
      <c r="HJ67" s="488"/>
      <c r="HK67" s="488"/>
      <c r="HL67" s="488"/>
      <c r="HM67" s="488"/>
      <c r="HN67" s="488"/>
      <c r="HO67" s="488"/>
      <c r="HP67" s="488"/>
      <c r="HQ67" s="488"/>
      <c r="HR67" s="488"/>
      <c r="HS67" s="488"/>
      <c r="HT67" s="488"/>
      <c r="HU67" s="488"/>
      <c r="HV67" s="488"/>
      <c r="HW67" s="488"/>
      <c r="HX67" s="488"/>
      <c r="HY67" s="488"/>
      <c r="HZ67" s="488"/>
      <c r="IA67" s="488"/>
      <c r="IB67" s="488"/>
      <c r="IC67" s="488"/>
      <c r="ID67" s="488"/>
      <c r="IE67" s="488"/>
      <c r="IF67" s="488"/>
      <c r="IG67" s="488"/>
      <c r="IH67" s="488"/>
      <c r="II67" s="488"/>
      <c r="IJ67" s="488"/>
      <c r="IK67" s="488"/>
      <c r="IL67" s="488"/>
      <c r="IM67" s="488"/>
      <c r="IN67" s="488"/>
      <c r="IO67" s="488"/>
      <c r="IP67" s="488"/>
      <c r="IQ67" s="488"/>
      <c r="IR67" s="488"/>
      <c r="IS67" s="488"/>
      <c r="IT67" s="488"/>
      <c r="IU67" s="488"/>
      <c r="IV67" s="488"/>
      <c r="IW67" s="488"/>
    </row>
    <row r="68" customFormat="false" ht="12.75" hidden="false" customHeight="false" outlineLevel="0" collapsed="false">
      <c r="A68" s="489"/>
      <c r="B68" s="484" t="s">
        <v>532</v>
      </c>
      <c r="C68" s="494" t="s">
        <v>272</v>
      </c>
      <c r="D68" s="520"/>
      <c r="E68" s="491" t="n">
        <f aca="false">-PLRisk!E54</f>
        <v>0</v>
      </c>
      <c r="F68" s="491" t="n">
        <f aca="false">-PLRisk!F54</f>
        <v>0</v>
      </c>
      <c r="G68" s="491" t="n">
        <f aca="false">-PLRisk!G54</f>
        <v>-4.85689426319271</v>
      </c>
      <c r="H68" s="491" t="n">
        <f aca="false">-PLRisk!H54</f>
        <v>-7.37572112396772</v>
      </c>
      <c r="I68" s="491" t="n">
        <f aca="false">-PLRisk!I54</f>
        <v>-7.31011100680544</v>
      </c>
      <c r="J68" s="491" t="n">
        <f aca="false">-PLRisk!J54</f>
        <v>-6.96283893400002</v>
      </c>
      <c r="K68" s="491" t="n">
        <f aca="false">-PLRisk!K54</f>
        <v>-6.56895426722228</v>
      </c>
      <c r="L68" s="491" t="n">
        <f aca="false">-PLRisk!L54</f>
        <v>-6.12220043104631</v>
      </c>
      <c r="M68" s="491" t="n">
        <f aca="false">-PLRisk!M54</f>
        <v>-5.61548106120961</v>
      </c>
      <c r="N68" s="491" t="n">
        <f aca="false">-PLRisk!N54</f>
        <v>-5.04074728395658</v>
      </c>
      <c r="O68" s="491" t="n">
        <f aca="false">-PLRisk!O54</f>
        <v>-4.38886986545177</v>
      </c>
      <c r="P68" s="491" t="n">
        <f aca="false">-PLRisk!P54</f>
        <v>-3.64949420044814</v>
      </c>
      <c r="Q68" s="491" t="n">
        <f aca="false">-PLRisk!Q54</f>
        <v>-2.81087583680941</v>
      </c>
      <c r="R68" s="491" t="n">
        <f aca="false">-PLRisk!R54</f>
        <v>-1.85969392331127</v>
      </c>
      <c r="S68" s="491" t="n">
        <f aca="false">-PLRisk!S54</f>
        <v>-0.780839617473833</v>
      </c>
      <c r="T68" s="491" t="n">
        <f aca="false">-PLRisk!T54</f>
        <v>0</v>
      </c>
      <c r="U68" s="491" t="n">
        <f aca="false">-PLRisk!U54</f>
        <v>0</v>
      </c>
      <c r="V68" s="491" t="n">
        <f aca="false">-PLRisk!V54</f>
        <v>0</v>
      </c>
      <c r="W68" s="491" t="n">
        <f aca="false">-PLRisk!W54</f>
        <v>0</v>
      </c>
      <c r="X68" s="491" t="n">
        <f aca="false">-PLRisk!X54</f>
        <v>0</v>
      </c>
      <c r="Y68" s="491" t="n">
        <f aca="false">-PLRisk!Y54</f>
        <v>0</v>
      </c>
      <c r="Z68" s="491" t="n">
        <f aca="false">-PLRisk!Z54</f>
        <v>0</v>
      </c>
      <c r="AA68" s="487" t="n">
        <f aca="false">SUM(D68:Z68)</f>
        <v>-63.3427218148951</v>
      </c>
      <c r="AB68" s="487" t="n">
        <f aca="false">$E68+NPV(Disc,$F68:Z68)</f>
        <v>-22.8643239464097</v>
      </c>
      <c r="AC68" s="488"/>
      <c r="AD68" s="488"/>
      <c r="AE68" s="488"/>
      <c r="AF68" s="488"/>
      <c r="AG68" s="488"/>
      <c r="AH68" s="488"/>
      <c r="AI68" s="488"/>
      <c r="AJ68" s="488"/>
      <c r="AK68" s="488"/>
      <c r="AL68" s="488"/>
      <c r="AM68" s="488"/>
      <c r="AN68" s="488"/>
      <c r="AO68" s="488"/>
      <c r="AP68" s="488"/>
      <c r="AQ68" s="488"/>
      <c r="AR68" s="488"/>
      <c r="AS68" s="488"/>
      <c r="AT68" s="488"/>
      <c r="AU68" s="488"/>
      <c r="AV68" s="488"/>
      <c r="AW68" s="488"/>
      <c r="AX68" s="488"/>
      <c r="AY68" s="488"/>
      <c r="AZ68" s="488"/>
      <c r="BA68" s="488"/>
      <c r="BB68" s="488"/>
      <c r="BC68" s="488"/>
      <c r="BD68" s="488"/>
      <c r="BE68" s="488"/>
      <c r="BF68" s="488"/>
      <c r="BG68" s="488"/>
      <c r="BH68" s="488"/>
      <c r="BI68" s="488"/>
      <c r="BJ68" s="488"/>
      <c r="BK68" s="488"/>
      <c r="BL68" s="488"/>
      <c r="BM68" s="488"/>
      <c r="BN68" s="488"/>
      <c r="BO68" s="488"/>
      <c r="BP68" s="488"/>
      <c r="BQ68" s="488"/>
      <c r="BR68" s="488"/>
      <c r="BS68" s="488"/>
      <c r="BT68" s="488"/>
      <c r="BU68" s="488"/>
      <c r="BV68" s="488"/>
      <c r="BW68" s="488"/>
      <c r="BX68" s="488"/>
      <c r="BY68" s="488"/>
      <c r="BZ68" s="488"/>
      <c r="CA68" s="488"/>
      <c r="CB68" s="488"/>
      <c r="CC68" s="488"/>
      <c r="CD68" s="488"/>
      <c r="CE68" s="488"/>
      <c r="CF68" s="488"/>
      <c r="CG68" s="488"/>
      <c r="CH68" s="488"/>
      <c r="CI68" s="488"/>
      <c r="CJ68" s="488"/>
      <c r="CK68" s="488"/>
      <c r="CL68" s="488"/>
      <c r="CM68" s="488"/>
      <c r="CN68" s="488"/>
      <c r="CO68" s="488"/>
      <c r="CP68" s="488"/>
      <c r="CQ68" s="488"/>
      <c r="CR68" s="488"/>
      <c r="CS68" s="488"/>
      <c r="CT68" s="488"/>
      <c r="CU68" s="488"/>
      <c r="CV68" s="488"/>
      <c r="CW68" s="488"/>
      <c r="CX68" s="488"/>
      <c r="CY68" s="488"/>
      <c r="CZ68" s="488"/>
      <c r="DA68" s="488"/>
      <c r="DB68" s="488"/>
      <c r="DC68" s="488"/>
      <c r="DD68" s="488"/>
      <c r="DE68" s="488"/>
      <c r="DF68" s="488"/>
      <c r="DG68" s="488"/>
      <c r="DH68" s="488"/>
      <c r="DI68" s="488"/>
      <c r="DJ68" s="488"/>
      <c r="DK68" s="488"/>
      <c r="DL68" s="488"/>
      <c r="DM68" s="488"/>
      <c r="DN68" s="488"/>
      <c r="DO68" s="488"/>
      <c r="DP68" s="488"/>
      <c r="DQ68" s="488"/>
      <c r="DR68" s="488"/>
      <c r="DS68" s="488"/>
      <c r="DT68" s="488"/>
      <c r="DU68" s="488"/>
      <c r="DV68" s="488"/>
      <c r="DW68" s="488"/>
      <c r="DX68" s="488"/>
      <c r="DY68" s="488"/>
      <c r="DZ68" s="488"/>
      <c r="EA68" s="488"/>
      <c r="EB68" s="488"/>
      <c r="EC68" s="488"/>
      <c r="ED68" s="488"/>
      <c r="EE68" s="488"/>
      <c r="EF68" s="488"/>
      <c r="EG68" s="488"/>
      <c r="EH68" s="488"/>
      <c r="EI68" s="488"/>
      <c r="EJ68" s="488"/>
      <c r="EK68" s="488"/>
      <c r="EL68" s="488"/>
      <c r="EM68" s="488"/>
      <c r="EN68" s="488"/>
      <c r="EO68" s="488"/>
      <c r="EP68" s="488"/>
      <c r="EQ68" s="488"/>
      <c r="ER68" s="488"/>
      <c r="ES68" s="488"/>
      <c r="ET68" s="488"/>
      <c r="EU68" s="488"/>
      <c r="EV68" s="488"/>
      <c r="EW68" s="488"/>
      <c r="EX68" s="488"/>
      <c r="EY68" s="488"/>
      <c r="EZ68" s="488"/>
      <c r="FA68" s="488"/>
      <c r="FB68" s="488"/>
      <c r="FC68" s="488"/>
      <c r="FD68" s="488"/>
      <c r="FE68" s="488"/>
      <c r="FF68" s="488"/>
      <c r="FG68" s="488"/>
      <c r="FH68" s="488"/>
      <c r="FI68" s="488"/>
      <c r="FJ68" s="488"/>
      <c r="FK68" s="488"/>
      <c r="FL68" s="488"/>
      <c r="FM68" s="488"/>
      <c r="FN68" s="488"/>
      <c r="FO68" s="488"/>
      <c r="FP68" s="488"/>
      <c r="FQ68" s="488"/>
      <c r="FR68" s="488"/>
      <c r="FS68" s="488"/>
      <c r="FT68" s="488"/>
      <c r="FU68" s="488"/>
      <c r="FV68" s="488"/>
      <c r="FW68" s="488"/>
      <c r="FX68" s="488"/>
      <c r="FY68" s="488"/>
      <c r="FZ68" s="488"/>
      <c r="GA68" s="488"/>
      <c r="GB68" s="488"/>
      <c r="GC68" s="488"/>
      <c r="GD68" s="488"/>
      <c r="GE68" s="488"/>
      <c r="GF68" s="488"/>
      <c r="GG68" s="488"/>
      <c r="GH68" s="488"/>
      <c r="GI68" s="488"/>
      <c r="GJ68" s="488"/>
      <c r="GK68" s="488"/>
      <c r="GL68" s="488"/>
      <c r="GM68" s="488"/>
      <c r="GN68" s="488"/>
      <c r="GO68" s="488"/>
      <c r="GP68" s="488"/>
      <c r="GQ68" s="488"/>
      <c r="GR68" s="488"/>
      <c r="GS68" s="488"/>
      <c r="GT68" s="488"/>
      <c r="GU68" s="488"/>
      <c r="GV68" s="488"/>
      <c r="GW68" s="488"/>
      <c r="GX68" s="488"/>
      <c r="GY68" s="488"/>
      <c r="GZ68" s="488"/>
      <c r="HA68" s="488"/>
      <c r="HB68" s="488"/>
      <c r="HC68" s="488"/>
      <c r="HD68" s="488"/>
      <c r="HE68" s="488"/>
      <c r="HF68" s="488"/>
      <c r="HG68" s="488"/>
      <c r="HH68" s="488"/>
      <c r="HI68" s="488"/>
      <c r="HJ68" s="488"/>
      <c r="HK68" s="488"/>
      <c r="HL68" s="488"/>
      <c r="HM68" s="488"/>
      <c r="HN68" s="488"/>
      <c r="HO68" s="488"/>
      <c r="HP68" s="488"/>
      <c r="HQ68" s="488"/>
      <c r="HR68" s="488"/>
      <c r="HS68" s="488"/>
      <c r="HT68" s="488"/>
      <c r="HU68" s="488"/>
      <c r="HV68" s="488"/>
      <c r="HW68" s="488"/>
      <c r="HX68" s="488"/>
      <c r="HY68" s="488"/>
      <c r="HZ68" s="488"/>
      <c r="IA68" s="488"/>
      <c r="IB68" s="488"/>
      <c r="IC68" s="488"/>
      <c r="ID68" s="488"/>
      <c r="IE68" s="488"/>
      <c r="IF68" s="488"/>
      <c r="IG68" s="488"/>
      <c r="IH68" s="488"/>
      <c r="II68" s="488"/>
      <c r="IJ68" s="488"/>
      <c r="IK68" s="488"/>
      <c r="IL68" s="488"/>
      <c r="IM68" s="488"/>
      <c r="IN68" s="488"/>
      <c r="IO68" s="488"/>
      <c r="IP68" s="488"/>
      <c r="IQ68" s="488"/>
      <c r="IR68" s="488"/>
      <c r="IS68" s="488"/>
      <c r="IT68" s="488"/>
      <c r="IU68" s="488"/>
      <c r="IV68" s="488"/>
      <c r="IW68" s="488"/>
    </row>
    <row r="69" customFormat="false" ht="12.75" hidden="false" customHeight="false" outlineLevel="0" collapsed="false">
      <c r="A69" s="489"/>
      <c r="B69" s="484" t="s">
        <v>523</v>
      </c>
      <c r="C69" s="484"/>
      <c r="D69" s="520"/>
      <c r="E69" s="504" t="n">
        <f aca="false">-USTax*SUM(E66:E68)</f>
        <v>-0</v>
      </c>
      <c r="F69" s="504" t="n">
        <f aca="false">-USTax*SUM(F66:F68)</f>
        <v>-0</v>
      </c>
      <c r="G69" s="504" t="n">
        <f aca="false">-USTax*SUM(G66:G68)</f>
        <v>1.7970508773813</v>
      </c>
      <c r="H69" s="504" t="n">
        <f aca="false">-USTax*SUM(H66:H68)</f>
        <v>-10.2846328187526</v>
      </c>
      <c r="I69" s="504" t="n">
        <f aca="false">-USTax*SUM(I66:I68)</f>
        <v>-28.1892799707673</v>
      </c>
      <c r="J69" s="504" t="n">
        <f aca="false">-USTax*SUM(J66:J68)</f>
        <v>-26.8733152493524</v>
      </c>
      <c r="K69" s="504" t="n">
        <f aca="false">-USTax*SUM(K66:K68)</f>
        <v>-25.3807151632055</v>
      </c>
      <c r="L69" s="504" t="n">
        <f aca="false">-USTax*SUM(L66:L68)</f>
        <v>-23.6877708304956</v>
      </c>
      <c r="M69" s="504" t="n">
        <f aca="false">-USTax*SUM(M66:M68)</f>
        <v>-21.7675910447278</v>
      </c>
      <c r="N69" s="504" t="n">
        <f aca="false">-USTax*SUM(N66:N68)</f>
        <v>-19.5896751272152</v>
      </c>
      <c r="O69" s="504" t="n">
        <f aca="false">-USTax*SUM(O66:O68)</f>
        <v>-17.1194284456745</v>
      </c>
      <c r="P69" s="504" t="n">
        <f aca="false">-USTax*SUM(P66:P68)</f>
        <v>-14.317612903304</v>
      </c>
      <c r="Q69" s="504" t="n">
        <f aca="false">-USTax*SUM(Q66:Q68)</f>
        <v>-11.1397236697588</v>
      </c>
      <c r="R69" s="504" t="n">
        <f aca="false">-USTax*SUM(R66:R68)</f>
        <v>-7.53528225384104</v>
      </c>
      <c r="S69" s="504" t="n">
        <f aca="false">-USTax*SUM(S66:S68)</f>
        <v>-3.44703468887169</v>
      </c>
      <c r="T69" s="504" t="n">
        <f aca="false">-USTax*SUM(T66:T68)</f>
        <v>-0</v>
      </c>
      <c r="U69" s="504" t="n">
        <f aca="false">-USTax*SUM(U66:U68)</f>
        <v>-0</v>
      </c>
      <c r="V69" s="504" t="n">
        <f aca="false">-USTax*SUM(V66:V68)</f>
        <v>-0</v>
      </c>
      <c r="W69" s="504" t="n">
        <f aca="false">-USTax*SUM(W66:W68)</f>
        <v>-0</v>
      </c>
      <c r="X69" s="504" t="n">
        <f aca="false">-USTax*SUM(X66:X68)</f>
        <v>-0</v>
      </c>
      <c r="Y69" s="504" t="n">
        <f aca="false">-USTax*SUM(Y66:Y68)</f>
        <v>-0</v>
      </c>
      <c r="Z69" s="504" t="n">
        <f aca="false">-USTax*SUM(Z66:Z68)</f>
        <v>-0</v>
      </c>
      <c r="AA69" s="505" t="n">
        <f aca="false">SUM(D69:Z69)</f>
        <v>-207.535011288585</v>
      </c>
      <c r="AB69" s="505" t="n">
        <f aca="false">$E69+NPV(Disc,$F69:Z69)</f>
        <v>-63.1936467481487</v>
      </c>
      <c r="AC69" s="488"/>
      <c r="AD69" s="488"/>
      <c r="AE69" s="488"/>
      <c r="AF69" s="488"/>
      <c r="AG69" s="488"/>
      <c r="AH69" s="488"/>
      <c r="AI69" s="488"/>
      <c r="AJ69" s="488"/>
      <c r="AK69" s="488"/>
      <c r="AL69" s="488"/>
      <c r="AM69" s="488"/>
      <c r="AN69" s="488"/>
      <c r="AO69" s="488"/>
      <c r="AP69" s="488"/>
      <c r="AQ69" s="488"/>
      <c r="AR69" s="488"/>
      <c r="AS69" s="488"/>
      <c r="AT69" s="488"/>
      <c r="AU69" s="488"/>
      <c r="AV69" s="488"/>
      <c r="AW69" s="488"/>
      <c r="AX69" s="488"/>
      <c r="AY69" s="488"/>
      <c r="AZ69" s="488"/>
      <c r="BA69" s="488"/>
      <c r="BB69" s="488"/>
      <c r="BC69" s="488"/>
      <c r="BD69" s="488"/>
      <c r="BE69" s="488"/>
      <c r="BF69" s="488"/>
      <c r="BG69" s="488"/>
      <c r="BH69" s="488"/>
      <c r="BI69" s="488"/>
      <c r="BJ69" s="488"/>
      <c r="BK69" s="488"/>
      <c r="BL69" s="488"/>
      <c r="BM69" s="488"/>
      <c r="BN69" s="488"/>
      <c r="BO69" s="488"/>
      <c r="BP69" s="488"/>
      <c r="BQ69" s="488"/>
      <c r="BR69" s="488"/>
      <c r="BS69" s="488"/>
      <c r="BT69" s="488"/>
      <c r="BU69" s="488"/>
      <c r="BV69" s="488"/>
      <c r="BW69" s="488"/>
      <c r="BX69" s="488"/>
      <c r="BY69" s="488"/>
      <c r="BZ69" s="488"/>
      <c r="CA69" s="488"/>
      <c r="CB69" s="488"/>
      <c r="CC69" s="488"/>
      <c r="CD69" s="488"/>
      <c r="CE69" s="488"/>
      <c r="CF69" s="488"/>
      <c r="CG69" s="488"/>
      <c r="CH69" s="488"/>
      <c r="CI69" s="488"/>
      <c r="CJ69" s="488"/>
      <c r="CK69" s="488"/>
      <c r="CL69" s="488"/>
      <c r="CM69" s="488"/>
      <c r="CN69" s="488"/>
      <c r="CO69" s="488"/>
      <c r="CP69" s="488"/>
      <c r="CQ69" s="488"/>
      <c r="CR69" s="488"/>
      <c r="CS69" s="488"/>
      <c r="CT69" s="488"/>
      <c r="CU69" s="488"/>
      <c r="CV69" s="488"/>
      <c r="CW69" s="488"/>
      <c r="CX69" s="488"/>
      <c r="CY69" s="488"/>
      <c r="CZ69" s="488"/>
      <c r="DA69" s="488"/>
      <c r="DB69" s="488"/>
      <c r="DC69" s="488"/>
      <c r="DD69" s="488"/>
      <c r="DE69" s="488"/>
      <c r="DF69" s="488"/>
      <c r="DG69" s="488"/>
      <c r="DH69" s="488"/>
      <c r="DI69" s="488"/>
      <c r="DJ69" s="488"/>
      <c r="DK69" s="488"/>
      <c r="DL69" s="488"/>
      <c r="DM69" s="488"/>
      <c r="DN69" s="488"/>
      <c r="DO69" s="488"/>
      <c r="DP69" s="488"/>
      <c r="DQ69" s="488"/>
      <c r="DR69" s="488"/>
      <c r="DS69" s="488"/>
      <c r="DT69" s="488"/>
      <c r="DU69" s="488"/>
      <c r="DV69" s="488"/>
      <c r="DW69" s="488"/>
      <c r="DX69" s="488"/>
      <c r="DY69" s="488"/>
      <c r="DZ69" s="488"/>
      <c r="EA69" s="488"/>
      <c r="EB69" s="488"/>
      <c r="EC69" s="488"/>
      <c r="ED69" s="488"/>
      <c r="EE69" s="488"/>
      <c r="EF69" s="488"/>
      <c r="EG69" s="488"/>
      <c r="EH69" s="488"/>
      <c r="EI69" s="488"/>
      <c r="EJ69" s="488"/>
      <c r="EK69" s="488"/>
      <c r="EL69" s="488"/>
      <c r="EM69" s="488"/>
      <c r="EN69" s="488"/>
      <c r="EO69" s="488"/>
      <c r="EP69" s="488"/>
      <c r="EQ69" s="488"/>
      <c r="ER69" s="488"/>
      <c r="ES69" s="488"/>
      <c r="ET69" s="488"/>
      <c r="EU69" s="488"/>
      <c r="EV69" s="488"/>
      <c r="EW69" s="488"/>
      <c r="EX69" s="488"/>
      <c r="EY69" s="488"/>
      <c r="EZ69" s="488"/>
      <c r="FA69" s="488"/>
      <c r="FB69" s="488"/>
      <c r="FC69" s="488"/>
      <c r="FD69" s="488"/>
      <c r="FE69" s="488"/>
      <c r="FF69" s="488"/>
      <c r="FG69" s="488"/>
      <c r="FH69" s="488"/>
      <c r="FI69" s="488"/>
      <c r="FJ69" s="488"/>
      <c r="FK69" s="488"/>
      <c r="FL69" s="488"/>
      <c r="FM69" s="488"/>
      <c r="FN69" s="488"/>
      <c r="FO69" s="488"/>
      <c r="FP69" s="488"/>
      <c r="FQ69" s="488"/>
      <c r="FR69" s="488"/>
      <c r="FS69" s="488"/>
      <c r="FT69" s="488"/>
      <c r="FU69" s="488"/>
      <c r="FV69" s="488"/>
      <c r="FW69" s="488"/>
      <c r="FX69" s="488"/>
      <c r="FY69" s="488"/>
      <c r="FZ69" s="488"/>
      <c r="GA69" s="488"/>
      <c r="GB69" s="488"/>
      <c r="GC69" s="488"/>
      <c r="GD69" s="488"/>
      <c r="GE69" s="488"/>
      <c r="GF69" s="488"/>
      <c r="GG69" s="488"/>
      <c r="GH69" s="488"/>
      <c r="GI69" s="488"/>
      <c r="GJ69" s="488"/>
      <c r="GK69" s="488"/>
      <c r="GL69" s="488"/>
      <c r="GM69" s="488"/>
      <c r="GN69" s="488"/>
      <c r="GO69" s="488"/>
      <c r="GP69" s="488"/>
      <c r="GQ69" s="488"/>
      <c r="GR69" s="488"/>
      <c r="GS69" s="488"/>
      <c r="GT69" s="488"/>
      <c r="GU69" s="488"/>
      <c r="GV69" s="488"/>
      <c r="GW69" s="488"/>
      <c r="GX69" s="488"/>
      <c r="GY69" s="488"/>
      <c r="GZ69" s="488"/>
      <c r="HA69" s="488"/>
      <c r="HB69" s="488"/>
      <c r="HC69" s="488"/>
      <c r="HD69" s="488"/>
      <c r="HE69" s="488"/>
      <c r="HF69" s="488"/>
      <c r="HG69" s="488"/>
      <c r="HH69" s="488"/>
      <c r="HI69" s="488"/>
      <c r="HJ69" s="488"/>
      <c r="HK69" s="488"/>
      <c r="HL69" s="488"/>
      <c r="HM69" s="488"/>
      <c r="HN69" s="488"/>
      <c r="HO69" s="488"/>
      <c r="HP69" s="488"/>
      <c r="HQ69" s="488"/>
      <c r="HR69" s="488"/>
      <c r="HS69" s="488"/>
      <c r="HT69" s="488"/>
      <c r="HU69" s="488"/>
      <c r="HV69" s="488"/>
      <c r="HW69" s="488"/>
      <c r="HX69" s="488"/>
      <c r="HY69" s="488"/>
      <c r="HZ69" s="488"/>
      <c r="IA69" s="488"/>
      <c r="IB69" s="488"/>
      <c r="IC69" s="488"/>
      <c r="ID69" s="488"/>
      <c r="IE69" s="488"/>
      <c r="IF69" s="488"/>
      <c r="IG69" s="488"/>
      <c r="IH69" s="488"/>
      <c r="II69" s="488"/>
      <c r="IJ69" s="488"/>
      <c r="IK69" s="488"/>
      <c r="IL69" s="488"/>
      <c r="IM69" s="488"/>
      <c r="IN69" s="488"/>
      <c r="IO69" s="488"/>
      <c r="IP69" s="488"/>
      <c r="IQ69" s="488"/>
      <c r="IR69" s="488"/>
      <c r="IS69" s="488"/>
      <c r="IT69" s="488"/>
      <c r="IU69" s="488"/>
      <c r="IV69" s="488"/>
      <c r="IW69" s="488"/>
    </row>
    <row r="70" customFormat="false" ht="12.75" hidden="false" customHeight="false" outlineLevel="0" collapsed="false">
      <c r="A70" s="524"/>
      <c r="B70" s="525" t="s">
        <v>533</v>
      </c>
      <c r="C70" s="525"/>
      <c r="D70" s="526"/>
      <c r="E70" s="527" t="n">
        <f aca="false">SUM(E63:E69)</f>
        <v>-2535.159172224</v>
      </c>
      <c r="F70" s="527" t="n">
        <f aca="false">SUM(F63:F69)</f>
        <v>-19780.8629977828</v>
      </c>
      <c r="G70" s="527" t="n">
        <f aca="false">SUM(G63:G69)</f>
        <v>7262.5943912575</v>
      </c>
      <c r="H70" s="527" t="n">
        <f aca="false">SUM(H63:H69)</f>
        <v>1191.49207367046</v>
      </c>
      <c r="I70" s="527" t="n">
        <f aca="false">SUM(I63:I69)</f>
        <v>1516.53056381044</v>
      </c>
      <c r="J70" s="527" t="n">
        <f aca="false">SUM(J63:J69)</f>
        <v>1069.83010955448</v>
      </c>
      <c r="K70" s="527" t="n">
        <f aca="false">SUM(K63:K69)</f>
        <v>1550.84004608775</v>
      </c>
      <c r="L70" s="527" t="n">
        <f aca="false">SUM(L63:L69)</f>
        <v>339.118222250388</v>
      </c>
      <c r="M70" s="527" t="n">
        <f aca="false">SUM(M63:M69)</f>
        <v>1345.6908280095</v>
      </c>
      <c r="N70" s="527" t="n">
        <f aca="false">SUM(N63:N69)</f>
        <v>1507.8438696587</v>
      </c>
      <c r="O70" s="527" t="n">
        <f aca="false">SUM(O63:O69)</f>
        <v>2607.57801787317</v>
      </c>
      <c r="P70" s="527" t="n">
        <f aca="false">SUM(P63:P69)</f>
        <v>3905.68303177604</v>
      </c>
      <c r="Q70" s="527" t="n">
        <f aca="false">SUM(Q63:Q69)</f>
        <v>4227.85972496988</v>
      </c>
      <c r="R70" s="527" t="n">
        <f aca="false">SUM(R63:R69)</f>
        <v>3825.89686270416</v>
      </c>
      <c r="S70" s="527" t="n">
        <f aca="false">SUM(S63:S69)</f>
        <v>2594.40422969683</v>
      </c>
      <c r="T70" s="527" t="n">
        <f aca="false">SUM(T63:T69)</f>
        <v>2465.70126514766</v>
      </c>
      <c r="U70" s="527" t="n">
        <f aca="false">SUM(U63:U69)</f>
        <v>3083.41816647567</v>
      </c>
      <c r="V70" s="527" t="n">
        <f aca="false">SUM(V63:V69)</f>
        <v>4127.50142873931</v>
      </c>
      <c r="W70" s="527" t="n">
        <f aca="false">SUM(W63:W69)</f>
        <v>6147.25058908842</v>
      </c>
      <c r="X70" s="527" t="n">
        <f aca="false">SUM(X63:X69)</f>
        <v>6298.72068366026</v>
      </c>
      <c r="Y70" s="527" t="n">
        <f aca="false">SUM(Y63:Y69)</f>
        <v>6467.60604098712</v>
      </c>
      <c r="Z70" s="527" t="n">
        <f aca="false">SUM(Z63:Z69)</f>
        <v>103642.335889257</v>
      </c>
      <c r="AA70" s="528" t="n">
        <f aca="false">SUM(D70:Z70)</f>
        <v>142861.873864668</v>
      </c>
      <c r="AB70" s="528" t="n">
        <f aca="false">SUM(AB63:AB69)</f>
        <v>-4665.71763766495</v>
      </c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  <c r="BI70" s="126"/>
      <c r="BJ70" s="126"/>
      <c r="BK70" s="126"/>
      <c r="BL70" s="126"/>
      <c r="BM70" s="126"/>
      <c r="BN70" s="126"/>
      <c r="BO70" s="126"/>
      <c r="BP70" s="126"/>
      <c r="BQ70" s="126"/>
      <c r="BR70" s="126"/>
      <c r="BS70" s="126"/>
      <c r="BT70" s="126"/>
      <c r="BU70" s="126"/>
      <c r="BV70" s="126"/>
      <c r="BW70" s="126"/>
      <c r="BX70" s="126"/>
      <c r="BY70" s="126"/>
      <c r="BZ70" s="126"/>
      <c r="CA70" s="126"/>
      <c r="CB70" s="126"/>
      <c r="CC70" s="126"/>
      <c r="CD70" s="126"/>
      <c r="CE70" s="126"/>
      <c r="CF70" s="126"/>
      <c r="CG70" s="126"/>
      <c r="CH70" s="126"/>
      <c r="CI70" s="126"/>
      <c r="CJ70" s="126"/>
      <c r="CK70" s="126"/>
      <c r="CL70" s="126"/>
      <c r="CM70" s="126"/>
      <c r="CN70" s="126"/>
      <c r="CO70" s="126"/>
      <c r="CP70" s="126"/>
      <c r="CQ70" s="126"/>
      <c r="CR70" s="126"/>
      <c r="CS70" s="126"/>
      <c r="CT70" s="126"/>
      <c r="CU70" s="126"/>
      <c r="CV70" s="126"/>
      <c r="CW70" s="126"/>
      <c r="CX70" s="126"/>
      <c r="CY70" s="126"/>
      <c r="CZ70" s="126"/>
      <c r="DA70" s="126"/>
      <c r="DB70" s="126"/>
      <c r="DC70" s="126"/>
      <c r="DD70" s="126"/>
      <c r="DE70" s="126"/>
      <c r="DF70" s="126"/>
      <c r="DG70" s="126"/>
      <c r="DH70" s="126"/>
      <c r="DI70" s="126"/>
      <c r="DJ70" s="126"/>
      <c r="DK70" s="126"/>
      <c r="DL70" s="126"/>
      <c r="DM70" s="126"/>
      <c r="DN70" s="126"/>
      <c r="DO70" s="126"/>
      <c r="DP70" s="126"/>
      <c r="DQ70" s="126"/>
      <c r="DR70" s="126"/>
      <c r="DS70" s="126"/>
      <c r="DT70" s="126"/>
      <c r="DU70" s="126"/>
      <c r="DV70" s="126"/>
      <c r="DW70" s="126"/>
      <c r="DX70" s="126"/>
      <c r="DY70" s="126"/>
      <c r="DZ70" s="126"/>
      <c r="EA70" s="126"/>
      <c r="EB70" s="126"/>
      <c r="EC70" s="126"/>
      <c r="ED70" s="126"/>
      <c r="EE70" s="126"/>
      <c r="EF70" s="126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6"/>
      <c r="ER70" s="126"/>
      <c r="ES70" s="126"/>
      <c r="ET70" s="126"/>
      <c r="EU70" s="126"/>
      <c r="EV70" s="126"/>
      <c r="EW70" s="126"/>
      <c r="EX70" s="126"/>
      <c r="EY70" s="126"/>
      <c r="EZ70" s="126"/>
      <c r="FA70" s="126"/>
      <c r="FB70" s="126"/>
      <c r="FC70" s="126"/>
      <c r="FD70" s="126"/>
      <c r="FE70" s="126"/>
      <c r="FF70" s="126"/>
      <c r="FG70" s="126"/>
      <c r="FH70" s="126"/>
      <c r="FI70" s="126"/>
      <c r="FJ70" s="126"/>
      <c r="FK70" s="126"/>
      <c r="FL70" s="126"/>
      <c r="FM70" s="126"/>
      <c r="FN70" s="126"/>
      <c r="FO70" s="126"/>
      <c r="FP70" s="126"/>
      <c r="FQ70" s="126"/>
      <c r="FR70" s="126"/>
      <c r="FS70" s="126"/>
      <c r="FT70" s="126"/>
      <c r="FU70" s="126"/>
      <c r="FV70" s="126"/>
      <c r="FW70" s="126"/>
      <c r="FX70" s="126"/>
      <c r="FY70" s="126"/>
      <c r="FZ70" s="126"/>
      <c r="GA70" s="126"/>
      <c r="GB70" s="126"/>
      <c r="GC70" s="126"/>
      <c r="GD70" s="126"/>
      <c r="GE70" s="126"/>
      <c r="GF70" s="126"/>
      <c r="GG70" s="126"/>
      <c r="GH70" s="126"/>
      <c r="GI70" s="126"/>
      <c r="GJ70" s="126"/>
      <c r="GK70" s="126"/>
      <c r="GL70" s="126"/>
      <c r="GM70" s="126"/>
      <c r="GN70" s="126"/>
      <c r="GO70" s="126"/>
      <c r="GP70" s="126"/>
      <c r="GQ70" s="126"/>
      <c r="GR70" s="126"/>
      <c r="GS70" s="126"/>
      <c r="GT70" s="126"/>
      <c r="GU70" s="126"/>
      <c r="GV70" s="126"/>
      <c r="GW70" s="126"/>
      <c r="GX70" s="126"/>
      <c r="GY70" s="126"/>
      <c r="GZ70" s="126"/>
      <c r="HA70" s="126"/>
      <c r="HB70" s="126"/>
      <c r="HC70" s="126"/>
      <c r="HD70" s="126"/>
      <c r="HE70" s="126"/>
      <c r="HF70" s="126"/>
      <c r="HG70" s="126"/>
      <c r="HH70" s="126"/>
      <c r="HI70" s="126"/>
      <c r="HJ70" s="126"/>
      <c r="HK70" s="126"/>
      <c r="HL70" s="126"/>
      <c r="HM70" s="126"/>
      <c r="HN70" s="126"/>
      <c r="HO70" s="126"/>
      <c r="HP70" s="126"/>
      <c r="HQ70" s="126"/>
      <c r="HR70" s="126"/>
      <c r="HS70" s="126"/>
      <c r="HT70" s="126"/>
      <c r="HU70" s="126"/>
      <c r="HV70" s="126"/>
      <c r="HW70" s="126"/>
      <c r="HX70" s="126"/>
      <c r="HY70" s="126"/>
      <c r="HZ70" s="126"/>
      <c r="IA70" s="126"/>
      <c r="IB70" s="126"/>
      <c r="IC70" s="126"/>
      <c r="ID70" s="126"/>
      <c r="IE70" s="126"/>
      <c r="IF70" s="126"/>
      <c r="IG70" s="126"/>
      <c r="IH70" s="126"/>
      <c r="II70" s="126"/>
      <c r="IJ70" s="126"/>
      <c r="IK70" s="126"/>
      <c r="IL70" s="126"/>
      <c r="IM70" s="126"/>
      <c r="IN70" s="126"/>
      <c r="IO70" s="126"/>
      <c r="IP70" s="126"/>
      <c r="IQ70" s="126"/>
      <c r="IR70" s="126"/>
      <c r="IS70" s="126"/>
      <c r="IT70" s="126"/>
      <c r="IU70" s="126"/>
      <c r="IV70" s="126"/>
      <c r="IW70" s="126"/>
    </row>
    <row r="71" customFormat="false" ht="12.75" hidden="false" customHeight="false" outlineLevel="0" collapsed="false">
      <c r="A71" s="461"/>
      <c r="B71" s="39"/>
      <c r="C71" s="39"/>
      <c r="D71" s="478"/>
      <c r="E71" s="478" t="n">
        <f aca="false">E70-[1]RAROC!C35</f>
        <v>0</v>
      </c>
      <c r="F71" s="478" t="n">
        <f aca="false">F70-[1]RAROC!D35</f>
        <v>0</v>
      </c>
      <c r="G71" s="478" t="n">
        <f aca="false">G70-[1]RAROC!E35</f>
        <v>0</v>
      </c>
      <c r="H71" s="478" t="n">
        <f aca="false">H70-[1]RAROC!F35</f>
        <v>0</v>
      </c>
      <c r="I71" s="478" t="n">
        <f aca="false">I70-[1]RAROC!G35</f>
        <v>0</v>
      </c>
      <c r="J71" s="478" t="n">
        <f aca="false">J70-[1]RAROC!H35</f>
        <v>0</v>
      </c>
      <c r="K71" s="478" t="n">
        <f aca="false">K70-[1]RAROC!I35</f>
        <v>0</v>
      </c>
      <c r="L71" s="478" t="n">
        <f aca="false">L70-[1]RAROC!J35</f>
        <v>0</v>
      </c>
      <c r="M71" s="478" t="n">
        <f aca="false">M70-[1]RAROC!K35</f>
        <v>0</v>
      </c>
      <c r="N71" s="478" t="n">
        <f aca="false">N70-[1]RAROC!L35</f>
        <v>0</v>
      </c>
      <c r="O71" s="478" t="n">
        <f aca="false">O70-[1]RAROC!M35</f>
        <v>0</v>
      </c>
      <c r="P71" s="478" t="n">
        <f aca="false">P70-[1]RAROC!N35</f>
        <v>0</v>
      </c>
      <c r="Q71" s="478" t="n">
        <f aca="false">Q70-[1]RAROC!O35</f>
        <v>0</v>
      </c>
      <c r="R71" s="478" t="n">
        <f aca="false">R70-[1]RAROC!P35</f>
        <v>0</v>
      </c>
      <c r="S71" s="478" t="n">
        <f aca="false">S70-[1]RAROC!Q35</f>
        <v>0</v>
      </c>
      <c r="T71" s="478" t="n">
        <f aca="false">T70-[1]RAROC!R35</f>
        <v>0</v>
      </c>
      <c r="U71" s="478" t="n">
        <f aca="false">U70-[1]RAROC!S35</f>
        <v>0</v>
      </c>
      <c r="V71" s="478" t="n">
        <f aca="false">V70-[1]RAROC!T35</f>
        <v>0</v>
      </c>
      <c r="W71" s="478" t="n">
        <f aca="false">W70-[1]RAROC!U35</f>
        <v>0</v>
      </c>
      <c r="X71" s="478" t="n">
        <f aca="false">X70-[1]RAROC!V35</f>
        <v>0</v>
      </c>
      <c r="Y71" s="478" t="n">
        <f aca="false">Y70-[1]RAROC!W35</f>
        <v>0</v>
      </c>
      <c r="Z71" s="478" t="n">
        <f aca="false">Z70-[1]RAROC!X35</f>
        <v>0</v>
      </c>
      <c r="AA71" s="302"/>
      <c r="AB71" s="302"/>
    </row>
    <row r="72" customFormat="false" ht="12.75" hidden="false" customHeight="false" outlineLevel="0" collapsed="false">
      <c r="A72" s="461"/>
      <c r="B72" s="39" t="s">
        <v>503</v>
      </c>
      <c r="C72" s="39"/>
      <c r="D72" s="478"/>
      <c r="E72" s="61" t="n">
        <f aca="false">$E70</f>
        <v>-2535.159172224</v>
      </c>
      <c r="F72" s="61" t="n">
        <f aca="false">$E70+NPV(Disc,$F70:F70)</f>
        <v>-19157.7331199406</v>
      </c>
      <c r="G72" s="61" t="n">
        <f aca="false">$E70+NPV(Disc,$F70:G70)</f>
        <v>-14029.1444671213</v>
      </c>
      <c r="H72" s="61" t="n">
        <f aca="false">$E70+NPV(Disc,$F70:H70)</f>
        <v>-13322.0942281406</v>
      </c>
      <c r="I72" s="61" t="n">
        <f aca="false">$E70+NPV(Disc,$F70:I70)</f>
        <v>-12565.8478254133</v>
      </c>
      <c r="J72" s="61" t="n">
        <f aca="false">$E70+NPV(Disc,$F70:J70)</f>
        <v>-12117.5361910015</v>
      </c>
      <c r="K72" s="61" t="n">
        <f aca="false">$E70+NPV(Disc,$F70:K70)</f>
        <v>-11571.4197660202</v>
      </c>
      <c r="L72" s="61" t="n">
        <f aca="false">$E70+NPV(Disc,$F70:L70)</f>
        <v>-11471.0686059995</v>
      </c>
      <c r="M72" s="61" t="n">
        <f aca="false">$E70+NPV(Disc,$F70:M70)</f>
        <v>-11136.4349631534</v>
      </c>
      <c r="N72" s="61" t="n">
        <f aca="false">$E70+NPV(Disc,$F70:N70)</f>
        <v>-10821.345614732</v>
      </c>
      <c r="O72" s="61" t="n">
        <f aca="false">$E70+NPV(Disc,$F70:O70)</f>
        <v>-10363.4487210717</v>
      </c>
      <c r="P72" s="61" t="n">
        <f aca="false">$E70+NPV(Disc,$F70:P70)</f>
        <v>-9787.10652152412</v>
      </c>
      <c r="Q72" s="61" t="n">
        <f aca="false">$E70+NPV(Disc,$F70:Q70)</f>
        <v>-9262.83407604321</v>
      </c>
      <c r="R72" s="61" t="n">
        <f aca="false">$E70+NPV(Disc,$F70:R70)</f>
        <v>-8864.15562691275</v>
      </c>
      <c r="S72" s="61" t="n">
        <f aca="false">$E70+NPV(Disc,$F70:S70)</f>
        <v>-8636.97034928323</v>
      </c>
      <c r="T72" s="61" t="n">
        <f aca="false">$E70+NPV(Disc,$F70:T70)</f>
        <v>-8455.52909597661</v>
      </c>
      <c r="U72" s="61" t="n">
        <f aca="false">$E70+NPV(Disc,$F70:U70)</f>
        <v>-8264.85967640189</v>
      </c>
      <c r="V72" s="61" t="n">
        <f aca="false">$E70+NPV(Disc,$F70:V70)</f>
        <v>-8050.37864541135</v>
      </c>
      <c r="W72" s="61" t="n">
        <f aca="false">$E70+NPV(Disc,$F70:W70)</f>
        <v>-7781.94582644949</v>
      </c>
      <c r="X72" s="61" t="n">
        <f aca="false">$E70+NPV(Disc,$F70:X70)</f>
        <v>-7550.81382311245</v>
      </c>
      <c r="Y72" s="61" t="n">
        <f aca="false">$E70+NPV(Disc,$F70:Y70)</f>
        <v>-7351.37746720303</v>
      </c>
      <c r="Z72" s="61" t="n">
        <f aca="false">$E70+NPV(Disc,$F70:Z70)</f>
        <v>-4665.71763766495</v>
      </c>
      <c r="AA72" s="302"/>
      <c r="AB72" s="302"/>
    </row>
    <row r="73" customFormat="false" ht="12.75" hidden="false" customHeight="false" outlineLevel="0" collapsed="false">
      <c r="A73" s="461"/>
      <c r="B73" s="39" t="s">
        <v>504</v>
      </c>
      <c r="C73" s="39"/>
      <c r="D73" s="478"/>
      <c r="E73" s="95" t="e">
        <f aca="false">IRR($E70:E70,-0.9)</f>
        <v>#N/A</v>
      </c>
      <c r="F73" s="95" t="e">
        <f aca="false">IRR($E70:F70,-0.9)</f>
        <v>#N/A</v>
      </c>
      <c r="G73" s="95" t="n">
        <f aca="false">IRR($E70:G70,-0.9)</f>
        <v>-0.648667120982833</v>
      </c>
      <c r="H73" s="95" t="n">
        <f aca="false">IRR($E70:H70,-0.9)</f>
        <v>-0.532151728061463</v>
      </c>
      <c r="I73" s="95" t="n">
        <f aca="false">IRR($E70:I70,-0.9)</f>
        <v>-0.382808781667171</v>
      </c>
      <c r="J73" s="95" t="n">
        <f aca="false">IRR($E70:J70,-0.9)</f>
        <v>-0.298121886834041</v>
      </c>
      <c r="K73" s="95" t="n">
        <f aca="false">IRR($E70:K70,-0.9)</f>
        <v>-0.207614693727481</v>
      </c>
      <c r="L73" s="95" t="n">
        <f aca="false">IRR($E70:L70,-0.9)</f>
        <v>-0.190836119448537</v>
      </c>
      <c r="M73" s="95" t="e">
        <f aca="false">IRR($E70:M70,-0.9)</f>
        <v>#N/A</v>
      </c>
      <c r="N73" s="95" t="e">
        <f aca="false">IRR($E70:N70,-0.9)</f>
        <v>#N/A</v>
      </c>
      <c r="O73" s="95" t="e">
        <f aca="false">IRR($E70:O70,-0.9)</f>
        <v>#N/A</v>
      </c>
      <c r="P73" s="95" t="e">
        <f aca="false">IRR($E70:P70,-0.9)</f>
        <v>#N/A</v>
      </c>
      <c r="Q73" s="95" t="e">
        <f aca="false">IRR($E70:Q70,-0.9)</f>
        <v>#N/A</v>
      </c>
      <c r="R73" s="95" t="e">
        <f aca="false">IRR($E70:R70,-0.9)</f>
        <v>#N/A</v>
      </c>
      <c r="S73" s="95" t="e">
        <f aca="false">IRR($E70:S70,-0.9)</f>
        <v>#N/A</v>
      </c>
      <c r="T73" s="95" t="e">
        <f aca="false">IRR($E70:T70,-0.9)</f>
        <v>#N/A</v>
      </c>
      <c r="U73" s="95" t="e">
        <f aca="false">IRR($E70:U70,-0.9)</f>
        <v>#N/A</v>
      </c>
      <c r="V73" s="95" t="e">
        <f aca="false">IRR($E70:V70,-0.9)</f>
        <v>#N/A</v>
      </c>
      <c r="W73" s="95" t="e">
        <f aca="false">IRR($E70:W70,-0.9)</f>
        <v>#N/A</v>
      </c>
      <c r="X73" s="95" t="e">
        <f aca="false">IRR($E70:X70,-0.9)</f>
        <v>#N/A</v>
      </c>
      <c r="Y73" s="95" t="e">
        <f aca="false">IRR($E70:Y70,-0.9)</f>
        <v>#N/A</v>
      </c>
      <c r="Z73" s="95" t="e">
        <f aca="false">IRR($E70:Z70,-0.9)</f>
        <v>#N/A</v>
      </c>
      <c r="AA73" s="302"/>
      <c r="AB73" s="467" t="n">
        <f aca="false">IRR($E70:Z70)</f>
        <v>0.154098798888962</v>
      </c>
    </row>
    <row r="74" customFormat="false" ht="12.75" hidden="false" customHeight="false" outlineLevel="0" collapsed="false">
      <c r="A74" s="461"/>
      <c r="B74" s="39"/>
      <c r="C74" s="39"/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302"/>
      <c r="AB74" s="302"/>
    </row>
    <row r="75" customFormat="false" ht="12.75" hidden="false" customHeight="false" outlineLevel="0" collapsed="false">
      <c r="A75" s="461"/>
      <c r="B75" s="470" t="str">
        <f aca="false">CONCATENATE("Enron NPV w/ Subordinated Debt @ ",TEXT(Disc,"0.0%"))</f>
        <v>Enron NPV w/ Subordinated Debt @ 19.0%</v>
      </c>
      <c r="C75" s="471" t="n">
        <f aca="false">AB70</f>
        <v>-4665.71763766495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302"/>
      <c r="AB75" s="302"/>
    </row>
    <row r="76" customFormat="false" ht="12.75" hidden="false" customHeight="false" outlineLevel="0" collapsed="false">
      <c r="A76" s="461"/>
      <c r="B76" s="472" t="s">
        <v>534</v>
      </c>
      <c r="C76" s="521" t="n">
        <f aca="false">AB73</f>
        <v>0.154098798888962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302"/>
      <c r="AB76" s="302"/>
    </row>
    <row r="77" customFormat="false" ht="13.5" hidden="false" customHeight="false" outlineLevel="0" collapsed="false">
      <c r="A77" s="280"/>
      <c r="B77" s="474" t="s">
        <v>526</v>
      </c>
      <c r="C77" s="475" t="n">
        <f aca="false">MAX(E77:Z77)</f>
        <v>0</v>
      </c>
      <c r="D77" s="529"/>
      <c r="E77" s="529" t="n">
        <f aca="false">IF(AND(D72&lt;0,E72&gt;0),E$6,0)</f>
        <v>0</v>
      </c>
      <c r="F77" s="529" t="n">
        <f aca="false">IF(AND(E72&lt;0,F72&gt;0),F$6,0)</f>
        <v>0</v>
      </c>
      <c r="G77" s="529" t="n">
        <f aca="false">IF(AND(F72&lt;0,G72&gt;0),G$6,0)</f>
        <v>0</v>
      </c>
      <c r="H77" s="529" t="n">
        <f aca="false">IF(AND(G72&lt;0,H72&gt;0),H$6,0)</f>
        <v>0</v>
      </c>
      <c r="I77" s="529" t="n">
        <f aca="false">IF(AND(H72&lt;0,I72&gt;0),I$6,0)</f>
        <v>0</v>
      </c>
      <c r="J77" s="529" t="n">
        <f aca="false">IF(AND(I72&lt;0,J72&gt;0),J$6,0)</f>
        <v>0</v>
      </c>
      <c r="K77" s="529" t="n">
        <f aca="false">IF(AND(J72&lt;0,K72&gt;0),K$6,0)</f>
        <v>0</v>
      </c>
      <c r="L77" s="529" t="n">
        <f aca="false">IF(AND(K72&lt;0,L72&gt;0),L$6,0)</f>
        <v>0</v>
      </c>
      <c r="M77" s="529" t="n">
        <f aca="false">IF(AND(L72&lt;0,M72&gt;0),M$6,0)</f>
        <v>0</v>
      </c>
      <c r="N77" s="529" t="n">
        <f aca="false">IF(AND(M72&lt;0,N72&gt;0),N$6,0)</f>
        <v>0</v>
      </c>
      <c r="O77" s="529" t="n">
        <f aca="false">IF(AND(N72&lt;0,O72&gt;0),O$6,0)</f>
        <v>0</v>
      </c>
      <c r="P77" s="529" t="n">
        <f aca="false">IF(AND(O72&lt;0,P72&gt;0),P$6,0)</f>
        <v>0</v>
      </c>
      <c r="Q77" s="529" t="n">
        <f aca="false">IF(AND(P72&lt;0,Q72&gt;0),Q$6,0)</f>
        <v>0</v>
      </c>
      <c r="R77" s="529" t="n">
        <f aca="false">IF(AND(Q72&lt;0,R72&gt;0),R$6,0)</f>
        <v>0</v>
      </c>
      <c r="S77" s="529" t="n">
        <f aca="false">IF(AND(R72&lt;0,S72&gt;0),S$6,0)</f>
        <v>0</v>
      </c>
      <c r="T77" s="529" t="n">
        <f aca="false">IF(AND(S72&lt;0,T72&gt;0),T$6,0)</f>
        <v>0</v>
      </c>
      <c r="U77" s="529" t="n">
        <f aca="false">IF(AND(T72&lt;0,U72&gt;0),U$6,0)</f>
        <v>0</v>
      </c>
      <c r="V77" s="529" t="n">
        <f aca="false">IF(AND(U72&lt;0,V72&gt;0),V$6,0)</f>
        <v>0</v>
      </c>
      <c r="W77" s="529" t="n">
        <f aca="false">IF(AND(V72&lt;0,W72&gt;0),W$6,0)</f>
        <v>0</v>
      </c>
      <c r="X77" s="529" t="n">
        <f aca="false">IF(AND(W72&lt;0,X72&gt;0),X$6,0)</f>
        <v>0</v>
      </c>
      <c r="Y77" s="529" t="n">
        <f aca="false">IF(AND(X72&lt;0,Y72&gt;0),Y$6,0)</f>
        <v>0</v>
      </c>
      <c r="Z77" s="529" t="n">
        <f aca="false">IF(AND(Y72&lt;0,Z72&gt;0),Z$6,0)</f>
        <v>0</v>
      </c>
      <c r="AA77" s="362"/>
      <c r="AB77" s="362"/>
    </row>
    <row r="78" customFormat="false" ht="13.5" hidden="false" customHeight="false" outlineLevel="0" collapsed="false">
      <c r="A78" s="47"/>
      <c r="B78" s="478"/>
      <c r="C78" s="478"/>
      <c r="D78" s="478"/>
      <c r="E78" s="478"/>
      <c r="F78" s="478"/>
      <c r="G78" s="478"/>
      <c r="H78" s="478"/>
      <c r="I78" s="478"/>
      <c r="J78" s="478"/>
      <c r="K78" s="478"/>
      <c r="L78" s="478"/>
      <c r="M78" s="478"/>
      <c r="N78" s="478"/>
      <c r="O78" s="478"/>
      <c r="P78" s="478"/>
      <c r="Q78" s="478"/>
      <c r="R78" s="478"/>
      <c r="S78" s="478"/>
      <c r="T78" s="478"/>
      <c r="U78" s="478"/>
      <c r="V78" s="478"/>
      <c r="W78" s="478"/>
      <c r="X78" s="478"/>
      <c r="Y78" s="478"/>
      <c r="Z78" s="478"/>
      <c r="AB78" s="39"/>
    </row>
    <row r="79" customFormat="false" ht="12.75" hidden="false" customHeight="false" outlineLevel="0" collapsed="false">
      <c r="A79" s="458" t="str">
        <f aca="false">CONCATENATE(Assm!$H$62," Returns")</f>
        <v>Shell Returns</v>
      </c>
      <c r="B79" s="26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88"/>
      <c r="AB79" s="288"/>
    </row>
    <row r="80" customFormat="false" ht="12.75" hidden="false" customHeight="false" outlineLevel="0" collapsed="false">
      <c r="A80" s="530" t="n">
        <f aca="false">IF(Assm!$L$66=1,Assm!$K$70,Assm!$K$62)</f>
        <v>0.3</v>
      </c>
      <c r="B80" s="39" t="s">
        <v>498</v>
      </c>
      <c r="C80" s="39"/>
      <c r="D80" s="329"/>
      <c r="E80" s="61" t="n">
        <f aca="false">E10*$A80</f>
        <v>-3111.700911</v>
      </c>
      <c r="F80" s="61" t="n">
        <f aca="false">F10*$A80</f>
        <v>-8888.299092</v>
      </c>
      <c r="G80" s="61" t="n">
        <f aca="false">G10*$A80</f>
        <v>-6000</v>
      </c>
      <c r="H80" s="61" t="n">
        <f aca="false">H10*$A80</f>
        <v>-0</v>
      </c>
      <c r="I80" s="61" t="n">
        <f aca="false">I10*$A80</f>
        <v>-0</v>
      </c>
      <c r="J80" s="61" t="n">
        <f aca="false">J10*$A80</f>
        <v>-0</v>
      </c>
      <c r="K80" s="61" t="n">
        <f aca="false">K10*$A80</f>
        <v>-0</v>
      </c>
      <c r="L80" s="61" t="n">
        <f aca="false">L10*$A80</f>
        <v>-0</v>
      </c>
      <c r="M80" s="61" t="n">
        <f aca="false">M10*$A80</f>
        <v>-0</v>
      </c>
      <c r="N80" s="61" t="n">
        <f aca="false">N10*$A80</f>
        <v>-0</v>
      </c>
      <c r="O80" s="61" t="n">
        <f aca="false">O10*$A80</f>
        <v>-0</v>
      </c>
      <c r="P80" s="61" t="n">
        <f aca="false">P10*$A80</f>
        <v>-0</v>
      </c>
      <c r="Q80" s="61" t="n">
        <f aca="false">Q10*$A80</f>
        <v>-0</v>
      </c>
      <c r="R80" s="61" t="n">
        <f aca="false">R10*$A80</f>
        <v>-0</v>
      </c>
      <c r="S80" s="61" t="n">
        <f aca="false">S10*$A80</f>
        <v>-0</v>
      </c>
      <c r="T80" s="61" t="n">
        <f aca="false">T10*$A80</f>
        <v>-0</v>
      </c>
      <c r="U80" s="61" t="n">
        <f aca="false">U10*$A80</f>
        <v>-0</v>
      </c>
      <c r="V80" s="61" t="n">
        <f aca="false">V10*$A80</f>
        <v>-0</v>
      </c>
      <c r="W80" s="61" t="n">
        <f aca="false">W10*$A80</f>
        <v>-0</v>
      </c>
      <c r="X80" s="61" t="n">
        <f aca="false">X10*$A80</f>
        <v>-0</v>
      </c>
      <c r="Y80" s="61" t="n">
        <f aca="false">Y10*$A80</f>
        <v>-0</v>
      </c>
      <c r="Z80" s="61" t="n">
        <f aca="false">Z10*$A80</f>
        <v>-0</v>
      </c>
      <c r="AA80" s="309" t="n">
        <f aca="false">SUM(D80:Z80)</f>
        <v>-18000.000003</v>
      </c>
      <c r="AB80" s="309" t="n">
        <f aca="false">$E80+NPV(Disc,$F80:Z80)</f>
        <v>-14817.8487250527</v>
      </c>
    </row>
    <row r="81" customFormat="false" ht="12.75" hidden="false" customHeight="false" outlineLevel="0" collapsed="false">
      <c r="A81" s="530" t="n">
        <f aca="false">IF(Assm!$L$66=1,Assm!$L$70,Assm!$L$62)</f>
        <v>0.3</v>
      </c>
      <c r="B81" s="39" t="s">
        <v>499</v>
      </c>
      <c r="C81" s="39"/>
      <c r="D81" s="329"/>
      <c r="E81" s="61" t="n">
        <f aca="false">E$11*$A81</f>
        <v>0</v>
      </c>
      <c r="F81" s="61" t="n">
        <f aca="false">F$11*$A81</f>
        <v>0</v>
      </c>
      <c r="G81" s="61" t="n">
        <f aca="false">G$11*$A81</f>
        <v>0</v>
      </c>
      <c r="H81" s="61" t="n">
        <f aca="false">H$11*$A81</f>
        <v>0</v>
      </c>
      <c r="I81" s="61" t="n">
        <f aca="false">I$11*$A81</f>
        <v>0</v>
      </c>
      <c r="J81" s="61" t="n">
        <f aca="false">J$11*$A81</f>
        <v>0</v>
      </c>
      <c r="K81" s="61" t="n">
        <f aca="false">K$11*$A81</f>
        <v>0</v>
      </c>
      <c r="L81" s="61" t="n">
        <f aca="false">L$11*$A81</f>
        <v>0</v>
      </c>
      <c r="M81" s="61" t="n">
        <f aca="false">M$11*$A81</f>
        <v>576.694023587785</v>
      </c>
      <c r="N81" s="61" t="n">
        <f aca="false">N$11*$A81</f>
        <v>2143.84587748888</v>
      </c>
      <c r="O81" s="61" t="n">
        <f aca="false">O$11*$A81</f>
        <v>2423.00185913808</v>
      </c>
      <c r="P81" s="61" t="n">
        <f aca="false">P$11*$A81</f>
        <v>2872.29492483912</v>
      </c>
      <c r="Q81" s="61" t="n">
        <f aca="false">Q$11*$A81</f>
        <v>3169.68954099385</v>
      </c>
      <c r="R81" s="61" t="n">
        <f aca="false">R$11*$A81</f>
        <v>3535.51008623787</v>
      </c>
      <c r="S81" s="61" t="n">
        <f aca="false">S$11*$A81</f>
        <v>4112.60118105558</v>
      </c>
      <c r="T81" s="61" t="n">
        <f aca="false">T$11*$A81</f>
        <v>3978.51284191015</v>
      </c>
      <c r="U81" s="61" t="n">
        <f aca="false">U$11*$A81</f>
        <v>4715.46647377635</v>
      </c>
      <c r="V81" s="61" t="n">
        <f aca="false">V$11*$A81</f>
        <v>5096.86805491229</v>
      </c>
      <c r="W81" s="61" t="n">
        <f aca="false">W$11*$A81</f>
        <v>5364.18097844821</v>
      </c>
      <c r="X81" s="61" t="n">
        <f aca="false">X$11*$A81</f>
        <v>5594.11842210685</v>
      </c>
      <c r="Y81" s="61" t="n">
        <f aca="false">Y$11*$A81</f>
        <v>5843.3275008624</v>
      </c>
      <c r="Z81" s="61" t="n">
        <f aca="false">Z$11*$A81</f>
        <v>19585.6014456744</v>
      </c>
      <c r="AA81" s="309" t="n">
        <f aca="false">SUM(D81:Z81)</f>
        <v>69011.7132110318</v>
      </c>
      <c r="AB81" s="309" t="n">
        <f aca="false">$E81+NPV(Disc,$F81:Z81)</f>
        <v>4538.76274184793</v>
      </c>
    </row>
    <row r="82" customFormat="false" ht="12.75" hidden="false" customHeight="false" outlineLevel="0" collapsed="false">
      <c r="A82" s="461"/>
      <c r="B82" s="39" t="s">
        <v>508</v>
      </c>
      <c r="C82" s="531" t="n">
        <f aca="false">Wh_Div_NR</f>
        <v>0.125</v>
      </c>
      <c r="D82" s="532"/>
      <c r="E82" s="61" t="n">
        <f aca="false">-E81*$C82</f>
        <v>-0</v>
      </c>
      <c r="F82" s="61" t="n">
        <f aca="false">-F81*$C82</f>
        <v>-0</v>
      </c>
      <c r="G82" s="61" t="n">
        <f aca="false">-G81*$C82</f>
        <v>-0</v>
      </c>
      <c r="H82" s="61" t="n">
        <f aca="false">-H81*$C82</f>
        <v>-0</v>
      </c>
      <c r="I82" s="61" t="n">
        <f aca="false">-I81*$C82</f>
        <v>-0</v>
      </c>
      <c r="J82" s="61" t="n">
        <f aca="false">-J81*$C82</f>
        <v>-0</v>
      </c>
      <c r="K82" s="61" t="n">
        <f aca="false">-K81*$C82</f>
        <v>-0</v>
      </c>
      <c r="L82" s="61" t="n">
        <f aca="false">-L81*$C82</f>
        <v>-0</v>
      </c>
      <c r="M82" s="61" t="n">
        <f aca="false">-M81*$C82</f>
        <v>-72.0867529484731</v>
      </c>
      <c r="N82" s="61" t="n">
        <f aca="false">-N81*$C82</f>
        <v>-267.98073468611</v>
      </c>
      <c r="O82" s="61" t="n">
        <f aca="false">-O81*$C82</f>
        <v>-302.87523239226</v>
      </c>
      <c r="P82" s="61" t="n">
        <f aca="false">-P81*$C82</f>
        <v>-359.03686560489</v>
      </c>
      <c r="Q82" s="61" t="n">
        <f aca="false">-Q81*$C82</f>
        <v>-396.211192624231</v>
      </c>
      <c r="R82" s="61" t="n">
        <f aca="false">-R81*$C82</f>
        <v>-441.938760779733</v>
      </c>
      <c r="S82" s="61" t="n">
        <f aca="false">-S81*$C82</f>
        <v>-514.075147631948</v>
      </c>
      <c r="T82" s="61" t="n">
        <f aca="false">-T81*$C82</f>
        <v>-497.314105238769</v>
      </c>
      <c r="U82" s="61" t="n">
        <f aca="false">-U81*$C82</f>
        <v>-589.433309222044</v>
      </c>
      <c r="V82" s="61" t="n">
        <f aca="false">-V81*$C82</f>
        <v>-637.108506864036</v>
      </c>
      <c r="W82" s="61" t="n">
        <f aca="false">-W81*$C82</f>
        <v>-670.522622306026</v>
      </c>
      <c r="X82" s="61" t="n">
        <f aca="false">-X81*$C82</f>
        <v>-699.264802763356</v>
      </c>
      <c r="Y82" s="61" t="n">
        <f aca="false">-Y81*$C82</f>
        <v>-730.4159376078</v>
      </c>
      <c r="Z82" s="61" t="n">
        <f aca="false">-Z81*$C82</f>
        <v>-2448.2001807093</v>
      </c>
      <c r="AA82" s="309" t="n">
        <f aca="false">SUM(D82:Z82)</f>
        <v>-8626.46415137898</v>
      </c>
      <c r="AB82" s="309" t="n">
        <f aca="false">$E82+NPV(Disc,$F82:Z82)</f>
        <v>-567.345342730991</v>
      </c>
      <c r="AD82" s="395"/>
      <c r="AE82" s="395"/>
      <c r="AF82" s="395"/>
      <c r="AG82" s="395"/>
      <c r="AH82" s="395"/>
      <c r="AI82" s="395"/>
      <c r="AJ82" s="395"/>
      <c r="AK82" s="395"/>
      <c r="AL82" s="395"/>
      <c r="AM82" s="395"/>
      <c r="AN82" s="395"/>
      <c r="AO82" s="395"/>
      <c r="AP82" s="395"/>
      <c r="AQ82" s="395"/>
      <c r="AR82" s="395"/>
      <c r="AS82" s="395"/>
      <c r="AT82" s="395"/>
      <c r="AU82" s="395"/>
      <c r="AV82" s="395"/>
      <c r="AW82" s="395"/>
      <c r="AX82" s="395"/>
      <c r="AY82" s="395"/>
      <c r="AZ82" s="395"/>
      <c r="BA82" s="395"/>
      <c r="BB82" s="395"/>
      <c r="BC82" s="395"/>
      <c r="BD82" s="395"/>
      <c r="BE82" s="395"/>
      <c r="BF82" s="395"/>
      <c r="BG82" s="395"/>
      <c r="BH82" s="395"/>
      <c r="BI82" s="395"/>
      <c r="BJ82" s="395"/>
      <c r="BK82" s="395"/>
      <c r="BL82" s="395"/>
      <c r="BM82" s="395"/>
      <c r="BN82" s="395"/>
      <c r="BO82" s="395"/>
      <c r="BP82" s="395"/>
      <c r="BQ82" s="395"/>
      <c r="BR82" s="395"/>
      <c r="BS82" s="395"/>
      <c r="BT82" s="395"/>
      <c r="BU82" s="395"/>
      <c r="BV82" s="395"/>
      <c r="BW82" s="395"/>
      <c r="BX82" s="395"/>
      <c r="BY82" s="395"/>
      <c r="BZ82" s="395"/>
      <c r="CA82" s="395"/>
      <c r="CB82" s="395"/>
      <c r="CC82" s="395"/>
      <c r="CD82" s="395"/>
      <c r="CE82" s="395"/>
      <c r="CF82" s="395"/>
      <c r="CG82" s="395"/>
      <c r="CH82" s="395"/>
      <c r="CI82" s="395"/>
      <c r="CJ82" s="395"/>
      <c r="CK82" s="395"/>
      <c r="CL82" s="395"/>
      <c r="CM82" s="395"/>
      <c r="CN82" s="395"/>
      <c r="CO82" s="395"/>
      <c r="CP82" s="395"/>
      <c r="CQ82" s="395"/>
      <c r="CR82" s="395"/>
      <c r="CS82" s="395"/>
      <c r="CT82" s="395"/>
      <c r="CU82" s="395"/>
      <c r="CV82" s="395"/>
      <c r="CW82" s="395"/>
      <c r="CX82" s="395"/>
      <c r="CY82" s="395"/>
      <c r="CZ82" s="395"/>
      <c r="DA82" s="395"/>
      <c r="DB82" s="395"/>
      <c r="DC82" s="395"/>
      <c r="DD82" s="395"/>
      <c r="DE82" s="395"/>
      <c r="DF82" s="395"/>
      <c r="DG82" s="395"/>
      <c r="DH82" s="395"/>
      <c r="DI82" s="395"/>
      <c r="DJ82" s="395"/>
      <c r="DK82" s="395"/>
      <c r="DL82" s="395"/>
      <c r="DM82" s="395"/>
      <c r="DN82" s="395"/>
      <c r="DO82" s="395"/>
      <c r="DP82" s="395"/>
      <c r="DQ82" s="395"/>
      <c r="DR82" s="395"/>
      <c r="DS82" s="395"/>
      <c r="DT82" s="395"/>
      <c r="DU82" s="395"/>
      <c r="DV82" s="395"/>
      <c r="DW82" s="395"/>
      <c r="DX82" s="395"/>
      <c r="DY82" s="395"/>
      <c r="DZ82" s="395"/>
      <c r="EA82" s="395"/>
      <c r="EB82" s="395"/>
      <c r="EC82" s="395"/>
      <c r="ED82" s="395"/>
      <c r="EE82" s="395"/>
      <c r="EF82" s="395"/>
      <c r="EG82" s="395"/>
      <c r="EH82" s="395"/>
      <c r="EI82" s="395"/>
      <c r="EJ82" s="395"/>
      <c r="EK82" s="395"/>
      <c r="EL82" s="395"/>
      <c r="EM82" s="395"/>
      <c r="EN82" s="395"/>
      <c r="EO82" s="395"/>
      <c r="EP82" s="395"/>
      <c r="EQ82" s="395"/>
      <c r="ER82" s="395"/>
      <c r="ES82" s="395"/>
      <c r="ET82" s="395"/>
      <c r="EU82" s="395"/>
      <c r="EV82" s="395"/>
      <c r="EW82" s="395"/>
      <c r="EX82" s="395"/>
      <c r="EY82" s="395"/>
      <c r="EZ82" s="395"/>
      <c r="FA82" s="395"/>
      <c r="FB82" s="395"/>
      <c r="FC82" s="395"/>
      <c r="FD82" s="395"/>
      <c r="FE82" s="395"/>
      <c r="FF82" s="395"/>
      <c r="FG82" s="395"/>
      <c r="FH82" s="395"/>
      <c r="FI82" s="395"/>
      <c r="FJ82" s="395"/>
      <c r="FK82" s="395"/>
      <c r="FL82" s="395"/>
      <c r="FM82" s="395"/>
      <c r="FN82" s="395"/>
      <c r="FO82" s="395"/>
      <c r="FP82" s="395"/>
      <c r="FQ82" s="395"/>
      <c r="FR82" s="395"/>
      <c r="FS82" s="395"/>
      <c r="FT82" s="395"/>
      <c r="FU82" s="395"/>
      <c r="FV82" s="395"/>
      <c r="FW82" s="395"/>
      <c r="FX82" s="395"/>
      <c r="FY82" s="395"/>
      <c r="FZ82" s="395"/>
      <c r="GA82" s="395"/>
      <c r="GB82" s="395"/>
      <c r="GC82" s="395"/>
      <c r="GD82" s="395"/>
      <c r="GE82" s="395"/>
      <c r="GF82" s="395"/>
      <c r="GG82" s="395"/>
      <c r="GH82" s="395"/>
      <c r="GI82" s="395"/>
      <c r="GJ82" s="395"/>
      <c r="GK82" s="395"/>
      <c r="GL82" s="395"/>
      <c r="GM82" s="395"/>
      <c r="GN82" s="395"/>
      <c r="GO82" s="395"/>
      <c r="GP82" s="395"/>
      <c r="GQ82" s="395"/>
      <c r="GR82" s="395"/>
      <c r="GS82" s="395"/>
      <c r="GT82" s="395"/>
      <c r="GU82" s="395"/>
      <c r="GV82" s="395"/>
      <c r="GW82" s="395"/>
      <c r="GX82" s="395"/>
      <c r="GY82" s="395"/>
      <c r="GZ82" s="395"/>
      <c r="HA82" s="395"/>
      <c r="HB82" s="395"/>
      <c r="HC82" s="395"/>
      <c r="HD82" s="395"/>
      <c r="HE82" s="395"/>
      <c r="HF82" s="395"/>
      <c r="HG82" s="395"/>
      <c r="HH82" s="395"/>
      <c r="HI82" s="395"/>
      <c r="HJ82" s="395"/>
      <c r="HK82" s="395"/>
      <c r="HL82" s="395"/>
      <c r="HM82" s="395"/>
      <c r="HN82" s="395"/>
      <c r="HO82" s="395"/>
      <c r="HP82" s="395"/>
      <c r="HQ82" s="395"/>
      <c r="HR82" s="395"/>
      <c r="HS82" s="395"/>
      <c r="HT82" s="395"/>
      <c r="HU82" s="395"/>
      <c r="HV82" s="395"/>
      <c r="HW82" s="395"/>
      <c r="HX82" s="395"/>
      <c r="HY82" s="395"/>
      <c r="HZ82" s="395"/>
      <c r="IA82" s="395"/>
      <c r="IB82" s="395"/>
      <c r="IC82" s="395"/>
      <c r="ID82" s="395"/>
      <c r="IE82" s="395"/>
      <c r="IF82" s="395"/>
      <c r="IG82" s="395"/>
      <c r="IH82" s="395"/>
      <c r="II82" s="395"/>
      <c r="IJ82" s="395"/>
      <c r="IK82" s="395"/>
      <c r="IL82" s="395"/>
      <c r="IM82" s="395"/>
      <c r="IN82" s="395"/>
      <c r="IO82" s="395"/>
      <c r="IP82" s="395"/>
      <c r="IQ82" s="395"/>
      <c r="IR82" s="395"/>
      <c r="IS82" s="395"/>
      <c r="IT82" s="395"/>
      <c r="IU82" s="395"/>
      <c r="IV82" s="395"/>
      <c r="IW82" s="395"/>
    </row>
    <row r="83" customFormat="false" ht="12.75" hidden="false" customHeight="false" outlineLevel="0" collapsed="false">
      <c r="A83" s="461"/>
      <c r="B83" s="39" t="s">
        <v>501</v>
      </c>
      <c r="C83" s="153"/>
      <c r="D83" s="462"/>
      <c r="E83" s="218" t="n">
        <f aca="false">E$13*$A81</f>
        <v>0</v>
      </c>
      <c r="F83" s="218" t="n">
        <f aca="false">F$13*$A81</f>
        <v>0</v>
      </c>
      <c r="G83" s="218" t="n">
        <f aca="false">G$13*$A81</f>
        <v>0</v>
      </c>
      <c r="H83" s="218" t="n">
        <f aca="false">H$13*$A81</f>
        <v>0</v>
      </c>
      <c r="I83" s="218" t="n">
        <f aca="false">I$13*$A81</f>
        <v>0</v>
      </c>
      <c r="J83" s="218" t="n">
        <f aca="false">J$13*$A81</f>
        <v>0</v>
      </c>
      <c r="K83" s="218" t="n">
        <f aca="false">K$13*$A81</f>
        <v>0</v>
      </c>
      <c r="L83" s="218" t="n">
        <f aca="false">L$13*$A81</f>
        <v>0</v>
      </c>
      <c r="M83" s="218" t="n">
        <f aca="false">M$13*$A81</f>
        <v>0</v>
      </c>
      <c r="N83" s="218" t="n">
        <f aca="false">N$13*$A81</f>
        <v>0</v>
      </c>
      <c r="O83" s="218" t="n">
        <f aca="false">O$13*$A81</f>
        <v>0</v>
      </c>
      <c r="P83" s="218" t="n">
        <f aca="false">P$13*$A81</f>
        <v>0</v>
      </c>
      <c r="Q83" s="218" t="n">
        <f aca="false">Q$13*$A81</f>
        <v>0</v>
      </c>
      <c r="R83" s="218" t="n">
        <f aca="false">R$13*$A81</f>
        <v>0</v>
      </c>
      <c r="S83" s="218" t="n">
        <f aca="false">S$13*$A81</f>
        <v>0</v>
      </c>
      <c r="T83" s="218" t="n">
        <f aca="false">T$13*$A81</f>
        <v>0</v>
      </c>
      <c r="U83" s="218" t="n">
        <f aca="false">U$13*$A81</f>
        <v>0</v>
      </c>
      <c r="V83" s="218" t="n">
        <f aca="false">V$13*$A81</f>
        <v>0</v>
      </c>
      <c r="W83" s="218" t="n">
        <f aca="false">W$13*$A81</f>
        <v>0</v>
      </c>
      <c r="X83" s="218" t="n">
        <f aca="false">X$13*$A81</f>
        <v>0</v>
      </c>
      <c r="Y83" s="218" t="n">
        <f aca="false">Y$13*$A81</f>
        <v>0</v>
      </c>
      <c r="Z83" s="218" t="n">
        <f aca="false">Z$13*$A81</f>
        <v>103759.127594058</v>
      </c>
      <c r="AA83" s="309" t="n">
        <f aca="false">SUM(D83:Z83)</f>
        <v>103759.127594058</v>
      </c>
      <c r="AB83" s="309" t="n">
        <f aca="false">$E83+NPV(Disc,$F83:Z83)</f>
        <v>2688.68622591671</v>
      </c>
    </row>
    <row r="84" customFormat="false" ht="12.75" hidden="false" customHeight="false" outlineLevel="0" collapsed="false">
      <c r="A84" s="461"/>
      <c r="B84" s="39" t="s">
        <v>509</v>
      </c>
      <c r="C84" s="39"/>
      <c r="D84" s="532"/>
      <c r="E84" s="61" t="n">
        <f aca="false">E$12*$A81</f>
        <v>0</v>
      </c>
      <c r="F84" s="61" t="n">
        <f aca="false">F$12*$A81</f>
        <v>0</v>
      </c>
      <c r="G84" s="61" t="n">
        <f aca="false">G$12*$A81</f>
        <v>0</v>
      </c>
      <c r="H84" s="61" t="n">
        <f aca="false">H$12*$A81</f>
        <v>1808.40622459731</v>
      </c>
      <c r="I84" s="61" t="n">
        <f aca="false">I$12*$A81</f>
        <v>1570.45573302378</v>
      </c>
      <c r="J84" s="61" t="n">
        <f aca="false">J$12*$A81</f>
        <v>1163.93621688649</v>
      </c>
      <c r="K84" s="61" t="n">
        <f aca="false">K$12*$A81</f>
        <v>1676.37095952616</v>
      </c>
      <c r="L84" s="61" t="n">
        <f aca="false">L$12*$A81</f>
        <v>519.516472972931</v>
      </c>
      <c r="M84" s="61" t="n">
        <f aca="false">M$12*$A81</f>
        <v>1043.06813115303</v>
      </c>
      <c r="N84" s="61" t="n">
        <f aca="false">N$12*$A81</f>
        <v>-133.083281416039</v>
      </c>
      <c r="O84" s="61" t="n">
        <f aca="false">O$12*$A81</f>
        <v>718.992932536079</v>
      </c>
      <c r="P84" s="61" t="n">
        <f aca="false">P$12*$A81</f>
        <v>1638.5968034162</v>
      </c>
      <c r="Q84" s="61" t="n">
        <f aca="false">Q$12*$A81</f>
        <v>1747.82384469188</v>
      </c>
      <c r="R84" s="61" t="n">
        <f aca="false">R$12*$A81</f>
        <v>1075.87314167885</v>
      </c>
      <c r="S84" s="61" t="n">
        <f aca="false">S$12*$A81</f>
        <v>-632.284024990926</v>
      </c>
      <c r="T84" s="61" t="n">
        <f aca="false">T$12*$A81</f>
        <v>-519.330463495391</v>
      </c>
      <c r="U84" s="61" t="n">
        <f aca="false">U$12*$A81</f>
        <v>-564.882840197629</v>
      </c>
      <c r="V84" s="61" t="n">
        <f aca="false">V$12*$A81</f>
        <v>130.762988204884</v>
      </c>
      <c r="W84" s="61" t="n">
        <f aca="false">W$12*$A81</f>
        <v>1904.68766949202</v>
      </c>
      <c r="X84" s="61" t="n">
        <f aca="false">X$12*$A81</f>
        <v>1916.7896402109</v>
      </c>
      <c r="Y84" s="61" t="n">
        <f aca="false">Y$12*$A81</f>
        <v>1929.90590751382</v>
      </c>
      <c r="Z84" s="61" t="n">
        <f aca="false">Z$12*$A81</f>
        <v>-16991.623255823</v>
      </c>
      <c r="AA84" s="309" t="n">
        <f aca="false">SUM(D84:Z84)</f>
        <v>3.98279998137514</v>
      </c>
      <c r="AB84" s="309" t="n">
        <f aca="false">$E84+NPV(Disc,$F84:Z84)</f>
        <v>3667.55333790855</v>
      </c>
      <c r="AD84" s="395"/>
      <c r="AE84" s="395"/>
      <c r="AF84" s="395"/>
      <c r="AG84" s="395"/>
      <c r="AH84" s="395"/>
      <c r="AI84" s="395"/>
      <c r="AJ84" s="395"/>
      <c r="AK84" s="395"/>
      <c r="AL84" s="395"/>
      <c r="AM84" s="395"/>
      <c r="AN84" s="395"/>
      <c r="AO84" s="395"/>
      <c r="AP84" s="395"/>
      <c r="AQ84" s="395"/>
      <c r="AR84" s="395"/>
      <c r="AS84" s="395"/>
      <c r="AT84" s="395"/>
      <c r="AU84" s="395"/>
      <c r="AV84" s="395"/>
      <c r="AW84" s="395"/>
      <c r="AX84" s="395"/>
      <c r="AY84" s="395"/>
      <c r="AZ84" s="395"/>
      <c r="BA84" s="395"/>
      <c r="BB84" s="395"/>
      <c r="BC84" s="395"/>
      <c r="BD84" s="395"/>
      <c r="BE84" s="395"/>
      <c r="BF84" s="395"/>
      <c r="BG84" s="395"/>
      <c r="BH84" s="395"/>
      <c r="BI84" s="395"/>
      <c r="BJ84" s="395"/>
      <c r="BK84" s="395"/>
      <c r="BL84" s="395"/>
      <c r="BM84" s="395"/>
      <c r="BN84" s="395"/>
      <c r="BO84" s="395"/>
      <c r="BP84" s="395"/>
      <c r="BQ84" s="395"/>
      <c r="BR84" s="395"/>
      <c r="BS84" s="395"/>
      <c r="BT84" s="395"/>
      <c r="BU84" s="395"/>
      <c r="BV84" s="395"/>
      <c r="BW84" s="395"/>
      <c r="BX84" s="395"/>
      <c r="BY84" s="395"/>
      <c r="BZ84" s="395"/>
      <c r="CA84" s="395"/>
      <c r="CB84" s="395"/>
      <c r="CC84" s="395"/>
      <c r="CD84" s="395"/>
      <c r="CE84" s="395"/>
      <c r="CF84" s="395"/>
      <c r="CG84" s="395"/>
      <c r="CH84" s="395"/>
      <c r="CI84" s="395"/>
      <c r="CJ84" s="395"/>
      <c r="CK84" s="395"/>
      <c r="CL84" s="395"/>
      <c r="CM84" s="395"/>
      <c r="CN84" s="395"/>
      <c r="CO84" s="395"/>
      <c r="CP84" s="395"/>
      <c r="CQ84" s="395"/>
      <c r="CR84" s="395"/>
      <c r="CS84" s="395"/>
      <c r="CT84" s="395"/>
      <c r="CU84" s="395"/>
      <c r="CV84" s="395"/>
      <c r="CW84" s="395"/>
      <c r="CX84" s="395"/>
      <c r="CY84" s="395"/>
      <c r="CZ84" s="395"/>
      <c r="DA84" s="395"/>
      <c r="DB84" s="395"/>
      <c r="DC84" s="395"/>
      <c r="DD84" s="395"/>
      <c r="DE84" s="395"/>
      <c r="DF84" s="395"/>
      <c r="DG84" s="395"/>
      <c r="DH84" s="395"/>
      <c r="DI84" s="395"/>
      <c r="DJ84" s="395"/>
      <c r="DK84" s="395"/>
      <c r="DL84" s="395"/>
      <c r="DM84" s="395"/>
      <c r="DN84" s="395"/>
      <c r="DO84" s="395"/>
      <c r="DP84" s="395"/>
      <c r="DQ84" s="395"/>
      <c r="DR84" s="395"/>
      <c r="DS84" s="395"/>
      <c r="DT84" s="395"/>
      <c r="DU84" s="395"/>
      <c r="DV84" s="395"/>
      <c r="DW84" s="395"/>
      <c r="DX84" s="395"/>
      <c r="DY84" s="395"/>
      <c r="DZ84" s="395"/>
      <c r="EA84" s="395"/>
      <c r="EB84" s="395"/>
      <c r="EC84" s="395"/>
      <c r="ED84" s="395"/>
      <c r="EE84" s="395"/>
      <c r="EF84" s="395"/>
      <c r="EG84" s="395"/>
      <c r="EH84" s="395"/>
      <c r="EI84" s="395"/>
      <c r="EJ84" s="395"/>
      <c r="EK84" s="395"/>
      <c r="EL84" s="395"/>
      <c r="EM84" s="395"/>
      <c r="EN84" s="395"/>
      <c r="EO84" s="395"/>
      <c r="EP84" s="395"/>
      <c r="EQ84" s="395"/>
      <c r="ER84" s="395"/>
      <c r="ES84" s="395"/>
      <c r="ET84" s="395"/>
      <c r="EU84" s="395"/>
      <c r="EV84" s="395"/>
      <c r="EW84" s="395"/>
      <c r="EX84" s="395"/>
      <c r="EY84" s="395"/>
      <c r="EZ84" s="395"/>
      <c r="FA84" s="395"/>
      <c r="FB84" s="395"/>
      <c r="FC84" s="395"/>
      <c r="FD84" s="395"/>
      <c r="FE84" s="395"/>
      <c r="FF84" s="395"/>
      <c r="FG84" s="395"/>
      <c r="FH84" s="395"/>
      <c r="FI84" s="395"/>
      <c r="FJ84" s="395"/>
      <c r="FK84" s="395"/>
      <c r="FL84" s="395"/>
      <c r="FM84" s="395"/>
      <c r="FN84" s="395"/>
      <c r="FO84" s="395"/>
      <c r="FP84" s="395"/>
      <c r="FQ84" s="395"/>
      <c r="FR84" s="395"/>
      <c r="FS84" s="395"/>
      <c r="FT84" s="395"/>
      <c r="FU84" s="395"/>
      <c r="FV84" s="395"/>
      <c r="FW84" s="395"/>
      <c r="FX84" s="395"/>
      <c r="FY84" s="395"/>
      <c r="FZ84" s="395"/>
      <c r="GA84" s="395"/>
      <c r="GB84" s="395"/>
      <c r="GC84" s="395"/>
      <c r="GD84" s="395"/>
      <c r="GE84" s="395"/>
      <c r="GF84" s="395"/>
      <c r="GG84" s="395"/>
      <c r="GH84" s="395"/>
      <c r="GI84" s="395"/>
      <c r="GJ84" s="395"/>
      <c r="GK84" s="395"/>
      <c r="GL84" s="395"/>
      <c r="GM84" s="395"/>
      <c r="GN84" s="395"/>
      <c r="GO84" s="395"/>
      <c r="GP84" s="395"/>
      <c r="GQ84" s="395"/>
      <c r="GR84" s="395"/>
      <c r="GS84" s="395"/>
      <c r="GT84" s="395"/>
      <c r="GU84" s="395"/>
      <c r="GV84" s="395"/>
      <c r="GW84" s="395"/>
      <c r="GX84" s="395"/>
      <c r="GY84" s="395"/>
      <c r="GZ84" s="395"/>
      <c r="HA84" s="395"/>
      <c r="HB84" s="395"/>
      <c r="HC84" s="395"/>
      <c r="HD84" s="395"/>
      <c r="HE84" s="395"/>
      <c r="HF84" s="395"/>
      <c r="HG84" s="395"/>
      <c r="HH84" s="395"/>
      <c r="HI84" s="395"/>
      <c r="HJ84" s="395"/>
      <c r="HK84" s="395"/>
      <c r="HL84" s="395"/>
      <c r="HM84" s="395"/>
      <c r="HN84" s="395"/>
      <c r="HO84" s="395"/>
      <c r="HP84" s="395"/>
      <c r="HQ84" s="395"/>
      <c r="HR84" s="395"/>
      <c r="HS84" s="395"/>
      <c r="HT84" s="395"/>
      <c r="HU84" s="395"/>
      <c r="HV84" s="395"/>
      <c r="HW84" s="395"/>
      <c r="HX84" s="395"/>
      <c r="HY84" s="395"/>
      <c r="HZ84" s="395"/>
      <c r="IA84" s="395"/>
      <c r="IB84" s="395"/>
      <c r="IC84" s="395"/>
      <c r="ID84" s="395"/>
      <c r="IE84" s="395"/>
      <c r="IF84" s="395"/>
      <c r="IG84" s="395"/>
      <c r="IH84" s="395"/>
      <c r="II84" s="395"/>
      <c r="IJ84" s="395"/>
      <c r="IK84" s="395"/>
      <c r="IL84" s="395"/>
      <c r="IM84" s="395"/>
      <c r="IN84" s="395"/>
      <c r="IO84" s="395"/>
      <c r="IP84" s="395"/>
      <c r="IQ84" s="395"/>
      <c r="IR84" s="395"/>
      <c r="IS84" s="395"/>
      <c r="IT84" s="395"/>
      <c r="IU84" s="395"/>
      <c r="IV84" s="395"/>
      <c r="IW84" s="395"/>
    </row>
    <row r="85" customFormat="false" ht="12.75" hidden="false" customHeight="false" outlineLevel="0" collapsed="false">
      <c r="A85" s="461"/>
      <c r="B85" s="39" t="s">
        <v>510</v>
      </c>
      <c r="C85" s="533" t="s">
        <v>236</v>
      </c>
      <c r="D85" s="532"/>
      <c r="E85" s="218" t="n">
        <f aca="false">IF(E$7&lt;YEAR(Startops1),0,-HLOOKUP(E$7,CF_Table,CF!$AB$39)*$A81)</f>
        <v>0</v>
      </c>
      <c r="F85" s="218" t="n">
        <f aca="false">IF(F$7&lt;YEAR(Startops1),0,-HLOOKUP(F$7,CF_Table,CF!$AB$39)*$A81)</f>
        <v>0</v>
      </c>
      <c r="G85" s="218" t="n">
        <f aca="false">IF(G$7&lt;YEAR(Startops1),0,-HLOOKUP(G$7,CF_Table,CF!$AB$39)*$A81)</f>
        <v>0</v>
      </c>
      <c r="H85" s="218" t="n">
        <f aca="false">IF(H$7&lt;YEAR(Startops1),0,-HLOOKUP(H$7,CF_Table,CF!$AB$39)*$A81)</f>
        <v>-0</v>
      </c>
      <c r="I85" s="218" t="n">
        <f aca="false">IF(I$7&lt;YEAR(Startops1),0,-HLOOKUP(I$7,CF_Table,CF!$AB$39)*$A81)</f>
        <v>-90.2211712307968</v>
      </c>
      <c r="J85" s="218" t="n">
        <f aca="false">IF(J$7&lt;YEAR(Startops1),0,-HLOOKUP(J$7,CF_Table,CF!$AB$39)*$A81)</f>
        <v>-168.743957881986</v>
      </c>
      <c r="K85" s="218" t="n">
        <f aca="false">IF(K$7&lt;YEAR(Startops1),0,-HLOOKUP(K$7,CF_Table,CF!$AB$39)*$A81)</f>
        <v>-226.94076872631</v>
      </c>
      <c r="L85" s="218" t="n">
        <f aca="false">IF(L$7&lt;YEAR(Startops1),0,-HLOOKUP(L$7,CF_Table,CF!$AB$39)*$A81)</f>
        <v>-310.759316702618</v>
      </c>
      <c r="M85" s="218" t="n">
        <f aca="false">IF(M$7&lt;YEAR(Startops1),0,-HLOOKUP(M$7,CF_Table,CF!$AB$39)*$A81)</f>
        <v>-336.735140351265</v>
      </c>
      <c r="N85" s="218" t="n">
        <f aca="false">IF(N$7&lt;YEAR(Startops1),0,-HLOOKUP(N$7,CF_Table,CF!$AB$39)*$A81)</f>
        <v>-388.888546908916</v>
      </c>
      <c r="O85" s="218" t="n">
        <f aca="false">IF(O$7&lt;YEAR(Startops1),0,-HLOOKUP(O$7,CF_Table,CF!$AB$39)*$A81)</f>
        <v>-388.888546908916</v>
      </c>
      <c r="P85" s="218" t="n">
        <f aca="false">IF(P$7&lt;YEAR(Startops1),0,-HLOOKUP(P$7,CF_Table,CF!$AB$39)*$A81)</f>
        <v>-418.184029464918</v>
      </c>
      <c r="Q85" s="218" t="n">
        <f aca="false">IF(Q$7&lt;YEAR(Startops1),0,-HLOOKUP(Q$7,CF_Table,CF!$AB$39)*$A81)</f>
        <v>-500.113869635729</v>
      </c>
      <c r="R85" s="218" t="n">
        <f aca="false">IF(R$7&lt;YEAR(Startops1),0,-HLOOKUP(R$7,CF_Table,CF!$AB$39)*$A81)</f>
        <v>-587.505061870322</v>
      </c>
      <c r="S85" s="218" t="n">
        <f aca="false">IF(S$7&lt;YEAR(Startops1),0,-HLOOKUP(S$7,CF_Table,CF!$AB$39)*$A81)</f>
        <v>-641.298718954265</v>
      </c>
      <c r="T85" s="218" t="n">
        <f aca="false">IF(T$7&lt;YEAR(Startops1),0,-HLOOKUP(T$7,CF_Table,CF!$AB$39)*$A81)</f>
        <v>-641.298718954265</v>
      </c>
      <c r="U85" s="218" t="n">
        <f aca="false">IF(U$7&lt;YEAR(Startops1),0,-HLOOKUP(U$7,CF_Table,CF!$AB$39)*$A81)</f>
        <v>-609.684517704719</v>
      </c>
      <c r="V85" s="218" t="n">
        <f aca="false">IF(V$7&lt;YEAR(Startops1),0,-HLOOKUP(V$7,CF_Table,CF!$AB$39)*$A81)</f>
        <v>-583.717994529949</v>
      </c>
      <c r="W85" s="218" t="n">
        <f aca="false">IF(W$7&lt;YEAR(Startops1),0,-HLOOKUP(W$7,CF_Table,CF!$AB$39)*$A81)</f>
        <v>-562.012001930312</v>
      </c>
      <c r="X85" s="218" t="n">
        <f aca="false">IF(X$7&lt;YEAR(Startops1),0,-HLOOKUP(X$7,CF_Table,CF!$AB$39)*$A81)</f>
        <v>-657.246385404913</v>
      </c>
      <c r="Y85" s="218" t="n">
        <f aca="false">IF(Y$7&lt;YEAR(Startops1),0,-HLOOKUP(Y$7,CF_Table,CF!$AB$39)*$A81)</f>
        <v>-753.085867415458</v>
      </c>
      <c r="Z85" s="218" t="n">
        <f aca="false">IF(Z$7&lt;YEAR(Startops1),0,-HLOOKUP(Z$7,CF_Table,CF!$AB$39)*$A81)</f>
        <v>-283.193720930383</v>
      </c>
      <c r="AA85" s="309" t="n">
        <f aca="false">SUM(D85:Z85)</f>
        <v>-8148.51833550604</v>
      </c>
      <c r="AB85" s="309" t="n">
        <f aca="false">$E85+NPV(Disc,$F85:Z85)</f>
        <v>-956.415206319947</v>
      </c>
      <c r="AD85" s="395"/>
      <c r="AE85" s="395"/>
      <c r="AF85" s="395"/>
      <c r="AG85" s="395"/>
      <c r="AH85" s="395"/>
      <c r="AI85" s="395"/>
      <c r="AJ85" s="395"/>
      <c r="AK85" s="395"/>
      <c r="AL85" s="395"/>
      <c r="AM85" s="395"/>
      <c r="AN85" s="395"/>
      <c r="AO85" s="395"/>
      <c r="AP85" s="395"/>
      <c r="AQ85" s="395"/>
      <c r="AR85" s="395"/>
      <c r="AS85" s="395"/>
      <c r="AT85" s="395"/>
      <c r="AU85" s="395"/>
      <c r="AV85" s="395"/>
      <c r="AW85" s="395"/>
      <c r="AX85" s="395"/>
      <c r="AY85" s="395"/>
      <c r="AZ85" s="395"/>
      <c r="BA85" s="395"/>
      <c r="BB85" s="395"/>
      <c r="BC85" s="395"/>
      <c r="BD85" s="395"/>
      <c r="BE85" s="395"/>
      <c r="BF85" s="395"/>
      <c r="BG85" s="395"/>
      <c r="BH85" s="395"/>
      <c r="BI85" s="395"/>
      <c r="BJ85" s="395"/>
      <c r="BK85" s="395"/>
      <c r="BL85" s="395"/>
      <c r="BM85" s="395"/>
      <c r="BN85" s="395"/>
      <c r="BO85" s="395"/>
      <c r="BP85" s="395"/>
      <c r="BQ85" s="395"/>
      <c r="BR85" s="395"/>
      <c r="BS85" s="395"/>
      <c r="BT85" s="395"/>
      <c r="BU85" s="395"/>
      <c r="BV85" s="395"/>
      <c r="BW85" s="395"/>
      <c r="BX85" s="395"/>
      <c r="BY85" s="395"/>
      <c r="BZ85" s="395"/>
      <c r="CA85" s="395"/>
      <c r="CB85" s="395"/>
      <c r="CC85" s="395"/>
      <c r="CD85" s="395"/>
      <c r="CE85" s="395"/>
      <c r="CF85" s="395"/>
      <c r="CG85" s="395"/>
      <c r="CH85" s="395"/>
      <c r="CI85" s="395"/>
      <c r="CJ85" s="395"/>
      <c r="CK85" s="395"/>
      <c r="CL85" s="395"/>
      <c r="CM85" s="395"/>
      <c r="CN85" s="395"/>
      <c r="CO85" s="395"/>
      <c r="CP85" s="395"/>
      <c r="CQ85" s="395"/>
      <c r="CR85" s="395"/>
      <c r="CS85" s="395"/>
      <c r="CT85" s="395"/>
      <c r="CU85" s="395"/>
      <c r="CV85" s="395"/>
      <c r="CW85" s="395"/>
      <c r="CX85" s="395"/>
      <c r="CY85" s="395"/>
      <c r="CZ85" s="395"/>
      <c r="DA85" s="395"/>
      <c r="DB85" s="395"/>
      <c r="DC85" s="395"/>
      <c r="DD85" s="395"/>
      <c r="DE85" s="395"/>
      <c r="DF85" s="395"/>
      <c r="DG85" s="395"/>
      <c r="DH85" s="395"/>
      <c r="DI85" s="395"/>
      <c r="DJ85" s="395"/>
      <c r="DK85" s="395"/>
      <c r="DL85" s="395"/>
      <c r="DM85" s="395"/>
      <c r="DN85" s="395"/>
      <c r="DO85" s="395"/>
      <c r="DP85" s="395"/>
      <c r="DQ85" s="395"/>
      <c r="DR85" s="395"/>
      <c r="DS85" s="395"/>
      <c r="DT85" s="395"/>
      <c r="DU85" s="395"/>
      <c r="DV85" s="395"/>
      <c r="DW85" s="395"/>
      <c r="DX85" s="395"/>
      <c r="DY85" s="395"/>
      <c r="DZ85" s="395"/>
      <c r="EA85" s="395"/>
      <c r="EB85" s="395"/>
      <c r="EC85" s="395"/>
      <c r="ED85" s="395"/>
      <c r="EE85" s="395"/>
      <c r="EF85" s="395"/>
      <c r="EG85" s="395"/>
      <c r="EH85" s="395"/>
      <c r="EI85" s="395"/>
      <c r="EJ85" s="395"/>
      <c r="EK85" s="395"/>
      <c r="EL85" s="395"/>
      <c r="EM85" s="395"/>
      <c r="EN85" s="395"/>
      <c r="EO85" s="395"/>
      <c r="EP85" s="395"/>
      <c r="EQ85" s="395"/>
      <c r="ER85" s="395"/>
      <c r="ES85" s="395"/>
      <c r="ET85" s="395"/>
      <c r="EU85" s="395"/>
      <c r="EV85" s="395"/>
      <c r="EW85" s="395"/>
      <c r="EX85" s="395"/>
      <c r="EY85" s="395"/>
      <c r="EZ85" s="395"/>
      <c r="FA85" s="395"/>
      <c r="FB85" s="395"/>
      <c r="FC85" s="395"/>
      <c r="FD85" s="395"/>
      <c r="FE85" s="395"/>
      <c r="FF85" s="395"/>
      <c r="FG85" s="395"/>
      <c r="FH85" s="395"/>
      <c r="FI85" s="395"/>
      <c r="FJ85" s="395"/>
      <c r="FK85" s="395"/>
      <c r="FL85" s="395"/>
      <c r="FM85" s="395"/>
      <c r="FN85" s="395"/>
      <c r="FO85" s="395"/>
      <c r="FP85" s="395"/>
      <c r="FQ85" s="395"/>
      <c r="FR85" s="395"/>
      <c r="FS85" s="395"/>
      <c r="FT85" s="395"/>
      <c r="FU85" s="395"/>
      <c r="FV85" s="395"/>
      <c r="FW85" s="395"/>
      <c r="FX85" s="395"/>
      <c r="FY85" s="395"/>
      <c r="FZ85" s="395"/>
      <c r="GA85" s="395"/>
      <c r="GB85" s="395"/>
      <c r="GC85" s="395"/>
      <c r="GD85" s="395"/>
      <c r="GE85" s="395"/>
      <c r="GF85" s="395"/>
      <c r="GG85" s="395"/>
      <c r="GH85" s="395"/>
      <c r="GI85" s="395"/>
      <c r="GJ85" s="395"/>
      <c r="GK85" s="395"/>
      <c r="GL85" s="395"/>
      <c r="GM85" s="395"/>
      <c r="GN85" s="395"/>
      <c r="GO85" s="395"/>
      <c r="GP85" s="395"/>
      <c r="GQ85" s="395"/>
      <c r="GR85" s="395"/>
      <c r="GS85" s="395"/>
      <c r="GT85" s="395"/>
      <c r="GU85" s="395"/>
      <c r="GV85" s="395"/>
      <c r="GW85" s="395"/>
      <c r="GX85" s="395"/>
      <c r="GY85" s="395"/>
      <c r="GZ85" s="395"/>
      <c r="HA85" s="395"/>
      <c r="HB85" s="395"/>
      <c r="HC85" s="395"/>
      <c r="HD85" s="395"/>
      <c r="HE85" s="395"/>
      <c r="HF85" s="395"/>
      <c r="HG85" s="395"/>
      <c r="HH85" s="395"/>
      <c r="HI85" s="395"/>
      <c r="HJ85" s="395"/>
      <c r="HK85" s="395"/>
      <c r="HL85" s="395"/>
      <c r="HM85" s="395"/>
      <c r="HN85" s="395"/>
      <c r="HO85" s="395"/>
      <c r="HP85" s="395"/>
      <c r="HQ85" s="395"/>
      <c r="HR85" s="395"/>
      <c r="HS85" s="395"/>
      <c r="HT85" s="395"/>
      <c r="HU85" s="395"/>
      <c r="HV85" s="395"/>
      <c r="HW85" s="395"/>
      <c r="HX85" s="395"/>
      <c r="HY85" s="395"/>
      <c r="HZ85" s="395"/>
      <c r="IA85" s="395"/>
      <c r="IB85" s="395"/>
      <c r="IC85" s="395"/>
      <c r="ID85" s="395"/>
      <c r="IE85" s="395"/>
      <c r="IF85" s="395"/>
      <c r="IG85" s="395"/>
      <c r="IH85" s="395"/>
      <c r="II85" s="395"/>
      <c r="IJ85" s="395"/>
      <c r="IK85" s="395"/>
      <c r="IL85" s="395"/>
      <c r="IM85" s="395"/>
      <c r="IN85" s="395"/>
      <c r="IO85" s="395"/>
      <c r="IP85" s="395"/>
      <c r="IQ85" s="395"/>
      <c r="IR85" s="395"/>
      <c r="IS85" s="395"/>
      <c r="IT85" s="395"/>
      <c r="IU85" s="395"/>
      <c r="IV85" s="395"/>
      <c r="IW85" s="395"/>
    </row>
    <row r="86" customFormat="false" ht="12.75" hidden="false" customHeight="false" outlineLevel="0" collapsed="false">
      <c r="A86" s="534" t="n">
        <f aca="false">Assm!$J$75</f>
        <v>0.3</v>
      </c>
      <c r="B86" s="39" t="s">
        <v>513</v>
      </c>
      <c r="C86" s="533" t="s">
        <v>236</v>
      </c>
      <c r="D86" s="532"/>
      <c r="E86" s="218" t="n">
        <f aca="false">IF(E$7=YEAR(Startops1),Assm!$O$35*$A86,0)</f>
        <v>0</v>
      </c>
      <c r="F86" s="218" t="n">
        <f aca="false">IF(F$7=YEAR(Startops1),Assm!$O$35*$A86,0)</f>
        <v>0</v>
      </c>
      <c r="G86" s="218" t="n">
        <f aca="false">IF(G$7=YEAR(Startops1),Assm!$O$35*$A86,0)</f>
        <v>0</v>
      </c>
      <c r="H86" s="218" t="n">
        <f aca="false">IF(H$7=YEAR(Startops1),Assm!$O$35*$A86,0)</f>
        <v>0</v>
      </c>
      <c r="I86" s="218" t="n">
        <f aca="false">IF(I$7=YEAR(Startops1),Assm!$O$35*$A86,0)</f>
        <v>0</v>
      </c>
      <c r="J86" s="218" t="n">
        <f aca="false">IF(J$7=YEAR(Startops1),Assm!$O$35*$A86,0)</f>
        <v>0</v>
      </c>
      <c r="K86" s="218" t="n">
        <f aca="false">IF(K$7=YEAR(Startops1),Assm!$O$35*$A86,0)</f>
        <v>0</v>
      </c>
      <c r="L86" s="218" t="n">
        <f aca="false">IF(L$7=YEAR(Startops1),Assm!$O$35*$A86,0)</f>
        <v>0</v>
      </c>
      <c r="M86" s="218" t="n">
        <f aca="false">IF(M$7=YEAR(Startops1),Assm!$O$35*$A86,0)</f>
        <v>0</v>
      </c>
      <c r="N86" s="218" t="n">
        <f aca="false">IF(N$7=YEAR(Startops1),Assm!$O$35*$A86,0)</f>
        <v>0</v>
      </c>
      <c r="O86" s="218" t="n">
        <f aca="false">IF(O$7=YEAR(Startops1),Assm!$O$35*$A86,0)</f>
        <v>0</v>
      </c>
      <c r="P86" s="218" t="n">
        <f aca="false">IF(P$7=YEAR(Startops1),Assm!$O$35*$A86,0)</f>
        <v>0</v>
      </c>
      <c r="Q86" s="218" t="n">
        <f aca="false">IF(Q$7=YEAR(Startops1),Assm!$O$35*$A86,0)</f>
        <v>0</v>
      </c>
      <c r="R86" s="218" t="n">
        <f aca="false">IF(R$7=YEAR(Startops1),Assm!$O$35*$A86,0)</f>
        <v>0</v>
      </c>
      <c r="S86" s="218" t="n">
        <f aca="false">IF(S$7=YEAR(Startops1),Assm!$O$35*$A86,0)</f>
        <v>0</v>
      </c>
      <c r="T86" s="218" t="n">
        <f aca="false">IF(T$7=YEAR(Startops1),Assm!$O$35*$A86,0)</f>
        <v>0</v>
      </c>
      <c r="U86" s="218" t="n">
        <f aca="false">IF(U$7=YEAR(Startops1),Assm!$O$35*$A86,0)</f>
        <v>0</v>
      </c>
      <c r="V86" s="218" t="n">
        <f aca="false">IF(V$7=YEAR(Startops1),Assm!$O$35*$A86,0)</f>
        <v>0</v>
      </c>
      <c r="W86" s="218" t="n">
        <f aca="false">IF(W$7=YEAR(Startops1),Assm!$O$35*$A86,0)</f>
        <v>0</v>
      </c>
      <c r="X86" s="218" t="n">
        <f aca="false">IF(X$7=YEAR(Startops1),Assm!$O$35*$A86,0)</f>
        <v>0</v>
      </c>
      <c r="Y86" s="218" t="n">
        <f aca="false">IF(Y$7=YEAR(Startops1),Assm!$O$35*$A86,0)</f>
        <v>0</v>
      </c>
      <c r="Z86" s="218" t="n">
        <f aca="false">IF(Z$7=YEAR(Startops1),Assm!$O$35*$A86,0)</f>
        <v>0</v>
      </c>
      <c r="AA86" s="309" t="n">
        <f aca="false">SUM(D86:Z86)</f>
        <v>0</v>
      </c>
      <c r="AB86" s="309" t="n">
        <f aca="false">$E86+NPV(Disc,$F86:Z86)</f>
        <v>0</v>
      </c>
      <c r="AD86" s="395"/>
      <c r="AE86" s="395"/>
      <c r="AF86" s="395"/>
      <c r="AG86" s="395"/>
      <c r="AH86" s="395"/>
      <c r="AI86" s="395"/>
      <c r="AJ86" s="395"/>
      <c r="AK86" s="395"/>
      <c r="AL86" s="395"/>
      <c r="AM86" s="395"/>
      <c r="AN86" s="395"/>
      <c r="AO86" s="395"/>
      <c r="AP86" s="395"/>
      <c r="AQ86" s="395"/>
      <c r="AR86" s="395"/>
      <c r="AS86" s="395"/>
      <c r="AT86" s="395"/>
      <c r="AU86" s="395"/>
      <c r="AV86" s="395"/>
      <c r="AW86" s="395"/>
      <c r="AX86" s="395"/>
      <c r="AY86" s="395"/>
      <c r="AZ86" s="395"/>
      <c r="BA86" s="395"/>
      <c r="BB86" s="395"/>
      <c r="BC86" s="395"/>
      <c r="BD86" s="395"/>
      <c r="BE86" s="395"/>
      <c r="BF86" s="395"/>
      <c r="BG86" s="395"/>
      <c r="BH86" s="395"/>
      <c r="BI86" s="395"/>
      <c r="BJ86" s="395"/>
      <c r="BK86" s="395"/>
      <c r="BL86" s="395"/>
      <c r="BM86" s="395"/>
      <c r="BN86" s="395"/>
      <c r="BO86" s="395"/>
      <c r="BP86" s="395"/>
      <c r="BQ86" s="395"/>
      <c r="BR86" s="395"/>
      <c r="BS86" s="395"/>
      <c r="BT86" s="395"/>
      <c r="BU86" s="395"/>
      <c r="BV86" s="395"/>
      <c r="BW86" s="395"/>
      <c r="BX86" s="395"/>
      <c r="BY86" s="395"/>
      <c r="BZ86" s="395"/>
      <c r="CA86" s="395"/>
      <c r="CB86" s="395"/>
      <c r="CC86" s="395"/>
      <c r="CD86" s="395"/>
      <c r="CE86" s="395"/>
      <c r="CF86" s="395"/>
      <c r="CG86" s="395"/>
      <c r="CH86" s="395"/>
      <c r="CI86" s="395"/>
      <c r="CJ86" s="395"/>
      <c r="CK86" s="395"/>
      <c r="CL86" s="395"/>
      <c r="CM86" s="395"/>
      <c r="CN86" s="395"/>
      <c r="CO86" s="395"/>
      <c r="CP86" s="395"/>
      <c r="CQ86" s="395"/>
      <c r="CR86" s="395"/>
      <c r="CS86" s="395"/>
      <c r="CT86" s="395"/>
      <c r="CU86" s="395"/>
      <c r="CV86" s="395"/>
      <c r="CW86" s="395"/>
      <c r="CX86" s="395"/>
      <c r="CY86" s="395"/>
      <c r="CZ86" s="395"/>
      <c r="DA86" s="395"/>
      <c r="DB86" s="395"/>
      <c r="DC86" s="395"/>
      <c r="DD86" s="395"/>
      <c r="DE86" s="395"/>
      <c r="DF86" s="395"/>
      <c r="DG86" s="395"/>
      <c r="DH86" s="395"/>
      <c r="DI86" s="395"/>
      <c r="DJ86" s="395"/>
      <c r="DK86" s="395"/>
      <c r="DL86" s="395"/>
      <c r="DM86" s="395"/>
      <c r="DN86" s="395"/>
      <c r="DO86" s="395"/>
      <c r="DP86" s="395"/>
      <c r="DQ86" s="395"/>
      <c r="DR86" s="395"/>
      <c r="DS86" s="395"/>
      <c r="DT86" s="395"/>
      <c r="DU86" s="395"/>
      <c r="DV86" s="395"/>
      <c r="DW86" s="395"/>
      <c r="DX86" s="395"/>
      <c r="DY86" s="395"/>
      <c r="DZ86" s="395"/>
      <c r="EA86" s="395"/>
      <c r="EB86" s="395"/>
      <c r="EC86" s="395"/>
      <c r="ED86" s="395"/>
      <c r="EE86" s="395"/>
      <c r="EF86" s="395"/>
      <c r="EG86" s="395"/>
      <c r="EH86" s="395"/>
      <c r="EI86" s="395"/>
      <c r="EJ86" s="395"/>
      <c r="EK86" s="395"/>
      <c r="EL86" s="395"/>
      <c r="EM86" s="395"/>
      <c r="EN86" s="395"/>
      <c r="EO86" s="395"/>
      <c r="EP86" s="395"/>
      <c r="EQ86" s="395"/>
      <c r="ER86" s="395"/>
      <c r="ES86" s="395"/>
      <c r="ET86" s="395"/>
      <c r="EU86" s="395"/>
      <c r="EV86" s="395"/>
      <c r="EW86" s="395"/>
      <c r="EX86" s="395"/>
      <c r="EY86" s="395"/>
      <c r="EZ86" s="395"/>
      <c r="FA86" s="395"/>
      <c r="FB86" s="395"/>
      <c r="FC86" s="395"/>
      <c r="FD86" s="395"/>
      <c r="FE86" s="395"/>
      <c r="FF86" s="395"/>
      <c r="FG86" s="395"/>
      <c r="FH86" s="395"/>
      <c r="FI86" s="395"/>
      <c r="FJ86" s="395"/>
      <c r="FK86" s="395"/>
      <c r="FL86" s="395"/>
      <c r="FM86" s="395"/>
      <c r="FN86" s="395"/>
      <c r="FO86" s="395"/>
      <c r="FP86" s="395"/>
      <c r="FQ86" s="395"/>
      <c r="FR86" s="395"/>
      <c r="FS86" s="395"/>
      <c r="FT86" s="395"/>
      <c r="FU86" s="395"/>
      <c r="FV86" s="395"/>
      <c r="FW86" s="395"/>
      <c r="FX86" s="395"/>
      <c r="FY86" s="395"/>
      <c r="FZ86" s="395"/>
      <c r="GA86" s="395"/>
      <c r="GB86" s="395"/>
      <c r="GC86" s="395"/>
      <c r="GD86" s="395"/>
      <c r="GE86" s="395"/>
      <c r="GF86" s="395"/>
      <c r="GG86" s="395"/>
      <c r="GH86" s="395"/>
      <c r="GI86" s="395"/>
      <c r="GJ86" s="395"/>
      <c r="GK86" s="395"/>
      <c r="GL86" s="395"/>
      <c r="GM86" s="395"/>
      <c r="GN86" s="395"/>
      <c r="GO86" s="395"/>
      <c r="GP86" s="395"/>
      <c r="GQ86" s="395"/>
      <c r="GR86" s="395"/>
      <c r="GS86" s="395"/>
      <c r="GT86" s="395"/>
      <c r="GU86" s="395"/>
      <c r="GV86" s="395"/>
      <c r="GW86" s="395"/>
      <c r="GX86" s="395"/>
      <c r="GY86" s="395"/>
      <c r="GZ86" s="395"/>
      <c r="HA86" s="395"/>
      <c r="HB86" s="395"/>
      <c r="HC86" s="395"/>
      <c r="HD86" s="395"/>
      <c r="HE86" s="395"/>
      <c r="HF86" s="395"/>
      <c r="HG86" s="395"/>
      <c r="HH86" s="395"/>
      <c r="HI86" s="395"/>
      <c r="HJ86" s="395"/>
      <c r="HK86" s="395"/>
      <c r="HL86" s="395"/>
      <c r="HM86" s="395"/>
      <c r="HN86" s="395"/>
      <c r="HO86" s="395"/>
      <c r="HP86" s="395"/>
      <c r="HQ86" s="395"/>
      <c r="HR86" s="395"/>
      <c r="HS86" s="395"/>
      <c r="HT86" s="395"/>
      <c r="HU86" s="395"/>
      <c r="HV86" s="395"/>
      <c r="HW86" s="395"/>
      <c r="HX86" s="395"/>
      <c r="HY86" s="395"/>
      <c r="HZ86" s="395"/>
      <c r="IA86" s="395"/>
      <c r="IB86" s="395"/>
      <c r="IC86" s="395"/>
      <c r="ID86" s="395"/>
      <c r="IE86" s="395"/>
      <c r="IF86" s="395"/>
      <c r="IG86" s="395"/>
      <c r="IH86" s="395"/>
      <c r="II86" s="395"/>
      <c r="IJ86" s="395"/>
      <c r="IK86" s="395"/>
      <c r="IL86" s="395"/>
      <c r="IM86" s="395"/>
      <c r="IN86" s="395"/>
      <c r="IO86" s="395"/>
      <c r="IP86" s="395"/>
      <c r="IQ86" s="395"/>
      <c r="IR86" s="395"/>
      <c r="IS86" s="395"/>
      <c r="IT86" s="395"/>
      <c r="IU86" s="395"/>
      <c r="IV86" s="395"/>
      <c r="IW86" s="395"/>
    </row>
    <row r="87" customFormat="false" ht="12.75" hidden="false" customHeight="false" outlineLevel="0" collapsed="false">
      <c r="A87" s="534" t="n">
        <f aca="false">Assm!$J$76</f>
        <v>0</v>
      </c>
      <c r="B87" s="39" t="s">
        <v>514</v>
      </c>
      <c r="C87" s="533" t="s">
        <v>236</v>
      </c>
      <c r="D87" s="39"/>
      <c r="E87" s="218" t="n">
        <f aca="false">IF(E$7&lt;YEAR(Startops1),0,HLOOKUP(E$7,CF_Table,CF!$AB$28)*$A87)</f>
        <v>0</v>
      </c>
      <c r="F87" s="218" t="n">
        <f aca="false">IF(F$7&lt;YEAR(Startops1),0,HLOOKUP(F$7,CF_Table,CF!$AB$28)*$A87)</f>
        <v>0</v>
      </c>
      <c r="G87" s="218" t="n">
        <f aca="false">IF(G$7&lt;YEAR(Startops1),0,HLOOKUP(G$7,CF_Table,CF!$AB$28)*$A87)</f>
        <v>0</v>
      </c>
      <c r="H87" s="218" t="n">
        <f aca="false">IF(H$7&lt;YEAR(Startops1),0,HLOOKUP(H$7,CF_Table,CF!$AB$28)*$A87)</f>
        <v>0</v>
      </c>
      <c r="I87" s="218" t="n">
        <f aca="false">IF(I$7&lt;YEAR(Startops1),0,HLOOKUP(I$7,CF_Table,CF!$AB$28)*$A87)</f>
        <v>0</v>
      </c>
      <c r="J87" s="218" t="n">
        <f aca="false">IF(J$7&lt;YEAR(Startops1),0,HLOOKUP(J$7,CF_Table,CF!$AB$28)*$A87)</f>
        <v>0</v>
      </c>
      <c r="K87" s="218" t="n">
        <f aca="false">IF(K$7&lt;YEAR(Startops1),0,HLOOKUP(K$7,CF_Table,CF!$AB$28)*$A87)</f>
        <v>0</v>
      </c>
      <c r="L87" s="218" t="n">
        <f aca="false">IF(L$7&lt;YEAR(Startops1),0,HLOOKUP(L$7,CF_Table,CF!$AB$28)*$A87)</f>
        <v>0</v>
      </c>
      <c r="M87" s="218" t="n">
        <f aca="false">IF(M$7&lt;YEAR(Startops1),0,HLOOKUP(M$7,CF_Table,CF!$AB$28)*$A87)</f>
        <v>0</v>
      </c>
      <c r="N87" s="218" t="n">
        <f aca="false">IF(N$7&lt;YEAR(Startops1),0,HLOOKUP(N$7,CF_Table,CF!$AB$28)*$A87)</f>
        <v>0</v>
      </c>
      <c r="O87" s="218" t="n">
        <f aca="false">IF(O$7&lt;YEAR(Startops1),0,HLOOKUP(O$7,CF_Table,CF!$AB$28)*$A87)</f>
        <v>0</v>
      </c>
      <c r="P87" s="218" t="n">
        <f aca="false">IF(P$7&lt;YEAR(Startops1),0,HLOOKUP(P$7,CF_Table,CF!$AB$28)*$A87)</f>
        <v>0</v>
      </c>
      <c r="Q87" s="218" t="n">
        <f aca="false">IF(Q$7&lt;YEAR(Startops1),0,HLOOKUP(Q$7,CF_Table,CF!$AB$28)*$A87)</f>
        <v>0</v>
      </c>
      <c r="R87" s="218" t="n">
        <f aca="false">IF(R$7&lt;YEAR(Startops1),0,HLOOKUP(R$7,CF_Table,CF!$AB$28)*$A87)</f>
        <v>0</v>
      </c>
      <c r="S87" s="218" t="n">
        <f aca="false">IF(S$7&lt;YEAR(Startops1),0,HLOOKUP(S$7,CF_Table,CF!$AB$28)*$A87)</f>
        <v>0</v>
      </c>
      <c r="T87" s="218" t="n">
        <f aca="false">IF(T$7&lt;YEAR(Startops1),0,HLOOKUP(T$7,CF_Table,CF!$AB$28)*$A87)</f>
        <v>0</v>
      </c>
      <c r="U87" s="218" t="n">
        <f aca="false">IF(U$7&lt;YEAR(Startops1),0,HLOOKUP(U$7,CF_Table,CF!$AB$28)*$A87)</f>
        <v>0</v>
      </c>
      <c r="V87" s="218" t="n">
        <f aca="false">IF(V$7&lt;YEAR(Startops1),0,HLOOKUP(V$7,CF_Table,CF!$AB$28)*$A87)</f>
        <v>0</v>
      </c>
      <c r="W87" s="218" t="n">
        <f aca="false">IF(W$7&lt;YEAR(Startops1),0,HLOOKUP(W$7,CF_Table,CF!$AB$28)*$A87)</f>
        <v>0</v>
      </c>
      <c r="X87" s="218" t="n">
        <f aca="false">IF(X$7&lt;YEAR(Startops1),0,HLOOKUP(X$7,CF_Table,CF!$AB$28)*$A87)</f>
        <v>0</v>
      </c>
      <c r="Y87" s="218" t="n">
        <f aca="false">IF(Y$7&lt;YEAR(Startops1),0,HLOOKUP(Y$7,CF_Table,CF!$AB$28)*$A87)</f>
        <v>0</v>
      </c>
      <c r="Z87" s="218" t="n">
        <f aca="false">IF(Z$7&lt;YEAR(Startops1),0,HLOOKUP(Z$7,CF_Table,CF!$AB$28)*$A87)</f>
        <v>0</v>
      </c>
      <c r="AA87" s="309" t="n">
        <f aca="false">SUM(D87:Z87)</f>
        <v>0</v>
      </c>
      <c r="AB87" s="309" t="n">
        <f aca="false">$E87+NPV(Disc,$F87:Z87)</f>
        <v>0</v>
      </c>
    </row>
    <row r="88" customFormat="false" ht="12.75" hidden="false" customHeight="false" outlineLevel="0" collapsed="false">
      <c r="A88" s="461"/>
      <c r="B88" s="39" t="s">
        <v>535</v>
      </c>
      <c r="C88" s="39"/>
      <c r="D88" s="532"/>
      <c r="E88" s="311" t="n">
        <f aca="false">-SUM(E85:E87)*USTax</f>
        <v>-0</v>
      </c>
      <c r="F88" s="311" t="n">
        <f aca="false">-SUM(F85:F87)*USTax</f>
        <v>-0</v>
      </c>
      <c r="G88" s="311" t="n">
        <f aca="false">-SUM(G85:G87)*USTax</f>
        <v>-0</v>
      </c>
      <c r="H88" s="311" t="n">
        <f aca="false">-SUM(H85:H87)*USTax</f>
        <v>-0</v>
      </c>
      <c r="I88" s="311" t="n">
        <f aca="false">-SUM(I85:I87)*USTax</f>
        <v>33.3818333553948</v>
      </c>
      <c r="J88" s="311" t="n">
        <f aca="false">-SUM(J85:J87)*USTax</f>
        <v>62.4352644163348</v>
      </c>
      <c r="K88" s="311" t="n">
        <f aca="false">-SUM(K85:K87)*USTax</f>
        <v>83.9680844287349</v>
      </c>
      <c r="L88" s="311" t="n">
        <f aca="false">-SUM(L85:L87)*USTax</f>
        <v>114.980947179969</v>
      </c>
      <c r="M88" s="311" t="n">
        <f aca="false">-SUM(M85:M87)*USTax</f>
        <v>124.592001929968</v>
      </c>
      <c r="N88" s="311" t="n">
        <f aca="false">-SUM(N85:N87)*USTax</f>
        <v>143.888762356299</v>
      </c>
      <c r="O88" s="311" t="n">
        <f aca="false">-SUM(O85:O87)*USTax</f>
        <v>143.888762356299</v>
      </c>
      <c r="P88" s="311" t="n">
        <f aca="false">-SUM(P85:P87)*USTax</f>
        <v>154.72809090202</v>
      </c>
      <c r="Q88" s="311" t="n">
        <f aca="false">-SUM(Q85:Q87)*USTax</f>
        <v>185.04213176522</v>
      </c>
      <c r="R88" s="311" t="n">
        <f aca="false">-SUM(R85:R87)*USTax</f>
        <v>217.376872892019</v>
      </c>
      <c r="S88" s="311" t="n">
        <f aca="false">-SUM(S85:S87)*USTax</f>
        <v>237.280526013078</v>
      </c>
      <c r="T88" s="311" t="n">
        <f aca="false">-SUM(T85:T87)*USTax</f>
        <v>237.280526013078</v>
      </c>
      <c r="U88" s="311" t="n">
        <f aca="false">-SUM(U85:U87)*USTax</f>
        <v>225.583271550746</v>
      </c>
      <c r="V88" s="311" t="n">
        <f aca="false">-SUM(V85:V87)*USTax</f>
        <v>215.975657976081</v>
      </c>
      <c r="W88" s="311" t="n">
        <f aca="false">-SUM(W85:W87)*USTax</f>
        <v>207.944440714215</v>
      </c>
      <c r="X88" s="311" t="n">
        <f aca="false">-SUM(X85:X87)*USTax</f>
        <v>243.181162599818</v>
      </c>
      <c r="Y88" s="311" t="n">
        <f aca="false">-SUM(Y85:Y87)*USTax</f>
        <v>278.641770943719</v>
      </c>
      <c r="Z88" s="311" t="n">
        <f aca="false">-SUM(Z85:Z87)*USTax</f>
        <v>104.781676744242</v>
      </c>
      <c r="AA88" s="313" t="n">
        <f aca="false">SUM(D88:Z88)</f>
        <v>3014.95178413724</v>
      </c>
      <c r="AB88" s="313" t="n">
        <f aca="false">$E88+NPV(Disc,$F88:Z88)</f>
        <v>353.87362633838</v>
      </c>
      <c r="AD88" s="395"/>
      <c r="AE88" s="395"/>
      <c r="AF88" s="395"/>
      <c r="AG88" s="395"/>
      <c r="AH88" s="395"/>
      <c r="AI88" s="395"/>
      <c r="AJ88" s="395"/>
      <c r="AK88" s="395"/>
      <c r="AL88" s="395"/>
      <c r="AM88" s="395"/>
      <c r="AN88" s="395"/>
      <c r="AO88" s="395"/>
      <c r="AP88" s="395"/>
      <c r="AQ88" s="395"/>
      <c r="AR88" s="395"/>
      <c r="AS88" s="395"/>
      <c r="AT88" s="395"/>
      <c r="AU88" s="395"/>
      <c r="AV88" s="395"/>
      <c r="AW88" s="395"/>
      <c r="AX88" s="395"/>
      <c r="AY88" s="395"/>
      <c r="AZ88" s="395"/>
      <c r="BA88" s="395"/>
      <c r="BB88" s="395"/>
      <c r="BC88" s="395"/>
      <c r="BD88" s="395"/>
      <c r="BE88" s="395"/>
      <c r="BF88" s="395"/>
      <c r="BG88" s="395"/>
      <c r="BH88" s="395"/>
      <c r="BI88" s="395"/>
      <c r="BJ88" s="395"/>
      <c r="BK88" s="395"/>
      <c r="BL88" s="395"/>
      <c r="BM88" s="395"/>
      <c r="BN88" s="395"/>
      <c r="BO88" s="395"/>
      <c r="BP88" s="395"/>
      <c r="BQ88" s="395"/>
      <c r="BR88" s="395"/>
      <c r="BS88" s="395"/>
      <c r="BT88" s="395"/>
      <c r="BU88" s="395"/>
      <c r="BV88" s="395"/>
      <c r="BW88" s="395"/>
      <c r="BX88" s="395"/>
      <c r="BY88" s="395"/>
      <c r="BZ88" s="395"/>
      <c r="CA88" s="395"/>
      <c r="CB88" s="395"/>
      <c r="CC88" s="395"/>
      <c r="CD88" s="395"/>
      <c r="CE88" s="395"/>
      <c r="CF88" s="395"/>
      <c r="CG88" s="395"/>
      <c r="CH88" s="395"/>
      <c r="CI88" s="395"/>
      <c r="CJ88" s="395"/>
      <c r="CK88" s="395"/>
      <c r="CL88" s="395"/>
      <c r="CM88" s="395"/>
      <c r="CN88" s="395"/>
      <c r="CO88" s="395"/>
      <c r="CP88" s="395"/>
      <c r="CQ88" s="395"/>
      <c r="CR88" s="395"/>
      <c r="CS88" s="395"/>
      <c r="CT88" s="395"/>
      <c r="CU88" s="395"/>
      <c r="CV88" s="395"/>
      <c r="CW88" s="395"/>
      <c r="CX88" s="395"/>
      <c r="CY88" s="395"/>
      <c r="CZ88" s="395"/>
      <c r="DA88" s="395"/>
      <c r="DB88" s="395"/>
      <c r="DC88" s="395"/>
      <c r="DD88" s="395"/>
      <c r="DE88" s="395"/>
      <c r="DF88" s="395"/>
      <c r="DG88" s="395"/>
      <c r="DH88" s="395"/>
      <c r="DI88" s="395"/>
      <c r="DJ88" s="395"/>
      <c r="DK88" s="395"/>
      <c r="DL88" s="395"/>
      <c r="DM88" s="395"/>
      <c r="DN88" s="395"/>
      <c r="DO88" s="395"/>
      <c r="DP88" s="395"/>
      <c r="DQ88" s="395"/>
      <c r="DR88" s="395"/>
      <c r="DS88" s="395"/>
      <c r="DT88" s="395"/>
      <c r="DU88" s="395"/>
      <c r="DV88" s="395"/>
      <c r="DW88" s="395"/>
      <c r="DX88" s="395"/>
      <c r="DY88" s="395"/>
      <c r="DZ88" s="395"/>
      <c r="EA88" s="395"/>
      <c r="EB88" s="395"/>
      <c r="EC88" s="395"/>
      <c r="ED88" s="395"/>
      <c r="EE88" s="395"/>
      <c r="EF88" s="395"/>
      <c r="EG88" s="395"/>
      <c r="EH88" s="395"/>
      <c r="EI88" s="395"/>
      <c r="EJ88" s="395"/>
      <c r="EK88" s="395"/>
      <c r="EL88" s="395"/>
      <c r="EM88" s="395"/>
      <c r="EN88" s="395"/>
      <c r="EO88" s="395"/>
      <c r="EP88" s="395"/>
      <c r="EQ88" s="395"/>
      <c r="ER88" s="395"/>
      <c r="ES88" s="395"/>
      <c r="ET88" s="395"/>
      <c r="EU88" s="395"/>
      <c r="EV88" s="395"/>
      <c r="EW88" s="395"/>
      <c r="EX88" s="395"/>
      <c r="EY88" s="395"/>
      <c r="EZ88" s="395"/>
      <c r="FA88" s="395"/>
      <c r="FB88" s="395"/>
      <c r="FC88" s="395"/>
      <c r="FD88" s="395"/>
      <c r="FE88" s="395"/>
      <c r="FF88" s="395"/>
      <c r="FG88" s="395"/>
      <c r="FH88" s="395"/>
      <c r="FI88" s="395"/>
      <c r="FJ88" s="395"/>
      <c r="FK88" s="395"/>
      <c r="FL88" s="395"/>
      <c r="FM88" s="395"/>
      <c r="FN88" s="395"/>
      <c r="FO88" s="395"/>
      <c r="FP88" s="395"/>
      <c r="FQ88" s="395"/>
      <c r="FR88" s="395"/>
      <c r="FS88" s="395"/>
      <c r="FT88" s="395"/>
      <c r="FU88" s="395"/>
      <c r="FV88" s="395"/>
      <c r="FW88" s="395"/>
      <c r="FX88" s="395"/>
      <c r="FY88" s="395"/>
      <c r="FZ88" s="395"/>
      <c r="GA88" s="395"/>
      <c r="GB88" s="395"/>
      <c r="GC88" s="395"/>
      <c r="GD88" s="395"/>
      <c r="GE88" s="395"/>
      <c r="GF88" s="395"/>
      <c r="GG88" s="395"/>
      <c r="GH88" s="395"/>
      <c r="GI88" s="395"/>
      <c r="GJ88" s="395"/>
      <c r="GK88" s="395"/>
      <c r="GL88" s="395"/>
      <c r="GM88" s="395"/>
      <c r="GN88" s="395"/>
      <c r="GO88" s="395"/>
      <c r="GP88" s="395"/>
      <c r="GQ88" s="395"/>
      <c r="GR88" s="395"/>
      <c r="GS88" s="395"/>
      <c r="GT88" s="395"/>
      <c r="GU88" s="395"/>
      <c r="GV88" s="395"/>
      <c r="GW88" s="395"/>
      <c r="GX88" s="395"/>
      <c r="GY88" s="395"/>
      <c r="GZ88" s="395"/>
      <c r="HA88" s="395"/>
      <c r="HB88" s="395"/>
      <c r="HC88" s="395"/>
      <c r="HD88" s="395"/>
      <c r="HE88" s="395"/>
      <c r="HF88" s="395"/>
      <c r="HG88" s="395"/>
      <c r="HH88" s="395"/>
      <c r="HI88" s="395"/>
      <c r="HJ88" s="395"/>
      <c r="HK88" s="395"/>
      <c r="HL88" s="395"/>
      <c r="HM88" s="395"/>
      <c r="HN88" s="395"/>
      <c r="HO88" s="395"/>
      <c r="HP88" s="395"/>
      <c r="HQ88" s="395"/>
      <c r="HR88" s="395"/>
      <c r="HS88" s="395"/>
      <c r="HT88" s="395"/>
      <c r="HU88" s="395"/>
      <c r="HV88" s="395"/>
      <c r="HW88" s="395"/>
      <c r="HX88" s="395"/>
      <c r="HY88" s="395"/>
      <c r="HZ88" s="395"/>
      <c r="IA88" s="395"/>
      <c r="IB88" s="395"/>
      <c r="IC88" s="395"/>
      <c r="ID88" s="395"/>
      <c r="IE88" s="395"/>
      <c r="IF88" s="395"/>
      <c r="IG88" s="395"/>
      <c r="IH88" s="395"/>
      <c r="II88" s="395"/>
      <c r="IJ88" s="395"/>
      <c r="IK88" s="395"/>
      <c r="IL88" s="395"/>
      <c r="IM88" s="395"/>
      <c r="IN88" s="395"/>
      <c r="IO88" s="395"/>
      <c r="IP88" s="395"/>
      <c r="IQ88" s="395"/>
      <c r="IR88" s="395"/>
      <c r="IS88" s="395"/>
      <c r="IT88" s="395"/>
      <c r="IU88" s="395"/>
      <c r="IV88" s="395"/>
      <c r="IW88" s="395"/>
    </row>
    <row r="89" customFormat="false" ht="12.75" hidden="false" customHeight="false" outlineLevel="0" collapsed="false">
      <c r="A89" s="461"/>
      <c r="B89" s="39" t="s">
        <v>502</v>
      </c>
      <c r="C89" s="39"/>
      <c r="D89" s="465"/>
      <c r="E89" s="61" t="n">
        <f aca="false">SUM(E80:E88)</f>
        <v>-3111.700911</v>
      </c>
      <c r="F89" s="61" t="n">
        <f aca="false">SUM(F80:F88)</f>
        <v>-8888.299092</v>
      </c>
      <c r="G89" s="61" t="n">
        <f aca="false">SUM(G80:G88)</f>
        <v>-6000</v>
      </c>
      <c r="H89" s="61" t="n">
        <f aca="false">SUM(H80:H88)</f>
        <v>1808.40622459731</v>
      </c>
      <c r="I89" s="61" t="n">
        <f aca="false">SUM(I80:I88)</f>
        <v>1513.61639514838</v>
      </c>
      <c r="J89" s="61" t="n">
        <f aca="false">SUM(J80:J88)</f>
        <v>1057.62752342084</v>
      </c>
      <c r="K89" s="61" t="n">
        <f aca="false">SUM(K80:K88)</f>
        <v>1533.39827522858</v>
      </c>
      <c r="L89" s="61" t="n">
        <f aca="false">SUM(L80:L88)</f>
        <v>323.738103450282</v>
      </c>
      <c r="M89" s="61" t="n">
        <f aca="false">SUM(M80:M88)</f>
        <v>1335.53226337104</v>
      </c>
      <c r="N89" s="61" t="n">
        <f aca="false">SUM(N80:N88)</f>
        <v>1497.78207683412</v>
      </c>
      <c r="O89" s="61" t="n">
        <f aca="false">SUM(O80:O88)</f>
        <v>2594.11977472928</v>
      </c>
      <c r="P89" s="61" t="n">
        <f aca="false">SUM(P80:P88)</f>
        <v>3888.39892408753</v>
      </c>
      <c r="Q89" s="61" t="n">
        <f aca="false">SUM(Q80:Q88)</f>
        <v>4206.23045519098</v>
      </c>
      <c r="R89" s="61" t="n">
        <f aca="false">SUM(R80:R88)</f>
        <v>3799.31627815868</v>
      </c>
      <c r="S89" s="61" t="n">
        <f aca="false">SUM(S80:S88)</f>
        <v>2562.22381549152</v>
      </c>
      <c r="T89" s="61" t="n">
        <f aca="false">SUM(T80:T88)</f>
        <v>2557.8500802348</v>
      </c>
      <c r="U89" s="61" t="n">
        <f aca="false">SUM(U80:U88)</f>
        <v>3177.04907820271</v>
      </c>
      <c r="V89" s="61" t="n">
        <f aca="false">SUM(V80:V88)</f>
        <v>4222.78019969927</v>
      </c>
      <c r="W89" s="61" t="n">
        <f aca="false">SUM(W80:W88)</f>
        <v>6244.27846441811</v>
      </c>
      <c r="X89" s="61" t="n">
        <f aca="false">SUM(X80:X88)</f>
        <v>6397.5780367493</v>
      </c>
      <c r="Y89" s="61" t="n">
        <f aca="false">SUM(Y80:Y88)</f>
        <v>6568.37337429668</v>
      </c>
      <c r="Z89" s="61" t="n">
        <f aca="false">SUM(Z80:Z88)</f>
        <v>103726.493559014</v>
      </c>
      <c r="AA89" s="309" t="n">
        <f aca="false">SUM(D89:Z89)</f>
        <v>141014.792899324</v>
      </c>
      <c r="AB89" s="309" t="n">
        <f aca="false">SUM(AB80:AB88)</f>
        <v>-5092.73334209205</v>
      </c>
      <c r="AD89" s="508"/>
      <c r="AE89" s="508"/>
      <c r="AF89" s="508"/>
      <c r="AG89" s="508"/>
      <c r="AH89" s="508"/>
      <c r="AI89" s="508"/>
      <c r="AJ89" s="508"/>
      <c r="AK89" s="508"/>
      <c r="AL89" s="508"/>
      <c r="AM89" s="508"/>
      <c r="AN89" s="508"/>
      <c r="AO89" s="508"/>
      <c r="AP89" s="508"/>
      <c r="AQ89" s="508"/>
      <c r="AR89" s="508"/>
      <c r="AS89" s="508"/>
      <c r="AT89" s="508"/>
      <c r="AU89" s="508"/>
      <c r="AV89" s="508"/>
      <c r="AW89" s="508"/>
      <c r="AX89" s="508"/>
      <c r="AY89" s="508"/>
      <c r="AZ89" s="508"/>
      <c r="BA89" s="508"/>
      <c r="BB89" s="508"/>
      <c r="BC89" s="508"/>
      <c r="BD89" s="508"/>
      <c r="BE89" s="508"/>
      <c r="BF89" s="508"/>
      <c r="BG89" s="508"/>
      <c r="BH89" s="508"/>
      <c r="BI89" s="508"/>
      <c r="BJ89" s="508"/>
      <c r="BK89" s="508"/>
      <c r="BL89" s="508"/>
      <c r="BM89" s="508"/>
      <c r="BN89" s="508"/>
      <c r="BO89" s="508"/>
      <c r="BP89" s="508"/>
      <c r="BQ89" s="508"/>
      <c r="BR89" s="508"/>
      <c r="BS89" s="508"/>
      <c r="BT89" s="508"/>
      <c r="BU89" s="508"/>
      <c r="BV89" s="508"/>
      <c r="BW89" s="508"/>
      <c r="BX89" s="508"/>
      <c r="BY89" s="508"/>
      <c r="BZ89" s="508"/>
      <c r="CA89" s="508"/>
      <c r="CB89" s="508"/>
      <c r="CC89" s="508"/>
      <c r="CD89" s="508"/>
      <c r="CE89" s="508"/>
      <c r="CF89" s="508"/>
      <c r="CG89" s="508"/>
      <c r="CH89" s="508"/>
      <c r="CI89" s="508"/>
      <c r="CJ89" s="508"/>
      <c r="CK89" s="508"/>
      <c r="CL89" s="508"/>
      <c r="CM89" s="508"/>
      <c r="CN89" s="508"/>
      <c r="CO89" s="508"/>
      <c r="CP89" s="508"/>
      <c r="CQ89" s="508"/>
      <c r="CR89" s="508"/>
      <c r="CS89" s="508"/>
      <c r="CT89" s="508"/>
      <c r="CU89" s="508"/>
      <c r="CV89" s="508"/>
      <c r="CW89" s="508"/>
      <c r="CX89" s="508"/>
      <c r="CY89" s="508"/>
      <c r="CZ89" s="508"/>
      <c r="DA89" s="508"/>
      <c r="DB89" s="508"/>
      <c r="DC89" s="508"/>
      <c r="DD89" s="508"/>
      <c r="DE89" s="508"/>
      <c r="DF89" s="508"/>
      <c r="DG89" s="508"/>
      <c r="DH89" s="508"/>
      <c r="DI89" s="508"/>
      <c r="DJ89" s="508"/>
      <c r="DK89" s="508"/>
      <c r="DL89" s="508"/>
      <c r="DM89" s="508"/>
      <c r="DN89" s="508"/>
      <c r="DO89" s="508"/>
      <c r="DP89" s="508"/>
      <c r="DQ89" s="508"/>
      <c r="DR89" s="508"/>
      <c r="DS89" s="508"/>
      <c r="DT89" s="508"/>
      <c r="DU89" s="508"/>
      <c r="DV89" s="508"/>
      <c r="DW89" s="508"/>
      <c r="DX89" s="508"/>
      <c r="DY89" s="508"/>
      <c r="DZ89" s="508"/>
      <c r="EA89" s="508"/>
      <c r="EB89" s="508"/>
      <c r="EC89" s="508"/>
      <c r="ED89" s="508"/>
      <c r="EE89" s="508"/>
      <c r="EF89" s="508"/>
      <c r="EG89" s="508"/>
      <c r="EH89" s="508"/>
      <c r="EI89" s="508"/>
      <c r="EJ89" s="508"/>
      <c r="EK89" s="508"/>
      <c r="EL89" s="508"/>
      <c r="EM89" s="508"/>
      <c r="EN89" s="508"/>
      <c r="EO89" s="508"/>
      <c r="EP89" s="508"/>
      <c r="EQ89" s="508"/>
      <c r="ER89" s="508"/>
      <c r="ES89" s="508"/>
      <c r="ET89" s="508"/>
      <c r="EU89" s="508"/>
      <c r="EV89" s="508"/>
      <c r="EW89" s="508"/>
      <c r="EX89" s="508"/>
      <c r="EY89" s="508"/>
      <c r="EZ89" s="508"/>
      <c r="FA89" s="508"/>
      <c r="FB89" s="508"/>
      <c r="FC89" s="508"/>
      <c r="FD89" s="508"/>
      <c r="FE89" s="508"/>
      <c r="FF89" s="508"/>
      <c r="FG89" s="508"/>
      <c r="FH89" s="508"/>
      <c r="FI89" s="508"/>
      <c r="FJ89" s="508"/>
      <c r="FK89" s="508"/>
      <c r="FL89" s="508"/>
      <c r="FM89" s="508"/>
      <c r="FN89" s="508"/>
      <c r="FO89" s="508"/>
      <c r="FP89" s="508"/>
      <c r="FQ89" s="508"/>
      <c r="FR89" s="508"/>
      <c r="FS89" s="508"/>
      <c r="FT89" s="508"/>
      <c r="FU89" s="508"/>
      <c r="FV89" s="508"/>
      <c r="FW89" s="508"/>
      <c r="FX89" s="508"/>
      <c r="FY89" s="508"/>
      <c r="FZ89" s="508"/>
      <c r="GA89" s="508"/>
      <c r="GB89" s="508"/>
      <c r="GC89" s="508"/>
      <c r="GD89" s="508"/>
      <c r="GE89" s="508"/>
      <c r="GF89" s="508"/>
      <c r="GG89" s="508"/>
      <c r="GH89" s="508"/>
      <c r="GI89" s="508"/>
      <c r="GJ89" s="508"/>
      <c r="GK89" s="508"/>
      <c r="GL89" s="508"/>
      <c r="GM89" s="508"/>
      <c r="GN89" s="508"/>
      <c r="GO89" s="508"/>
      <c r="GP89" s="508"/>
      <c r="GQ89" s="508"/>
      <c r="GR89" s="508"/>
      <c r="GS89" s="508"/>
      <c r="GT89" s="508"/>
      <c r="GU89" s="508"/>
      <c r="GV89" s="508"/>
      <c r="GW89" s="508"/>
      <c r="GX89" s="508"/>
      <c r="GY89" s="508"/>
      <c r="GZ89" s="508"/>
      <c r="HA89" s="508"/>
      <c r="HB89" s="508"/>
      <c r="HC89" s="508"/>
      <c r="HD89" s="508"/>
      <c r="HE89" s="508"/>
      <c r="HF89" s="508"/>
      <c r="HG89" s="508"/>
      <c r="HH89" s="508"/>
      <c r="HI89" s="508"/>
      <c r="HJ89" s="508"/>
      <c r="HK89" s="508"/>
      <c r="HL89" s="508"/>
      <c r="HM89" s="508"/>
      <c r="HN89" s="508"/>
      <c r="HO89" s="508"/>
      <c r="HP89" s="508"/>
      <c r="HQ89" s="508"/>
      <c r="HR89" s="508"/>
      <c r="HS89" s="508"/>
      <c r="HT89" s="508"/>
      <c r="HU89" s="508"/>
      <c r="HV89" s="508"/>
      <c r="HW89" s="508"/>
      <c r="HX89" s="508"/>
      <c r="HY89" s="508"/>
      <c r="HZ89" s="508"/>
      <c r="IA89" s="508"/>
      <c r="IB89" s="508"/>
      <c r="IC89" s="508"/>
      <c r="ID89" s="508"/>
      <c r="IE89" s="508"/>
      <c r="IF89" s="508"/>
      <c r="IG89" s="508"/>
      <c r="IH89" s="508"/>
      <c r="II89" s="508"/>
      <c r="IJ89" s="508"/>
      <c r="IK89" s="508"/>
      <c r="IL89" s="508"/>
      <c r="IM89" s="508"/>
      <c r="IN89" s="508"/>
      <c r="IO89" s="508"/>
      <c r="IP89" s="508"/>
      <c r="IQ89" s="508"/>
      <c r="IR89" s="508"/>
      <c r="IS89" s="508"/>
      <c r="IT89" s="508"/>
      <c r="IU89" s="508"/>
      <c r="IV89" s="508"/>
      <c r="IW89" s="508"/>
    </row>
    <row r="90" customFormat="false" ht="12.75" hidden="false" customHeight="false" outlineLevel="0" collapsed="false">
      <c r="A90" s="461"/>
      <c r="B90" s="39"/>
      <c r="C90" s="39"/>
      <c r="D90" s="465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309"/>
      <c r="AB90" s="302"/>
      <c r="AD90" s="508"/>
      <c r="AE90" s="508"/>
      <c r="AF90" s="508"/>
      <c r="AG90" s="508"/>
      <c r="AH90" s="508"/>
      <c r="AI90" s="508"/>
      <c r="AJ90" s="508"/>
      <c r="AK90" s="508"/>
      <c r="AL90" s="508"/>
      <c r="AM90" s="508"/>
      <c r="AN90" s="508"/>
      <c r="AO90" s="508"/>
      <c r="AP90" s="508"/>
      <c r="AQ90" s="508"/>
      <c r="AR90" s="508"/>
      <c r="AS90" s="508"/>
      <c r="AT90" s="508"/>
      <c r="AU90" s="508"/>
      <c r="AV90" s="508"/>
      <c r="AW90" s="508"/>
      <c r="AX90" s="508"/>
      <c r="AY90" s="508"/>
      <c r="AZ90" s="508"/>
      <c r="BA90" s="508"/>
      <c r="BB90" s="508"/>
      <c r="BC90" s="508"/>
      <c r="BD90" s="508"/>
      <c r="BE90" s="508"/>
      <c r="BF90" s="508"/>
      <c r="BG90" s="508"/>
      <c r="BH90" s="508"/>
      <c r="BI90" s="508"/>
      <c r="BJ90" s="508"/>
      <c r="BK90" s="508"/>
      <c r="BL90" s="508"/>
      <c r="BM90" s="508"/>
      <c r="BN90" s="508"/>
      <c r="BO90" s="508"/>
      <c r="BP90" s="508"/>
      <c r="BQ90" s="508"/>
      <c r="BR90" s="508"/>
      <c r="BS90" s="508"/>
      <c r="BT90" s="508"/>
      <c r="BU90" s="508"/>
      <c r="BV90" s="508"/>
      <c r="BW90" s="508"/>
      <c r="BX90" s="508"/>
      <c r="BY90" s="508"/>
      <c r="BZ90" s="508"/>
      <c r="CA90" s="508"/>
      <c r="CB90" s="508"/>
      <c r="CC90" s="508"/>
      <c r="CD90" s="508"/>
      <c r="CE90" s="508"/>
      <c r="CF90" s="508"/>
      <c r="CG90" s="508"/>
      <c r="CH90" s="508"/>
      <c r="CI90" s="508"/>
      <c r="CJ90" s="508"/>
      <c r="CK90" s="508"/>
      <c r="CL90" s="508"/>
      <c r="CM90" s="508"/>
      <c r="CN90" s="508"/>
      <c r="CO90" s="508"/>
      <c r="CP90" s="508"/>
      <c r="CQ90" s="508"/>
      <c r="CR90" s="508"/>
      <c r="CS90" s="508"/>
      <c r="CT90" s="508"/>
      <c r="CU90" s="508"/>
      <c r="CV90" s="508"/>
      <c r="CW90" s="508"/>
      <c r="CX90" s="508"/>
      <c r="CY90" s="508"/>
      <c r="CZ90" s="508"/>
      <c r="DA90" s="508"/>
      <c r="DB90" s="508"/>
      <c r="DC90" s="508"/>
      <c r="DD90" s="508"/>
      <c r="DE90" s="508"/>
      <c r="DF90" s="508"/>
      <c r="DG90" s="508"/>
      <c r="DH90" s="508"/>
      <c r="DI90" s="508"/>
      <c r="DJ90" s="508"/>
      <c r="DK90" s="508"/>
      <c r="DL90" s="508"/>
      <c r="DM90" s="508"/>
      <c r="DN90" s="508"/>
      <c r="DO90" s="508"/>
      <c r="DP90" s="508"/>
      <c r="DQ90" s="508"/>
      <c r="DR90" s="508"/>
      <c r="DS90" s="508"/>
      <c r="DT90" s="508"/>
      <c r="DU90" s="508"/>
      <c r="DV90" s="508"/>
      <c r="DW90" s="508"/>
      <c r="DX90" s="508"/>
      <c r="DY90" s="508"/>
      <c r="DZ90" s="508"/>
      <c r="EA90" s="508"/>
      <c r="EB90" s="508"/>
      <c r="EC90" s="508"/>
      <c r="ED90" s="508"/>
      <c r="EE90" s="508"/>
      <c r="EF90" s="508"/>
      <c r="EG90" s="508"/>
      <c r="EH90" s="508"/>
      <c r="EI90" s="508"/>
      <c r="EJ90" s="508"/>
      <c r="EK90" s="508"/>
      <c r="EL90" s="508"/>
      <c r="EM90" s="508"/>
      <c r="EN90" s="508"/>
      <c r="EO90" s="508"/>
      <c r="EP90" s="508"/>
      <c r="EQ90" s="508"/>
      <c r="ER90" s="508"/>
      <c r="ES90" s="508"/>
      <c r="ET90" s="508"/>
      <c r="EU90" s="508"/>
      <c r="EV90" s="508"/>
      <c r="EW90" s="508"/>
      <c r="EX90" s="508"/>
      <c r="EY90" s="508"/>
      <c r="EZ90" s="508"/>
      <c r="FA90" s="508"/>
      <c r="FB90" s="508"/>
      <c r="FC90" s="508"/>
      <c r="FD90" s="508"/>
      <c r="FE90" s="508"/>
      <c r="FF90" s="508"/>
      <c r="FG90" s="508"/>
      <c r="FH90" s="508"/>
      <c r="FI90" s="508"/>
      <c r="FJ90" s="508"/>
      <c r="FK90" s="508"/>
      <c r="FL90" s="508"/>
      <c r="FM90" s="508"/>
      <c r="FN90" s="508"/>
      <c r="FO90" s="508"/>
      <c r="FP90" s="508"/>
      <c r="FQ90" s="508"/>
      <c r="FR90" s="508"/>
      <c r="FS90" s="508"/>
      <c r="FT90" s="508"/>
      <c r="FU90" s="508"/>
      <c r="FV90" s="508"/>
      <c r="FW90" s="508"/>
      <c r="FX90" s="508"/>
      <c r="FY90" s="508"/>
      <c r="FZ90" s="508"/>
      <c r="GA90" s="508"/>
      <c r="GB90" s="508"/>
      <c r="GC90" s="508"/>
      <c r="GD90" s="508"/>
      <c r="GE90" s="508"/>
      <c r="GF90" s="508"/>
      <c r="GG90" s="508"/>
      <c r="GH90" s="508"/>
      <c r="GI90" s="508"/>
      <c r="GJ90" s="508"/>
      <c r="GK90" s="508"/>
      <c r="GL90" s="508"/>
      <c r="GM90" s="508"/>
      <c r="GN90" s="508"/>
      <c r="GO90" s="508"/>
      <c r="GP90" s="508"/>
      <c r="GQ90" s="508"/>
      <c r="GR90" s="508"/>
      <c r="GS90" s="508"/>
      <c r="GT90" s="508"/>
      <c r="GU90" s="508"/>
      <c r="GV90" s="508"/>
      <c r="GW90" s="508"/>
      <c r="GX90" s="508"/>
      <c r="GY90" s="508"/>
      <c r="GZ90" s="508"/>
      <c r="HA90" s="508"/>
      <c r="HB90" s="508"/>
      <c r="HC90" s="508"/>
      <c r="HD90" s="508"/>
      <c r="HE90" s="508"/>
      <c r="HF90" s="508"/>
      <c r="HG90" s="508"/>
      <c r="HH90" s="508"/>
      <c r="HI90" s="508"/>
      <c r="HJ90" s="508"/>
      <c r="HK90" s="508"/>
      <c r="HL90" s="508"/>
      <c r="HM90" s="508"/>
      <c r="HN90" s="508"/>
      <c r="HO90" s="508"/>
      <c r="HP90" s="508"/>
      <c r="HQ90" s="508"/>
      <c r="HR90" s="508"/>
      <c r="HS90" s="508"/>
      <c r="HT90" s="508"/>
      <c r="HU90" s="508"/>
      <c r="HV90" s="508"/>
      <c r="HW90" s="508"/>
      <c r="HX90" s="508"/>
      <c r="HY90" s="508"/>
      <c r="HZ90" s="508"/>
      <c r="IA90" s="508"/>
      <c r="IB90" s="508"/>
      <c r="IC90" s="508"/>
      <c r="ID90" s="508"/>
      <c r="IE90" s="508"/>
      <c r="IF90" s="508"/>
      <c r="IG90" s="508"/>
      <c r="IH90" s="508"/>
      <c r="II90" s="508"/>
      <c r="IJ90" s="508"/>
      <c r="IK90" s="508"/>
      <c r="IL90" s="508"/>
      <c r="IM90" s="508"/>
      <c r="IN90" s="508"/>
      <c r="IO90" s="508"/>
      <c r="IP90" s="508"/>
      <c r="IQ90" s="508"/>
      <c r="IR90" s="508"/>
      <c r="IS90" s="508"/>
      <c r="IT90" s="508"/>
      <c r="IU90" s="508"/>
      <c r="IV90" s="508"/>
      <c r="IW90" s="508"/>
    </row>
    <row r="91" customFormat="false" ht="12.75" hidden="false" customHeight="false" outlineLevel="0" collapsed="false">
      <c r="A91" s="461"/>
      <c r="B91" s="39" t="s">
        <v>503</v>
      </c>
      <c r="C91" s="39"/>
      <c r="D91" s="329"/>
      <c r="E91" s="61" t="n">
        <f aca="false">$E89</f>
        <v>-3111.700911</v>
      </c>
      <c r="F91" s="61" t="n">
        <f aca="false">$E89+NPV(Disc,$F89:F89)</f>
        <v>-10580.8598118403</v>
      </c>
      <c r="G91" s="61" t="n">
        <f aca="false">$E89+NPV(Disc,$F89:G89)</f>
        <v>-14817.8487250527</v>
      </c>
      <c r="H91" s="61" t="n">
        <f aca="false">$E89+NPV(Disc,$F89:H89)</f>
        <v>-13744.7118729234</v>
      </c>
      <c r="I91" s="61" t="n">
        <f aca="false">$E89+NPV(Disc,$F89:I89)</f>
        <v>-12989.9186750442</v>
      </c>
      <c r="J91" s="61" t="n">
        <f aca="false">$E89+NPV(Disc,$F89:J89)</f>
        <v>-12546.7205266754</v>
      </c>
      <c r="K91" s="61" t="n">
        <f aca="false">$E89+NPV(Disc,$F89:K89)</f>
        <v>-12006.7460874979</v>
      </c>
      <c r="L91" s="61" t="n">
        <f aca="false">$E89+NPV(Disc,$F89:L89)</f>
        <v>-11910.9461802899</v>
      </c>
      <c r="M91" s="61" t="n">
        <f aca="false">$E89+NPV(Disc,$F89:M89)</f>
        <v>-11578.8386730317</v>
      </c>
      <c r="N91" s="61" t="n">
        <f aca="false">$E89+NPV(Disc,$F89:N89)</f>
        <v>-11265.8519055267</v>
      </c>
      <c r="O91" s="61" t="n">
        <f aca="false">$E89+NPV(Disc,$F89:O89)</f>
        <v>-10810.3183113294</v>
      </c>
      <c r="P91" s="61" t="n">
        <f aca="false">$E89+NPV(Disc,$F89:P89)</f>
        <v>-10236.5266415001</v>
      </c>
      <c r="Q91" s="61" t="n">
        <f aca="false">$E89+NPV(Disc,$F89:Q89)</f>
        <v>-9714.93631673713</v>
      </c>
      <c r="R91" s="61" t="n">
        <f aca="false">$E89+NPV(Disc,$F89:R89)</f>
        <v>-9319.02770343964</v>
      </c>
      <c r="S91" s="61" t="n">
        <f aca="false">$E89+NPV(Disc,$F89:S89)</f>
        <v>-9094.66038156728</v>
      </c>
      <c r="T91" s="61" t="n">
        <f aca="false">$E89+NPV(Disc,$F89:T89)</f>
        <v>-8906.43825957374</v>
      </c>
      <c r="U91" s="61" t="n">
        <f aca="false">$E89+NPV(Disc,$F89:U89)</f>
        <v>-8709.97898256504</v>
      </c>
      <c r="V91" s="61" t="n">
        <f aca="false">$E89+NPV(Disc,$F89:V89)</f>
        <v>-8490.54689598317</v>
      </c>
      <c r="W91" s="61" t="n">
        <f aca="false">$E89+NPV(Disc,$F89:W89)</f>
        <v>-8217.87714772825</v>
      </c>
      <c r="X91" s="61" t="n">
        <f aca="false">$E89+NPV(Disc,$F89:X89)</f>
        <v>-7983.11756679067</v>
      </c>
      <c r="Y91" s="61" t="n">
        <f aca="false">$E89+NPV(Disc,$F89:Y89)</f>
        <v>-7780.57392982199</v>
      </c>
      <c r="Z91" s="61" t="n">
        <f aca="false">$E89+NPV(Disc,$F89:Z89)</f>
        <v>-5092.73334209205</v>
      </c>
      <c r="AA91" s="309"/>
      <c r="AB91" s="302"/>
    </row>
    <row r="92" customFormat="false" ht="12.75" hidden="false" customHeight="false" outlineLevel="0" collapsed="false">
      <c r="A92" s="461"/>
      <c r="B92" s="39" t="s">
        <v>504</v>
      </c>
      <c r="C92" s="39"/>
      <c r="D92" s="95"/>
      <c r="E92" s="95" t="e">
        <f aca="false">IRR($E89:E89,-0.9)</f>
        <v>#N/A</v>
      </c>
      <c r="F92" s="95" t="e">
        <f aca="false">IRR($E89:F89,-0.9)</f>
        <v>#N/A</v>
      </c>
      <c r="G92" s="95" t="e">
        <f aca="false">IRR($E89:G89,-0.9)</f>
        <v>#N/A</v>
      </c>
      <c r="H92" s="95" t="n">
        <f aca="false">IRR($E89:H89,-0.9)</f>
        <v>-0.777586013132789</v>
      </c>
      <c r="I92" s="95" t="n">
        <f aca="false">IRR($E89:I89,-0.9)</f>
        <v>-0.533335271006094</v>
      </c>
      <c r="J92" s="95" t="n">
        <f aca="false">IRR($E89:J89,-0.9)</f>
        <v>-0.405947126314673</v>
      </c>
      <c r="K92" s="95" t="n">
        <f aca="false">IRR($E89:K89,-0.9)</f>
        <v>-0.280608575933719</v>
      </c>
      <c r="L92" s="95" t="n">
        <f aca="false">IRR($E89:L89,-0.9)</f>
        <v>-0.258486272225605</v>
      </c>
      <c r="M92" s="95" t="e">
        <f aca="false">IRR($E89:M89,-0.9)</f>
        <v>#N/A</v>
      </c>
      <c r="N92" s="95" t="e">
        <f aca="false">IRR($E89:N89,-0.9)</f>
        <v>#N/A</v>
      </c>
      <c r="O92" s="95" t="e">
        <f aca="false">IRR($E89:O89,-0.9)</f>
        <v>#N/A</v>
      </c>
      <c r="P92" s="95" t="e">
        <f aca="false">IRR($E89:P89,-0.9)</f>
        <v>#N/A</v>
      </c>
      <c r="Q92" s="95" t="e">
        <f aca="false">IRR($E89:Q89,-0.9)</f>
        <v>#N/A</v>
      </c>
      <c r="R92" s="95" t="e">
        <f aca="false">IRR($E89:R89,-0.9)</f>
        <v>#N/A</v>
      </c>
      <c r="S92" s="95" t="e">
        <f aca="false">IRR($E89:S89,-0.9)</f>
        <v>#N/A</v>
      </c>
      <c r="T92" s="95" t="e">
        <f aca="false">IRR($E89:T89,-0.9)</f>
        <v>#N/A</v>
      </c>
      <c r="U92" s="95" t="e">
        <f aca="false">IRR($E89:U89,-0.9)</f>
        <v>#N/A</v>
      </c>
      <c r="V92" s="95" t="e">
        <f aca="false">IRR($E89:V89,-0.9)</f>
        <v>#N/A</v>
      </c>
      <c r="W92" s="95" t="e">
        <f aca="false">IRR($E89:W89,-0.9)</f>
        <v>#N/A</v>
      </c>
      <c r="X92" s="95" t="e">
        <f aca="false">IRR($E89:X89,-0.9)</f>
        <v>#N/A</v>
      </c>
      <c r="Y92" s="95" t="e">
        <f aca="false">IRR($E89:Y89,-0.9)</f>
        <v>#N/A</v>
      </c>
      <c r="Z92" s="95" t="e">
        <f aca="false">IRR($E89:Z89,-0.9)</f>
        <v>#N/A</v>
      </c>
      <c r="AA92" s="302"/>
      <c r="AB92" s="467" t="n">
        <f aca="false">IRR($E89:Z89)</f>
        <v>0.150030370385566</v>
      </c>
    </row>
    <row r="93" customFormat="false" ht="12.75" hidden="false" customHeight="false" outlineLevel="0" collapsed="false">
      <c r="A93" s="461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02"/>
      <c r="AB93" s="302"/>
    </row>
    <row r="94" customFormat="false" ht="12.75" hidden="false" customHeight="false" outlineLevel="0" collapsed="false">
      <c r="A94" s="461"/>
      <c r="B94" s="470" t="str">
        <f aca="false">CONCATENATE(Assm!$H$62," NPV @ ",TEXT(Disc,"0.0%"))</f>
        <v>Shell NPV @ 19.0%</v>
      </c>
      <c r="C94" s="471" t="n">
        <f aca="false">AB89</f>
        <v>-5092.73334209205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02"/>
      <c r="AB94" s="302"/>
    </row>
    <row r="95" customFormat="false" ht="13.5" hidden="false" customHeight="false" outlineLevel="0" collapsed="false">
      <c r="A95" s="280"/>
      <c r="B95" s="535" t="str">
        <f aca="false">CONCATENATE(Assm!$H$62," IRR")</f>
        <v>Shell IRR</v>
      </c>
      <c r="C95" s="536" t="n">
        <f aca="false">AB92</f>
        <v>0.150030370385566</v>
      </c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362"/>
      <c r="AB95" s="362"/>
    </row>
    <row r="96" customFormat="false" ht="13.5" hidden="false" customHeight="false" outlineLevel="0" collapsed="false">
      <c r="A96" s="47"/>
      <c r="B96" s="38"/>
      <c r="C96" s="38"/>
      <c r="D96" s="477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B96" s="39"/>
    </row>
    <row r="97" customFormat="false" ht="12.75" hidden="false" customHeight="false" outlineLevel="0" collapsed="false">
      <c r="A97" s="458" t="str">
        <f aca="false">CONCATENATE(Assm!$H$63," Returns")</f>
        <v>Transredes Returns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88"/>
      <c r="AB97" s="288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  <c r="FO97" s="39"/>
      <c r="FP97" s="39"/>
      <c r="FQ97" s="39"/>
      <c r="FR97" s="39"/>
      <c r="FS97" s="39"/>
      <c r="FT97" s="39"/>
      <c r="FU97" s="39"/>
      <c r="FV97" s="39"/>
      <c r="FW97" s="39"/>
      <c r="FX97" s="39"/>
      <c r="FY97" s="39"/>
      <c r="FZ97" s="39"/>
      <c r="GA97" s="39"/>
      <c r="GB97" s="39"/>
      <c r="GC97" s="39"/>
      <c r="GD97" s="39"/>
      <c r="GE97" s="39"/>
      <c r="GF97" s="39"/>
      <c r="GG97" s="39"/>
      <c r="GH97" s="39"/>
      <c r="GI97" s="39"/>
      <c r="GJ97" s="39"/>
      <c r="GK97" s="39"/>
      <c r="GL97" s="39"/>
      <c r="GM97" s="39"/>
      <c r="GN97" s="39"/>
      <c r="GO97" s="39"/>
      <c r="GP97" s="39"/>
      <c r="GQ97" s="39"/>
      <c r="GR97" s="39"/>
      <c r="GS97" s="39"/>
      <c r="GT97" s="39"/>
      <c r="GU97" s="39"/>
      <c r="GV97" s="39"/>
      <c r="GW97" s="39"/>
      <c r="GX97" s="39"/>
      <c r="GY97" s="39"/>
      <c r="GZ97" s="39"/>
      <c r="HA97" s="39"/>
      <c r="HB97" s="39"/>
      <c r="HC97" s="39"/>
      <c r="HD97" s="39"/>
      <c r="HE97" s="39"/>
      <c r="HF97" s="39"/>
      <c r="HG97" s="39"/>
      <c r="HH97" s="39"/>
      <c r="HI97" s="39"/>
      <c r="HJ97" s="39"/>
      <c r="HK97" s="39"/>
      <c r="HL97" s="39"/>
      <c r="HM97" s="39"/>
      <c r="HN97" s="39"/>
      <c r="HO97" s="39"/>
      <c r="HP97" s="39"/>
      <c r="HQ97" s="39"/>
      <c r="HR97" s="39"/>
      <c r="HS97" s="39"/>
      <c r="HT97" s="39"/>
      <c r="HU97" s="39"/>
      <c r="HV97" s="39"/>
      <c r="HW97" s="39"/>
      <c r="HX97" s="39"/>
      <c r="HY97" s="39"/>
      <c r="HZ97" s="39"/>
      <c r="IA97" s="39"/>
      <c r="IB97" s="39"/>
      <c r="IC97" s="39"/>
      <c r="ID97" s="39"/>
      <c r="IE97" s="39"/>
      <c r="IF97" s="39"/>
      <c r="IG97" s="39"/>
      <c r="IH97" s="39"/>
      <c r="II97" s="39"/>
      <c r="IJ97" s="39"/>
      <c r="IK97" s="39"/>
      <c r="IL97" s="39"/>
      <c r="IM97" s="39"/>
      <c r="IN97" s="39"/>
      <c r="IO97" s="39"/>
      <c r="IP97" s="39"/>
      <c r="IQ97" s="39"/>
      <c r="IR97" s="39"/>
      <c r="IS97" s="39"/>
      <c r="IT97" s="39"/>
      <c r="IU97" s="39"/>
      <c r="IV97" s="39"/>
      <c r="IW97" s="39"/>
    </row>
    <row r="98" customFormat="false" ht="12.75" hidden="false" customHeight="false" outlineLevel="0" collapsed="false">
      <c r="A98" s="530" t="n">
        <f aca="false">IF(Assm!$L$66=1,Assm!$K$71,Assm!$K$63)</f>
        <v>0.4</v>
      </c>
      <c r="B98" s="39" t="s">
        <v>498</v>
      </c>
      <c r="C98" s="39"/>
      <c r="D98" s="329"/>
      <c r="E98" s="61" t="n">
        <f aca="false">E$10*$A98</f>
        <v>-4148.934548</v>
      </c>
      <c r="F98" s="61" t="n">
        <f aca="false">F$10*$A98</f>
        <v>-11851.065456</v>
      </c>
      <c r="G98" s="61" t="n">
        <f aca="false">G$10*$A98</f>
        <v>-8000</v>
      </c>
      <c r="H98" s="61" t="n">
        <f aca="false">H$10*$A98</f>
        <v>-0</v>
      </c>
      <c r="I98" s="61" t="n">
        <f aca="false">I$10*$A98</f>
        <v>-0</v>
      </c>
      <c r="J98" s="61" t="n">
        <f aca="false">J$10*$A98</f>
        <v>-0</v>
      </c>
      <c r="K98" s="61" t="n">
        <f aca="false">K$10*$A98</f>
        <v>-0</v>
      </c>
      <c r="L98" s="61" t="n">
        <f aca="false">L$10*$A98</f>
        <v>-0</v>
      </c>
      <c r="M98" s="61" t="n">
        <f aca="false">M$10*$A98</f>
        <v>-0</v>
      </c>
      <c r="N98" s="61" t="n">
        <f aca="false">N$10*$A98</f>
        <v>-0</v>
      </c>
      <c r="O98" s="61" t="n">
        <f aca="false">O$10*$A98</f>
        <v>-0</v>
      </c>
      <c r="P98" s="61" t="n">
        <f aca="false">P$10*$A98</f>
        <v>-0</v>
      </c>
      <c r="Q98" s="61" t="n">
        <f aca="false">Q$10*$A98</f>
        <v>-0</v>
      </c>
      <c r="R98" s="61" t="n">
        <f aca="false">R$10*$A98</f>
        <v>-0</v>
      </c>
      <c r="S98" s="61" t="n">
        <f aca="false">S$10*$A98</f>
        <v>-0</v>
      </c>
      <c r="T98" s="61" t="n">
        <f aca="false">T$10*$A98</f>
        <v>-0</v>
      </c>
      <c r="U98" s="61" t="n">
        <f aca="false">U$10*$A98</f>
        <v>-0</v>
      </c>
      <c r="V98" s="61" t="n">
        <f aca="false">V$10*$A98</f>
        <v>-0</v>
      </c>
      <c r="W98" s="61" t="n">
        <f aca="false">W$10*$A98</f>
        <v>-0</v>
      </c>
      <c r="X98" s="61" t="n">
        <f aca="false">X$10*$A98</f>
        <v>-0</v>
      </c>
      <c r="Y98" s="61" t="n">
        <f aca="false">Y$10*$A98</f>
        <v>-0</v>
      </c>
      <c r="Z98" s="61" t="n">
        <f aca="false">Z$10*$A98</f>
        <v>-0</v>
      </c>
      <c r="AA98" s="309" t="n">
        <f aca="false">SUM(E98:Z98)</f>
        <v>-24000.000004</v>
      </c>
      <c r="AB98" s="309" t="n">
        <f aca="false">$E98+NPV(Disc,$F98:Z98)</f>
        <v>-19757.1316334036</v>
      </c>
    </row>
    <row r="99" customFormat="false" ht="12.75" hidden="false" customHeight="false" outlineLevel="0" collapsed="false">
      <c r="A99" s="530" t="n">
        <f aca="false">IF(Assm!$L$66=1,Assm!$L$71,Assm!L63)</f>
        <v>0.4</v>
      </c>
      <c r="B99" s="39" t="s">
        <v>499</v>
      </c>
      <c r="C99" s="39"/>
      <c r="D99" s="329"/>
      <c r="E99" s="61" t="n">
        <f aca="false">E$11*$A99</f>
        <v>0</v>
      </c>
      <c r="F99" s="61" t="n">
        <f aca="false">F$11*$A99</f>
        <v>0</v>
      </c>
      <c r="G99" s="61" t="n">
        <f aca="false">G$11*$A99</f>
        <v>0</v>
      </c>
      <c r="H99" s="61" t="n">
        <f aca="false">H$11*$A99</f>
        <v>0</v>
      </c>
      <c r="I99" s="61" t="n">
        <f aca="false">I$11*$A99</f>
        <v>0</v>
      </c>
      <c r="J99" s="61" t="n">
        <f aca="false">J$11*$A99</f>
        <v>0</v>
      </c>
      <c r="K99" s="61" t="n">
        <f aca="false">K$11*$A99</f>
        <v>0</v>
      </c>
      <c r="L99" s="61" t="n">
        <f aca="false">L$11*$A99</f>
        <v>0</v>
      </c>
      <c r="M99" s="61" t="n">
        <f aca="false">M$11*$A99</f>
        <v>768.925364783713</v>
      </c>
      <c r="N99" s="61" t="n">
        <f aca="false">N$11*$A99</f>
        <v>2858.46116998518</v>
      </c>
      <c r="O99" s="61" t="n">
        <f aca="false">O$11*$A99</f>
        <v>3230.66914551744</v>
      </c>
      <c r="P99" s="61" t="n">
        <f aca="false">P$11*$A99</f>
        <v>3829.72656645216</v>
      </c>
      <c r="Q99" s="61" t="n">
        <f aca="false">Q$11*$A99</f>
        <v>4226.25272132513</v>
      </c>
      <c r="R99" s="61" t="n">
        <f aca="false">R$11*$A99</f>
        <v>4714.01344831716</v>
      </c>
      <c r="S99" s="61" t="n">
        <f aca="false">S$11*$A99</f>
        <v>5483.46824140745</v>
      </c>
      <c r="T99" s="61" t="n">
        <f aca="false">T$11*$A99</f>
        <v>5304.68378921353</v>
      </c>
      <c r="U99" s="61" t="n">
        <f aca="false">U$11*$A99</f>
        <v>6287.2886317018</v>
      </c>
      <c r="V99" s="61" t="n">
        <f aca="false">V$11*$A99</f>
        <v>6795.82407321638</v>
      </c>
      <c r="W99" s="61" t="n">
        <f aca="false">W$11*$A99</f>
        <v>7152.24130459761</v>
      </c>
      <c r="X99" s="61" t="n">
        <f aca="false">X$11*$A99</f>
        <v>7458.82456280913</v>
      </c>
      <c r="Y99" s="61" t="n">
        <f aca="false">Y$11*$A99</f>
        <v>7791.1033344832</v>
      </c>
      <c r="Z99" s="61" t="n">
        <f aca="false">Z$11*$A99</f>
        <v>26114.1352608992</v>
      </c>
      <c r="AA99" s="309" t="n">
        <f aca="false">SUM(E99:Z99)</f>
        <v>92015.6176147091</v>
      </c>
      <c r="AB99" s="309" t="n">
        <f aca="false">$E99+NPV(Disc,$F99:Z99)</f>
        <v>6051.68365579724</v>
      </c>
    </row>
    <row r="100" customFormat="false" ht="12.75" hidden="false" customHeight="false" outlineLevel="0" collapsed="false">
      <c r="A100" s="461"/>
      <c r="B100" s="39" t="s">
        <v>508</v>
      </c>
      <c r="C100" s="531" t="n">
        <f aca="false">Wh_Div_NR</f>
        <v>0.125</v>
      </c>
      <c r="D100" s="532"/>
      <c r="E100" s="61" t="n">
        <f aca="false">-E99*$C100</f>
        <v>-0</v>
      </c>
      <c r="F100" s="61" t="n">
        <f aca="false">-F99*$C100</f>
        <v>-0</v>
      </c>
      <c r="G100" s="61" t="n">
        <f aca="false">-G99*$C100</f>
        <v>-0</v>
      </c>
      <c r="H100" s="61" t="n">
        <f aca="false">-H99*$C100</f>
        <v>-0</v>
      </c>
      <c r="I100" s="61" t="n">
        <f aca="false">-I99*$C100</f>
        <v>-0</v>
      </c>
      <c r="J100" s="61" t="n">
        <f aca="false">-J99*$C100</f>
        <v>-0</v>
      </c>
      <c r="K100" s="61" t="n">
        <f aca="false">-K99*$C100</f>
        <v>-0</v>
      </c>
      <c r="L100" s="61" t="n">
        <f aca="false">-L99*$C100</f>
        <v>-0</v>
      </c>
      <c r="M100" s="61" t="n">
        <f aca="false">-M99*$C100</f>
        <v>-96.1156705979641</v>
      </c>
      <c r="N100" s="61" t="n">
        <f aca="false">-N99*$C100</f>
        <v>-357.307646248147</v>
      </c>
      <c r="O100" s="61" t="n">
        <f aca="false">-O99*$C100</f>
        <v>-403.83364318968</v>
      </c>
      <c r="P100" s="61" t="n">
        <f aca="false">-P99*$C100</f>
        <v>-478.71582080652</v>
      </c>
      <c r="Q100" s="61" t="n">
        <f aca="false">-Q99*$C100</f>
        <v>-528.281590165641</v>
      </c>
      <c r="R100" s="61" t="n">
        <f aca="false">-R99*$C100</f>
        <v>-589.251681039645</v>
      </c>
      <c r="S100" s="61" t="n">
        <f aca="false">-S99*$C100</f>
        <v>-685.433530175931</v>
      </c>
      <c r="T100" s="61" t="n">
        <f aca="false">-T99*$C100</f>
        <v>-663.085473651692</v>
      </c>
      <c r="U100" s="61" t="n">
        <f aca="false">-U99*$C100</f>
        <v>-785.911078962725</v>
      </c>
      <c r="V100" s="61" t="n">
        <f aca="false">-V99*$C100</f>
        <v>-849.478009152048</v>
      </c>
      <c r="W100" s="61" t="n">
        <f aca="false">-W99*$C100</f>
        <v>-894.030163074701</v>
      </c>
      <c r="X100" s="61" t="n">
        <f aca="false">-X99*$C100</f>
        <v>-932.353070351142</v>
      </c>
      <c r="Y100" s="61" t="n">
        <f aca="false">-Y99*$C100</f>
        <v>-973.8879168104</v>
      </c>
      <c r="Z100" s="61" t="n">
        <f aca="false">-Z99*$C100</f>
        <v>-3264.26690761241</v>
      </c>
      <c r="AA100" s="309" t="n">
        <f aca="false">SUM(D100:Z100)</f>
        <v>-11501.9522018386</v>
      </c>
      <c r="AB100" s="309" t="n">
        <f aca="false">$E100+NPV(Disc,$F100:Z100)</f>
        <v>-756.460456974655</v>
      </c>
      <c r="AD100" s="395"/>
      <c r="AE100" s="395"/>
      <c r="AF100" s="395"/>
      <c r="AG100" s="395"/>
      <c r="AH100" s="395"/>
      <c r="AI100" s="395"/>
      <c r="AJ100" s="395"/>
      <c r="AK100" s="395"/>
      <c r="AL100" s="395"/>
      <c r="AM100" s="395"/>
      <c r="AN100" s="395"/>
      <c r="AO100" s="395"/>
      <c r="AP100" s="395"/>
      <c r="AQ100" s="395"/>
      <c r="AR100" s="395"/>
      <c r="AS100" s="395"/>
      <c r="AT100" s="395"/>
      <c r="AU100" s="395"/>
      <c r="AV100" s="395"/>
      <c r="AW100" s="395"/>
      <c r="AX100" s="395"/>
      <c r="AY100" s="395"/>
      <c r="AZ100" s="395"/>
      <c r="BA100" s="395"/>
      <c r="BB100" s="395"/>
      <c r="BC100" s="395"/>
      <c r="BD100" s="395"/>
      <c r="BE100" s="395"/>
      <c r="BF100" s="395"/>
      <c r="BG100" s="395"/>
      <c r="BH100" s="395"/>
      <c r="BI100" s="395"/>
      <c r="BJ100" s="395"/>
      <c r="BK100" s="395"/>
      <c r="BL100" s="395"/>
      <c r="BM100" s="395"/>
      <c r="BN100" s="395"/>
      <c r="BO100" s="395"/>
      <c r="BP100" s="395"/>
      <c r="BQ100" s="395"/>
      <c r="BR100" s="395"/>
      <c r="BS100" s="395"/>
      <c r="BT100" s="395"/>
      <c r="BU100" s="395"/>
      <c r="BV100" s="395"/>
      <c r="BW100" s="395"/>
      <c r="BX100" s="395"/>
      <c r="BY100" s="395"/>
      <c r="BZ100" s="395"/>
      <c r="CA100" s="395"/>
      <c r="CB100" s="395"/>
      <c r="CC100" s="395"/>
      <c r="CD100" s="395"/>
      <c r="CE100" s="395"/>
      <c r="CF100" s="395"/>
      <c r="CG100" s="395"/>
      <c r="CH100" s="395"/>
      <c r="CI100" s="395"/>
      <c r="CJ100" s="395"/>
      <c r="CK100" s="395"/>
      <c r="CL100" s="395"/>
      <c r="CM100" s="395"/>
      <c r="CN100" s="395"/>
      <c r="CO100" s="395"/>
      <c r="CP100" s="395"/>
      <c r="CQ100" s="395"/>
      <c r="CR100" s="395"/>
      <c r="CS100" s="395"/>
      <c r="CT100" s="395"/>
      <c r="CU100" s="395"/>
      <c r="CV100" s="395"/>
      <c r="CW100" s="395"/>
      <c r="CX100" s="395"/>
      <c r="CY100" s="395"/>
      <c r="CZ100" s="395"/>
      <c r="DA100" s="395"/>
      <c r="DB100" s="395"/>
      <c r="DC100" s="395"/>
      <c r="DD100" s="395"/>
      <c r="DE100" s="395"/>
      <c r="DF100" s="395"/>
      <c r="DG100" s="395"/>
      <c r="DH100" s="395"/>
      <c r="DI100" s="395"/>
      <c r="DJ100" s="395"/>
      <c r="DK100" s="395"/>
      <c r="DL100" s="395"/>
      <c r="DM100" s="395"/>
      <c r="DN100" s="395"/>
      <c r="DO100" s="395"/>
      <c r="DP100" s="395"/>
      <c r="DQ100" s="395"/>
      <c r="DR100" s="395"/>
      <c r="DS100" s="395"/>
      <c r="DT100" s="395"/>
      <c r="DU100" s="395"/>
      <c r="DV100" s="395"/>
      <c r="DW100" s="395"/>
      <c r="DX100" s="395"/>
      <c r="DY100" s="395"/>
      <c r="DZ100" s="395"/>
      <c r="EA100" s="395"/>
      <c r="EB100" s="395"/>
      <c r="EC100" s="395"/>
      <c r="ED100" s="395"/>
      <c r="EE100" s="395"/>
      <c r="EF100" s="395"/>
      <c r="EG100" s="395"/>
      <c r="EH100" s="395"/>
      <c r="EI100" s="395"/>
      <c r="EJ100" s="395"/>
      <c r="EK100" s="395"/>
      <c r="EL100" s="395"/>
      <c r="EM100" s="395"/>
      <c r="EN100" s="395"/>
      <c r="EO100" s="395"/>
      <c r="EP100" s="395"/>
      <c r="EQ100" s="395"/>
      <c r="ER100" s="395"/>
      <c r="ES100" s="395"/>
      <c r="ET100" s="395"/>
      <c r="EU100" s="395"/>
      <c r="EV100" s="395"/>
      <c r="EW100" s="395"/>
      <c r="EX100" s="395"/>
      <c r="EY100" s="395"/>
      <c r="EZ100" s="395"/>
      <c r="FA100" s="395"/>
      <c r="FB100" s="395"/>
      <c r="FC100" s="395"/>
      <c r="FD100" s="395"/>
      <c r="FE100" s="395"/>
      <c r="FF100" s="395"/>
      <c r="FG100" s="395"/>
      <c r="FH100" s="395"/>
      <c r="FI100" s="395"/>
      <c r="FJ100" s="395"/>
      <c r="FK100" s="395"/>
      <c r="FL100" s="395"/>
      <c r="FM100" s="395"/>
      <c r="FN100" s="395"/>
      <c r="FO100" s="395"/>
      <c r="FP100" s="395"/>
      <c r="FQ100" s="395"/>
      <c r="FR100" s="395"/>
      <c r="FS100" s="395"/>
      <c r="FT100" s="395"/>
      <c r="FU100" s="395"/>
      <c r="FV100" s="395"/>
      <c r="FW100" s="395"/>
      <c r="FX100" s="395"/>
      <c r="FY100" s="395"/>
      <c r="FZ100" s="395"/>
      <c r="GA100" s="395"/>
      <c r="GB100" s="395"/>
      <c r="GC100" s="395"/>
      <c r="GD100" s="395"/>
      <c r="GE100" s="395"/>
      <c r="GF100" s="395"/>
      <c r="GG100" s="395"/>
      <c r="GH100" s="395"/>
      <c r="GI100" s="395"/>
      <c r="GJ100" s="395"/>
      <c r="GK100" s="395"/>
      <c r="GL100" s="395"/>
      <c r="GM100" s="395"/>
      <c r="GN100" s="395"/>
      <c r="GO100" s="395"/>
      <c r="GP100" s="395"/>
      <c r="GQ100" s="395"/>
      <c r="GR100" s="395"/>
      <c r="GS100" s="395"/>
      <c r="GT100" s="395"/>
      <c r="GU100" s="395"/>
      <c r="GV100" s="395"/>
      <c r="GW100" s="395"/>
      <c r="GX100" s="395"/>
      <c r="GY100" s="395"/>
      <c r="GZ100" s="395"/>
      <c r="HA100" s="395"/>
      <c r="HB100" s="395"/>
      <c r="HC100" s="395"/>
      <c r="HD100" s="395"/>
      <c r="HE100" s="395"/>
      <c r="HF100" s="395"/>
      <c r="HG100" s="395"/>
      <c r="HH100" s="395"/>
      <c r="HI100" s="395"/>
      <c r="HJ100" s="395"/>
      <c r="HK100" s="395"/>
      <c r="HL100" s="395"/>
      <c r="HM100" s="395"/>
      <c r="HN100" s="395"/>
      <c r="HO100" s="395"/>
      <c r="HP100" s="395"/>
      <c r="HQ100" s="395"/>
      <c r="HR100" s="395"/>
      <c r="HS100" s="395"/>
      <c r="HT100" s="395"/>
      <c r="HU100" s="395"/>
      <c r="HV100" s="395"/>
      <c r="HW100" s="395"/>
      <c r="HX100" s="395"/>
      <c r="HY100" s="395"/>
      <c r="HZ100" s="395"/>
      <c r="IA100" s="395"/>
      <c r="IB100" s="395"/>
      <c r="IC100" s="395"/>
      <c r="ID100" s="395"/>
      <c r="IE100" s="395"/>
      <c r="IF100" s="395"/>
      <c r="IG100" s="395"/>
      <c r="IH100" s="395"/>
      <c r="II100" s="395"/>
      <c r="IJ100" s="395"/>
      <c r="IK100" s="395"/>
      <c r="IL100" s="395"/>
      <c r="IM100" s="395"/>
      <c r="IN100" s="395"/>
      <c r="IO100" s="395"/>
      <c r="IP100" s="395"/>
      <c r="IQ100" s="395"/>
      <c r="IR100" s="395"/>
      <c r="IS100" s="395"/>
      <c r="IT100" s="395"/>
      <c r="IU100" s="395"/>
      <c r="IV100" s="395"/>
      <c r="IW100" s="395"/>
    </row>
    <row r="101" customFormat="false" ht="12.75" hidden="false" customHeight="false" outlineLevel="0" collapsed="false">
      <c r="A101" s="461"/>
      <c r="B101" s="39" t="s">
        <v>501</v>
      </c>
      <c r="C101" s="153"/>
      <c r="D101" s="462"/>
      <c r="E101" s="218" t="n">
        <f aca="false">E$13*$A99</f>
        <v>0</v>
      </c>
      <c r="F101" s="218" t="n">
        <f aca="false">F$13*$A99</f>
        <v>0</v>
      </c>
      <c r="G101" s="218" t="n">
        <f aca="false">G$13*$A99</f>
        <v>0</v>
      </c>
      <c r="H101" s="218" t="n">
        <f aca="false">H$13*$A99</f>
        <v>0</v>
      </c>
      <c r="I101" s="218" t="n">
        <f aca="false">I$13*$A99</f>
        <v>0</v>
      </c>
      <c r="J101" s="218" t="n">
        <f aca="false">J$13*$A99</f>
        <v>0</v>
      </c>
      <c r="K101" s="218" t="n">
        <f aca="false">K$13*$A99</f>
        <v>0</v>
      </c>
      <c r="L101" s="218" t="n">
        <f aca="false">L$13*$A99</f>
        <v>0</v>
      </c>
      <c r="M101" s="218" t="n">
        <f aca="false">M$13*$A99</f>
        <v>0</v>
      </c>
      <c r="N101" s="218" t="n">
        <f aca="false">N$13*$A99</f>
        <v>0</v>
      </c>
      <c r="O101" s="218" t="n">
        <f aca="false">O$13*$A99</f>
        <v>0</v>
      </c>
      <c r="P101" s="218" t="n">
        <f aca="false">P$13*$A99</f>
        <v>0</v>
      </c>
      <c r="Q101" s="218" t="n">
        <f aca="false">Q$13*$A99</f>
        <v>0</v>
      </c>
      <c r="R101" s="218" t="n">
        <f aca="false">R$13*$A99</f>
        <v>0</v>
      </c>
      <c r="S101" s="218" t="n">
        <f aca="false">S$13*$A99</f>
        <v>0</v>
      </c>
      <c r="T101" s="218" t="n">
        <f aca="false">T$13*$A99</f>
        <v>0</v>
      </c>
      <c r="U101" s="218" t="n">
        <f aca="false">U$13*$A99</f>
        <v>0</v>
      </c>
      <c r="V101" s="218" t="n">
        <f aca="false">V$13*$A99</f>
        <v>0</v>
      </c>
      <c r="W101" s="218" t="n">
        <f aca="false">W$13*$A99</f>
        <v>0</v>
      </c>
      <c r="X101" s="218" t="n">
        <f aca="false">X$13*$A99</f>
        <v>0</v>
      </c>
      <c r="Y101" s="218" t="n">
        <f aca="false">Y$13*$A99</f>
        <v>0</v>
      </c>
      <c r="Z101" s="218" t="n">
        <f aca="false">Z$13*$A99</f>
        <v>138345.503458744</v>
      </c>
      <c r="AA101" s="309" t="n">
        <f aca="false">SUM(D101:Z101)</f>
        <v>138345.503458744</v>
      </c>
      <c r="AB101" s="309" t="n">
        <f aca="false">$E101+NPV(Disc,$F101:Z101)</f>
        <v>3584.91496788894</v>
      </c>
    </row>
    <row r="102" customFormat="false" ht="12.75" hidden="false" customHeight="false" outlineLevel="0" collapsed="false">
      <c r="A102" s="461"/>
      <c r="B102" s="39" t="s">
        <v>509</v>
      </c>
      <c r="C102" s="39"/>
      <c r="D102" s="532"/>
      <c r="E102" s="61" t="n">
        <f aca="false">E$12*$A99</f>
        <v>0</v>
      </c>
      <c r="F102" s="61" t="n">
        <f aca="false">F$12*$A99</f>
        <v>0</v>
      </c>
      <c r="G102" s="61" t="n">
        <f aca="false">G$12*$A99</f>
        <v>0</v>
      </c>
      <c r="H102" s="61" t="n">
        <f aca="false">H$12*$A99</f>
        <v>2411.20829946308</v>
      </c>
      <c r="I102" s="61" t="n">
        <f aca="false">I$12*$A99</f>
        <v>2093.94097736504</v>
      </c>
      <c r="J102" s="61" t="n">
        <f aca="false">J$12*$A99</f>
        <v>1551.91495584865</v>
      </c>
      <c r="K102" s="61" t="n">
        <f aca="false">K$12*$A99</f>
        <v>2235.16127936821</v>
      </c>
      <c r="L102" s="61" t="n">
        <f aca="false">L$12*$A99</f>
        <v>692.688630630575</v>
      </c>
      <c r="M102" s="61" t="n">
        <f aca="false">M$12*$A99</f>
        <v>1390.75750820404</v>
      </c>
      <c r="N102" s="61" t="n">
        <f aca="false">N$12*$A99</f>
        <v>-177.444375221385</v>
      </c>
      <c r="O102" s="61" t="n">
        <f aca="false">O$12*$A99</f>
        <v>958.657243381439</v>
      </c>
      <c r="P102" s="61" t="n">
        <f aca="false">P$12*$A99</f>
        <v>2184.79573788827</v>
      </c>
      <c r="Q102" s="61" t="n">
        <f aca="false">Q$12*$A99</f>
        <v>2330.4317929225</v>
      </c>
      <c r="R102" s="61" t="n">
        <f aca="false">R$12*$A99</f>
        <v>1434.49752223847</v>
      </c>
      <c r="S102" s="61" t="n">
        <f aca="false">S$12*$A99</f>
        <v>-843.045366654568</v>
      </c>
      <c r="T102" s="61" t="n">
        <f aca="false">T$12*$A99</f>
        <v>-692.440617993855</v>
      </c>
      <c r="U102" s="61" t="n">
        <f aca="false">U$12*$A99</f>
        <v>-753.177120263505</v>
      </c>
      <c r="V102" s="61" t="n">
        <f aca="false">V$12*$A99</f>
        <v>174.350650939846</v>
      </c>
      <c r="W102" s="61" t="n">
        <f aca="false">W$12*$A99</f>
        <v>2539.5835593227</v>
      </c>
      <c r="X102" s="61" t="n">
        <f aca="false">X$12*$A99</f>
        <v>2555.7195202812</v>
      </c>
      <c r="Y102" s="61" t="n">
        <f aca="false">Y$12*$A99</f>
        <v>2573.20787668509</v>
      </c>
      <c r="Z102" s="61" t="n">
        <f aca="false">Z$12*$A99</f>
        <v>-22655.4976744306</v>
      </c>
      <c r="AA102" s="309" t="n">
        <f aca="false">SUM(D102:Z102)</f>
        <v>5.31039997516928</v>
      </c>
      <c r="AB102" s="309" t="n">
        <f aca="false">$E102+NPV(Disc,$F102:Z102)</f>
        <v>4890.07111721141</v>
      </c>
      <c r="AD102" s="395"/>
      <c r="AE102" s="395"/>
      <c r="AF102" s="395"/>
      <c r="AG102" s="395"/>
      <c r="AH102" s="395"/>
      <c r="AI102" s="395"/>
      <c r="AJ102" s="395"/>
      <c r="AK102" s="395"/>
      <c r="AL102" s="395"/>
      <c r="AM102" s="395"/>
      <c r="AN102" s="395"/>
      <c r="AO102" s="395"/>
      <c r="AP102" s="395"/>
      <c r="AQ102" s="395"/>
      <c r="AR102" s="395"/>
      <c r="AS102" s="395"/>
      <c r="AT102" s="395"/>
      <c r="AU102" s="395"/>
      <c r="AV102" s="395"/>
      <c r="AW102" s="395"/>
      <c r="AX102" s="395"/>
      <c r="AY102" s="395"/>
      <c r="AZ102" s="395"/>
      <c r="BA102" s="395"/>
      <c r="BB102" s="395"/>
      <c r="BC102" s="395"/>
      <c r="BD102" s="395"/>
      <c r="BE102" s="395"/>
      <c r="BF102" s="395"/>
      <c r="BG102" s="395"/>
      <c r="BH102" s="395"/>
      <c r="BI102" s="395"/>
      <c r="BJ102" s="395"/>
      <c r="BK102" s="395"/>
      <c r="BL102" s="395"/>
      <c r="BM102" s="395"/>
      <c r="BN102" s="395"/>
      <c r="BO102" s="395"/>
      <c r="BP102" s="395"/>
      <c r="BQ102" s="395"/>
      <c r="BR102" s="395"/>
      <c r="BS102" s="395"/>
      <c r="BT102" s="395"/>
      <c r="BU102" s="395"/>
      <c r="BV102" s="395"/>
      <c r="BW102" s="395"/>
      <c r="BX102" s="395"/>
      <c r="BY102" s="395"/>
      <c r="BZ102" s="395"/>
      <c r="CA102" s="395"/>
      <c r="CB102" s="395"/>
      <c r="CC102" s="395"/>
      <c r="CD102" s="395"/>
      <c r="CE102" s="395"/>
      <c r="CF102" s="395"/>
      <c r="CG102" s="395"/>
      <c r="CH102" s="395"/>
      <c r="CI102" s="395"/>
      <c r="CJ102" s="395"/>
      <c r="CK102" s="395"/>
      <c r="CL102" s="395"/>
      <c r="CM102" s="395"/>
      <c r="CN102" s="395"/>
      <c r="CO102" s="395"/>
      <c r="CP102" s="395"/>
      <c r="CQ102" s="395"/>
      <c r="CR102" s="395"/>
      <c r="CS102" s="395"/>
      <c r="CT102" s="395"/>
      <c r="CU102" s="395"/>
      <c r="CV102" s="395"/>
      <c r="CW102" s="395"/>
      <c r="CX102" s="395"/>
      <c r="CY102" s="395"/>
      <c r="CZ102" s="395"/>
      <c r="DA102" s="395"/>
      <c r="DB102" s="395"/>
      <c r="DC102" s="395"/>
      <c r="DD102" s="395"/>
      <c r="DE102" s="395"/>
      <c r="DF102" s="395"/>
      <c r="DG102" s="395"/>
      <c r="DH102" s="395"/>
      <c r="DI102" s="395"/>
      <c r="DJ102" s="395"/>
      <c r="DK102" s="395"/>
      <c r="DL102" s="395"/>
      <c r="DM102" s="395"/>
      <c r="DN102" s="395"/>
      <c r="DO102" s="395"/>
      <c r="DP102" s="395"/>
      <c r="DQ102" s="395"/>
      <c r="DR102" s="395"/>
      <c r="DS102" s="395"/>
      <c r="DT102" s="395"/>
      <c r="DU102" s="395"/>
      <c r="DV102" s="395"/>
      <c r="DW102" s="395"/>
      <c r="DX102" s="395"/>
      <c r="DY102" s="395"/>
      <c r="DZ102" s="395"/>
      <c r="EA102" s="395"/>
      <c r="EB102" s="395"/>
      <c r="EC102" s="395"/>
      <c r="ED102" s="395"/>
      <c r="EE102" s="395"/>
      <c r="EF102" s="395"/>
      <c r="EG102" s="395"/>
      <c r="EH102" s="395"/>
      <c r="EI102" s="395"/>
      <c r="EJ102" s="395"/>
      <c r="EK102" s="395"/>
      <c r="EL102" s="395"/>
      <c r="EM102" s="395"/>
      <c r="EN102" s="395"/>
      <c r="EO102" s="395"/>
      <c r="EP102" s="395"/>
      <c r="EQ102" s="395"/>
      <c r="ER102" s="395"/>
      <c r="ES102" s="395"/>
      <c r="ET102" s="395"/>
      <c r="EU102" s="395"/>
      <c r="EV102" s="395"/>
      <c r="EW102" s="395"/>
      <c r="EX102" s="395"/>
      <c r="EY102" s="395"/>
      <c r="EZ102" s="395"/>
      <c r="FA102" s="395"/>
      <c r="FB102" s="395"/>
      <c r="FC102" s="395"/>
      <c r="FD102" s="395"/>
      <c r="FE102" s="395"/>
      <c r="FF102" s="395"/>
      <c r="FG102" s="395"/>
      <c r="FH102" s="395"/>
      <c r="FI102" s="395"/>
      <c r="FJ102" s="395"/>
      <c r="FK102" s="395"/>
      <c r="FL102" s="395"/>
      <c r="FM102" s="395"/>
      <c r="FN102" s="395"/>
      <c r="FO102" s="395"/>
      <c r="FP102" s="395"/>
      <c r="FQ102" s="395"/>
      <c r="FR102" s="395"/>
      <c r="FS102" s="395"/>
      <c r="FT102" s="395"/>
      <c r="FU102" s="395"/>
      <c r="FV102" s="395"/>
      <c r="FW102" s="395"/>
      <c r="FX102" s="395"/>
      <c r="FY102" s="395"/>
      <c r="FZ102" s="395"/>
      <c r="GA102" s="395"/>
      <c r="GB102" s="395"/>
      <c r="GC102" s="395"/>
      <c r="GD102" s="395"/>
      <c r="GE102" s="395"/>
      <c r="GF102" s="395"/>
      <c r="GG102" s="395"/>
      <c r="GH102" s="395"/>
      <c r="GI102" s="395"/>
      <c r="GJ102" s="395"/>
      <c r="GK102" s="395"/>
      <c r="GL102" s="395"/>
      <c r="GM102" s="395"/>
      <c r="GN102" s="395"/>
      <c r="GO102" s="395"/>
      <c r="GP102" s="395"/>
      <c r="GQ102" s="395"/>
      <c r="GR102" s="395"/>
      <c r="GS102" s="395"/>
      <c r="GT102" s="395"/>
      <c r="GU102" s="395"/>
      <c r="GV102" s="395"/>
      <c r="GW102" s="395"/>
      <c r="GX102" s="395"/>
      <c r="GY102" s="395"/>
      <c r="GZ102" s="395"/>
      <c r="HA102" s="395"/>
      <c r="HB102" s="395"/>
      <c r="HC102" s="395"/>
      <c r="HD102" s="395"/>
      <c r="HE102" s="395"/>
      <c r="HF102" s="395"/>
      <c r="HG102" s="395"/>
      <c r="HH102" s="395"/>
      <c r="HI102" s="395"/>
      <c r="HJ102" s="395"/>
      <c r="HK102" s="395"/>
      <c r="HL102" s="395"/>
      <c r="HM102" s="395"/>
      <c r="HN102" s="395"/>
      <c r="HO102" s="395"/>
      <c r="HP102" s="395"/>
      <c r="HQ102" s="395"/>
      <c r="HR102" s="395"/>
      <c r="HS102" s="395"/>
      <c r="HT102" s="395"/>
      <c r="HU102" s="395"/>
      <c r="HV102" s="395"/>
      <c r="HW102" s="395"/>
      <c r="HX102" s="395"/>
      <c r="HY102" s="395"/>
      <c r="HZ102" s="395"/>
      <c r="IA102" s="395"/>
      <c r="IB102" s="395"/>
      <c r="IC102" s="395"/>
      <c r="ID102" s="395"/>
      <c r="IE102" s="395"/>
      <c r="IF102" s="395"/>
      <c r="IG102" s="395"/>
      <c r="IH102" s="395"/>
      <c r="II102" s="395"/>
      <c r="IJ102" s="395"/>
      <c r="IK102" s="395"/>
      <c r="IL102" s="395"/>
      <c r="IM102" s="395"/>
      <c r="IN102" s="395"/>
      <c r="IO102" s="395"/>
      <c r="IP102" s="395"/>
      <c r="IQ102" s="395"/>
      <c r="IR102" s="395"/>
      <c r="IS102" s="395"/>
      <c r="IT102" s="395"/>
      <c r="IU102" s="395"/>
      <c r="IV102" s="395"/>
      <c r="IW102" s="395"/>
    </row>
    <row r="103" customFormat="false" ht="12.75" hidden="false" customHeight="false" outlineLevel="0" collapsed="false">
      <c r="A103" s="461"/>
      <c r="B103" s="39" t="s">
        <v>510</v>
      </c>
      <c r="C103" s="533" t="s">
        <v>236</v>
      </c>
      <c r="D103" s="532"/>
      <c r="E103" s="218" t="n">
        <f aca="false">IF(E$7&lt;YEAR(Startops1),0,-HLOOKUP(E$7,CF_Table,CF!$AB$39)*$A99)</f>
        <v>0</v>
      </c>
      <c r="F103" s="218" t="n">
        <f aca="false">IF(F$7&lt;YEAR(Startops1),0,-HLOOKUP(F$7,CF_Table,CF!$AB$39)*$A99)</f>
        <v>0</v>
      </c>
      <c r="G103" s="218" t="n">
        <f aca="false">IF(G$7&lt;YEAR(Startops1),0,-HLOOKUP(G$7,CF_Table,CF!$AB$39)*$A99)</f>
        <v>0</v>
      </c>
      <c r="H103" s="218" t="n">
        <f aca="false">IF(H$7&lt;YEAR(Startops1),0,-HLOOKUP(H$7,CF_Table,CF!$AB$39)*$A99)</f>
        <v>-0</v>
      </c>
      <c r="I103" s="218" t="n">
        <f aca="false">IF(I$7&lt;YEAR(Startops1),0,-HLOOKUP(I$7,CF_Table,CF!$AB$39)*$A99)</f>
        <v>-120.294894974396</v>
      </c>
      <c r="J103" s="218" t="n">
        <f aca="false">IF(J$7&lt;YEAR(Startops1),0,-HLOOKUP(J$7,CF_Table,CF!$AB$39)*$A99)</f>
        <v>-224.991943842648</v>
      </c>
      <c r="K103" s="218" t="n">
        <f aca="false">IF(K$7&lt;YEAR(Startops1),0,-HLOOKUP(K$7,CF_Table,CF!$AB$39)*$A99)</f>
        <v>-302.587691635081</v>
      </c>
      <c r="L103" s="218" t="n">
        <f aca="false">IF(L$7&lt;YEAR(Startops1),0,-HLOOKUP(L$7,CF_Table,CF!$AB$39)*$A99)</f>
        <v>-414.345755603491</v>
      </c>
      <c r="M103" s="218" t="n">
        <f aca="false">IF(M$7&lt;YEAR(Startops1),0,-HLOOKUP(M$7,CF_Table,CF!$AB$39)*$A99)</f>
        <v>-448.98018713502</v>
      </c>
      <c r="N103" s="218" t="n">
        <f aca="false">IF(N$7&lt;YEAR(Startops1),0,-HLOOKUP(N$7,CF_Table,CF!$AB$39)*$A99)</f>
        <v>-518.518062545222</v>
      </c>
      <c r="O103" s="218" t="n">
        <f aca="false">IF(O$7&lt;YEAR(Startops1),0,-HLOOKUP(O$7,CF_Table,CF!$AB$39)*$A99)</f>
        <v>-518.518062545222</v>
      </c>
      <c r="P103" s="218" t="n">
        <f aca="false">IF(P$7&lt;YEAR(Startops1),0,-HLOOKUP(P$7,CF_Table,CF!$AB$39)*$A99)</f>
        <v>-557.578705953225</v>
      </c>
      <c r="Q103" s="218" t="n">
        <f aca="false">IF(Q$7&lt;YEAR(Startops1),0,-HLOOKUP(Q$7,CF_Table,CF!$AB$39)*$A99)</f>
        <v>-666.818492847638</v>
      </c>
      <c r="R103" s="218" t="n">
        <f aca="false">IF(R$7&lt;YEAR(Startops1),0,-HLOOKUP(R$7,CF_Table,CF!$AB$39)*$A99)</f>
        <v>-783.340082493763</v>
      </c>
      <c r="S103" s="218" t="n">
        <f aca="false">IF(S$7&lt;YEAR(Startops1),0,-HLOOKUP(S$7,CF_Table,CF!$AB$39)*$A99)</f>
        <v>-855.064958605687</v>
      </c>
      <c r="T103" s="218" t="n">
        <f aca="false">IF(T$7&lt;YEAR(Startops1),0,-HLOOKUP(T$7,CF_Table,CF!$AB$39)*$A99)</f>
        <v>-855.064958605687</v>
      </c>
      <c r="U103" s="218" t="n">
        <f aca="false">IF(U$7&lt;YEAR(Startops1),0,-HLOOKUP(U$7,CF_Table,CF!$AB$39)*$A99)</f>
        <v>-812.912690272958</v>
      </c>
      <c r="V103" s="218" t="n">
        <f aca="false">IF(V$7&lt;YEAR(Startops1),0,-HLOOKUP(V$7,CF_Table,CF!$AB$39)*$A99)</f>
        <v>-778.290659373266</v>
      </c>
      <c r="W103" s="218" t="n">
        <f aca="false">IF(W$7&lt;YEAR(Startops1),0,-HLOOKUP(W$7,CF_Table,CF!$AB$39)*$A99)</f>
        <v>-749.349335907083</v>
      </c>
      <c r="X103" s="218" t="n">
        <f aca="false">IF(X$7&lt;YEAR(Startops1),0,-HLOOKUP(X$7,CF_Table,CF!$AB$39)*$A99)</f>
        <v>-876.328513873217</v>
      </c>
      <c r="Y103" s="218" t="n">
        <f aca="false">IF(Y$7&lt;YEAR(Startops1),0,-HLOOKUP(Y$7,CF_Table,CF!$AB$39)*$A99)</f>
        <v>-1004.11448988728</v>
      </c>
      <c r="Z103" s="218" t="n">
        <f aca="false">IF(Z$7&lt;YEAR(Startops1),0,-HLOOKUP(Z$7,CF_Table,CF!$AB$39)*$A99)</f>
        <v>-377.591627907177</v>
      </c>
      <c r="AA103" s="309" t="n">
        <f aca="false">SUM(D103:Z103)</f>
        <v>-10864.6911140081</v>
      </c>
      <c r="AB103" s="309" t="n">
        <f aca="false">$E103+NPV(Disc,$F103:Z103)</f>
        <v>-1275.22027509326</v>
      </c>
      <c r="AD103" s="395"/>
      <c r="AE103" s="395"/>
      <c r="AF103" s="395"/>
      <c r="AG103" s="395"/>
      <c r="AH103" s="395"/>
      <c r="AI103" s="395"/>
      <c r="AJ103" s="395"/>
      <c r="AK103" s="395"/>
      <c r="AL103" s="395"/>
      <c r="AM103" s="395"/>
      <c r="AN103" s="395"/>
      <c r="AO103" s="395"/>
      <c r="AP103" s="395"/>
      <c r="AQ103" s="395"/>
      <c r="AR103" s="395"/>
      <c r="AS103" s="395"/>
      <c r="AT103" s="395"/>
      <c r="AU103" s="395"/>
      <c r="AV103" s="395"/>
      <c r="AW103" s="395"/>
      <c r="AX103" s="395"/>
      <c r="AY103" s="395"/>
      <c r="AZ103" s="395"/>
      <c r="BA103" s="395"/>
      <c r="BB103" s="395"/>
      <c r="BC103" s="395"/>
      <c r="BD103" s="395"/>
      <c r="BE103" s="395"/>
      <c r="BF103" s="395"/>
      <c r="BG103" s="395"/>
      <c r="BH103" s="395"/>
      <c r="BI103" s="395"/>
      <c r="BJ103" s="395"/>
      <c r="BK103" s="395"/>
      <c r="BL103" s="395"/>
      <c r="BM103" s="395"/>
      <c r="BN103" s="395"/>
      <c r="BO103" s="395"/>
      <c r="BP103" s="395"/>
      <c r="BQ103" s="395"/>
      <c r="BR103" s="395"/>
      <c r="BS103" s="395"/>
      <c r="BT103" s="395"/>
      <c r="BU103" s="395"/>
      <c r="BV103" s="395"/>
      <c r="BW103" s="395"/>
      <c r="BX103" s="395"/>
      <c r="BY103" s="395"/>
      <c r="BZ103" s="395"/>
      <c r="CA103" s="395"/>
      <c r="CB103" s="395"/>
      <c r="CC103" s="395"/>
      <c r="CD103" s="395"/>
      <c r="CE103" s="395"/>
      <c r="CF103" s="395"/>
      <c r="CG103" s="395"/>
      <c r="CH103" s="395"/>
      <c r="CI103" s="395"/>
      <c r="CJ103" s="395"/>
      <c r="CK103" s="395"/>
      <c r="CL103" s="395"/>
      <c r="CM103" s="395"/>
      <c r="CN103" s="395"/>
      <c r="CO103" s="395"/>
      <c r="CP103" s="395"/>
      <c r="CQ103" s="395"/>
      <c r="CR103" s="395"/>
      <c r="CS103" s="395"/>
      <c r="CT103" s="395"/>
      <c r="CU103" s="395"/>
      <c r="CV103" s="395"/>
      <c r="CW103" s="395"/>
      <c r="CX103" s="395"/>
      <c r="CY103" s="395"/>
      <c r="CZ103" s="395"/>
      <c r="DA103" s="395"/>
      <c r="DB103" s="395"/>
      <c r="DC103" s="395"/>
      <c r="DD103" s="395"/>
      <c r="DE103" s="395"/>
      <c r="DF103" s="395"/>
      <c r="DG103" s="395"/>
      <c r="DH103" s="395"/>
      <c r="DI103" s="395"/>
      <c r="DJ103" s="395"/>
      <c r="DK103" s="395"/>
      <c r="DL103" s="395"/>
      <c r="DM103" s="395"/>
      <c r="DN103" s="395"/>
      <c r="DO103" s="395"/>
      <c r="DP103" s="395"/>
      <c r="DQ103" s="395"/>
      <c r="DR103" s="395"/>
      <c r="DS103" s="395"/>
      <c r="DT103" s="395"/>
      <c r="DU103" s="395"/>
      <c r="DV103" s="395"/>
      <c r="DW103" s="395"/>
      <c r="DX103" s="395"/>
      <c r="DY103" s="395"/>
      <c r="DZ103" s="395"/>
      <c r="EA103" s="395"/>
      <c r="EB103" s="395"/>
      <c r="EC103" s="395"/>
      <c r="ED103" s="395"/>
      <c r="EE103" s="395"/>
      <c r="EF103" s="395"/>
      <c r="EG103" s="395"/>
      <c r="EH103" s="395"/>
      <c r="EI103" s="395"/>
      <c r="EJ103" s="395"/>
      <c r="EK103" s="395"/>
      <c r="EL103" s="395"/>
      <c r="EM103" s="395"/>
      <c r="EN103" s="395"/>
      <c r="EO103" s="395"/>
      <c r="EP103" s="395"/>
      <c r="EQ103" s="395"/>
      <c r="ER103" s="395"/>
      <c r="ES103" s="395"/>
      <c r="ET103" s="395"/>
      <c r="EU103" s="395"/>
      <c r="EV103" s="395"/>
      <c r="EW103" s="395"/>
      <c r="EX103" s="395"/>
      <c r="EY103" s="395"/>
      <c r="EZ103" s="395"/>
      <c r="FA103" s="395"/>
      <c r="FB103" s="395"/>
      <c r="FC103" s="395"/>
      <c r="FD103" s="395"/>
      <c r="FE103" s="395"/>
      <c r="FF103" s="395"/>
      <c r="FG103" s="395"/>
      <c r="FH103" s="395"/>
      <c r="FI103" s="395"/>
      <c r="FJ103" s="395"/>
      <c r="FK103" s="395"/>
      <c r="FL103" s="395"/>
      <c r="FM103" s="395"/>
      <c r="FN103" s="395"/>
      <c r="FO103" s="395"/>
      <c r="FP103" s="395"/>
      <c r="FQ103" s="395"/>
      <c r="FR103" s="395"/>
      <c r="FS103" s="395"/>
      <c r="FT103" s="395"/>
      <c r="FU103" s="395"/>
      <c r="FV103" s="395"/>
      <c r="FW103" s="395"/>
      <c r="FX103" s="395"/>
      <c r="FY103" s="395"/>
      <c r="FZ103" s="395"/>
      <c r="GA103" s="395"/>
      <c r="GB103" s="395"/>
      <c r="GC103" s="395"/>
      <c r="GD103" s="395"/>
      <c r="GE103" s="395"/>
      <c r="GF103" s="395"/>
      <c r="GG103" s="395"/>
      <c r="GH103" s="395"/>
      <c r="GI103" s="395"/>
      <c r="GJ103" s="395"/>
      <c r="GK103" s="395"/>
      <c r="GL103" s="395"/>
      <c r="GM103" s="395"/>
      <c r="GN103" s="395"/>
      <c r="GO103" s="395"/>
      <c r="GP103" s="395"/>
      <c r="GQ103" s="395"/>
      <c r="GR103" s="395"/>
      <c r="GS103" s="395"/>
      <c r="GT103" s="395"/>
      <c r="GU103" s="395"/>
      <c r="GV103" s="395"/>
      <c r="GW103" s="395"/>
      <c r="GX103" s="395"/>
      <c r="GY103" s="395"/>
      <c r="GZ103" s="395"/>
      <c r="HA103" s="395"/>
      <c r="HB103" s="395"/>
      <c r="HC103" s="395"/>
      <c r="HD103" s="395"/>
      <c r="HE103" s="395"/>
      <c r="HF103" s="395"/>
      <c r="HG103" s="395"/>
      <c r="HH103" s="395"/>
      <c r="HI103" s="395"/>
      <c r="HJ103" s="395"/>
      <c r="HK103" s="395"/>
      <c r="HL103" s="395"/>
      <c r="HM103" s="395"/>
      <c r="HN103" s="395"/>
      <c r="HO103" s="395"/>
      <c r="HP103" s="395"/>
      <c r="HQ103" s="395"/>
      <c r="HR103" s="395"/>
      <c r="HS103" s="395"/>
      <c r="HT103" s="395"/>
      <c r="HU103" s="395"/>
      <c r="HV103" s="395"/>
      <c r="HW103" s="395"/>
      <c r="HX103" s="395"/>
      <c r="HY103" s="395"/>
      <c r="HZ103" s="395"/>
      <c r="IA103" s="395"/>
      <c r="IB103" s="395"/>
      <c r="IC103" s="395"/>
      <c r="ID103" s="395"/>
      <c r="IE103" s="395"/>
      <c r="IF103" s="395"/>
      <c r="IG103" s="395"/>
      <c r="IH103" s="395"/>
      <c r="II103" s="395"/>
      <c r="IJ103" s="395"/>
      <c r="IK103" s="395"/>
      <c r="IL103" s="395"/>
      <c r="IM103" s="395"/>
      <c r="IN103" s="395"/>
      <c r="IO103" s="395"/>
      <c r="IP103" s="395"/>
      <c r="IQ103" s="395"/>
      <c r="IR103" s="395"/>
      <c r="IS103" s="395"/>
      <c r="IT103" s="395"/>
      <c r="IU103" s="395"/>
      <c r="IV103" s="395"/>
      <c r="IW103" s="395"/>
    </row>
    <row r="104" customFormat="false" ht="12.75" hidden="false" customHeight="false" outlineLevel="0" collapsed="false">
      <c r="A104" s="534" t="n">
        <f aca="false">Assm!$K$75</f>
        <v>0.4</v>
      </c>
      <c r="B104" s="39" t="s">
        <v>513</v>
      </c>
      <c r="C104" s="533" t="s">
        <v>236</v>
      </c>
      <c r="D104" s="532"/>
      <c r="E104" s="218" t="n">
        <f aca="false">IF(E$7=YEAR(Startops1),Assm!$O$35*$A104,0)</f>
        <v>0</v>
      </c>
      <c r="F104" s="218" t="n">
        <f aca="false">IF(F$7=YEAR(Startops1),Assm!$O$35*$A104,0)</f>
        <v>0</v>
      </c>
      <c r="G104" s="218" t="n">
        <f aca="false">IF(G$7=YEAR(Startops1),Assm!$O$35*$A104,0)</f>
        <v>0</v>
      </c>
      <c r="H104" s="218" t="n">
        <f aca="false">IF(H$7=YEAR(Startops1),Assm!$O$35*$A104,0)</f>
        <v>0</v>
      </c>
      <c r="I104" s="218" t="n">
        <f aca="false">IF(I$7=YEAR(Startops1),Assm!$O$35*$A104,0)</f>
        <v>0</v>
      </c>
      <c r="J104" s="218" t="n">
        <f aca="false">IF(J$7=YEAR(Startops1),Assm!$O$35*$A104,0)</f>
        <v>0</v>
      </c>
      <c r="K104" s="218" t="n">
        <f aca="false">IF(K$7=YEAR(Startops1),Assm!$O$35*$A104,0)</f>
        <v>0</v>
      </c>
      <c r="L104" s="218" t="n">
        <f aca="false">IF(L$7=YEAR(Startops1),Assm!$O$35*$A104,0)</f>
        <v>0</v>
      </c>
      <c r="M104" s="218" t="n">
        <f aca="false">IF(M$7=YEAR(Startops1),Assm!$O$35*$A104,0)</f>
        <v>0</v>
      </c>
      <c r="N104" s="218" t="n">
        <f aca="false">IF(N$7=YEAR(Startops1),Assm!$O$35*$A104,0)</f>
        <v>0</v>
      </c>
      <c r="O104" s="218" t="n">
        <f aca="false">IF(O$7=YEAR(Startops1),Assm!$O$35*$A104,0)</f>
        <v>0</v>
      </c>
      <c r="P104" s="218" t="n">
        <f aca="false">IF(P$7=YEAR(Startops1),Assm!$O$35*$A104,0)</f>
        <v>0</v>
      </c>
      <c r="Q104" s="218" t="n">
        <f aca="false">IF(Q$7=YEAR(Startops1),Assm!$O$35*$A104,0)</f>
        <v>0</v>
      </c>
      <c r="R104" s="218" t="n">
        <f aca="false">IF(R$7=YEAR(Startops1),Assm!$O$35*$A104,0)</f>
        <v>0</v>
      </c>
      <c r="S104" s="218" t="n">
        <f aca="false">IF(S$7=YEAR(Startops1),Assm!$O$35*$A104,0)</f>
        <v>0</v>
      </c>
      <c r="T104" s="218" t="n">
        <f aca="false">IF(T$7=YEAR(Startops1),Assm!$O$35*$A104,0)</f>
        <v>0</v>
      </c>
      <c r="U104" s="218" t="n">
        <f aca="false">IF(U$7=YEAR(Startops1),Assm!$O$35*$A104,0)</f>
        <v>0</v>
      </c>
      <c r="V104" s="218" t="n">
        <f aca="false">IF(V$7=YEAR(Startops1),Assm!$O$35*$A104,0)</f>
        <v>0</v>
      </c>
      <c r="W104" s="218" t="n">
        <f aca="false">IF(W$7=YEAR(Startops1),Assm!$O$35*$A104,0)</f>
        <v>0</v>
      </c>
      <c r="X104" s="218" t="n">
        <f aca="false">IF(X$7=YEAR(Startops1),Assm!$O$35*$A104,0)</f>
        <v>0</v>
      </c>
      <c r="Y104" s="218" t="n">
        <f aca="false">IF(Y$7=YEAR(Startops1),Assm!$O$35*$A104,0)</f>
        <v>0</v>
      </c>
      <c r="Z104" s="218" t="n">
        <f aca="false">IF(Z$7=YEAR(Startops1),Assm!$O$35*$A104,0)</f>
        <v>0</v>
      </c>
      <c r="AA104" s="309" t="n">
        <f aca="false">SUM(D104:Z104)</f>
        <v>0</v>
      </c>
      <c r="AB104" s="309" t="n">
        <f aca="false">$E104+NPV(Disc,$F104:Z104)</f>
        <v>0</v>
      </c>
      <c r="AD104" s="395"/>
      <c r="AE104" s="395"/>
      <c r="AF104" s="395"/>
      <c r="AG104" s="395"/>
      <c r="AH104" s="395"/>
      <c r="AI104" s="395"/>
      <c r="AJ104" s="395"/>
      <c r="AK104" s="395"/>
      <c r="AL104" s="395"/>
      <c r="AM104" s="395"/>
      <c r="AN104" s="395"/>
      <c r="AO104" s="395"/>
      <c r="AP104" s="395"/>
      <c r="AQ104" s="395"/>
      <c r="AR104" s="395"/>
      <c r="AS104" s="395"/>
      <c r="AT104" s="395"/>
      <c r="AU104" s="395"/>
      <c r="AV104" s="395"/>
      <c r="AW104" s="395"/>
      <c r="AX104" s="395"/>
      <c r="AY104" s="395"/>
      <c r="AZ104" s="395"/>
      <c r="BA104" s="395"/>
      <c r="BB104" s="395"/>
      <c r="BC104" s="395"/>
      <c r="BD104" s="395"/>
      <c r="BE104" s="395"/>
      <c r="BF104" s="395"/>
      <c r="BG104" s="395"/>
      <c r="BH104" s="395"/>
      <c r="BI104" s="395"/>
      <c r="BJ104" s="395"/>
      <c r="BK104" s="395"/>
      <c r="BL104" s="395"/>
      <c r="BM104" s="395"/>
      <c r="BN104" s="395"/>
      <c r="BO104" s="395"/>
      <c r="BP104" s="395"/>
      <c r="BQ104" s="395"/>
      <c r="BR104" s="395"/>
      <c r="BS104" s="395"/>
      <c r="BT104" s="395"/>
      <c r="BU104" s="395"/>
      <c r="BV104" s="395"/>
      <c r="BW104" s="395"/>
      <c r="BX104" s="395"/>
      <c r="BY104" s="395"/>
      <c r="BZ104" s="395"/>
      <c r="CA104" s="395"/>
      <c r="CB104" s="395"/>
      <c r="CC104" s="395"/>
      <c r="CD104" s="395"/>
      <c r="CE104" s="395"/>
      <c r="CF104" s="395"/>
      <c r="CG104" s="395"/>
      <c r="CH104" s="395"/>
      <c r="CI104" s="395"/>
      <c r="CJ104" s="395"/>
      <c r="CK104" s="395"/>
      <c r="CL104" s="395"/>
      <c r="CM104" s="395"/>
      <c r="CN104" s="395"/>
      <c r="CO104" s="395"/>
      <c r="CP104" s="395"/>
      <c r="CQ104" s="395"/>
      <c r="CR104" s="395"/>
      <c r="CS104" s="395"/>
      <c r="CT104" s="395"/>
      <c r="CU104" s="395"/>
      <c r="CV104" s="395"/>
      <c r="CW104" s="395"/>
      <c r="CX104" s="395"/>
      <c r="CY104" s="395"/>
      <c r="CZ104" s="395"/>
      <c r="DA104" s="395"/>
      <c r="DB104" s="395"/>
      <c r="DC104" s="395"/>
      <c r="DD104" s="395"/>
      <c r="DE104" s="395"/>
      <c r="DF104" s="395"/>
      <c r="DG104" s="395"/>
      <c r="DH104" s="395"/>
      <c r="DI104" s="395"/>
      <c r="DJ104" s="395"/>
      <c r="DK104" s="395"/>
      <c r="DL104" s="395"/>
      <c r="DM104" s="395"/>
      <c r="DN104" s="395"/>
      <c r="DO104" s="395"/>
      <c r="DP104" s="395"/>
      <c r="DQ104" s="395"/>
      <c r="DR104" s="395"/>
      <c r="DS104" s="395"/>
      <c r="DT104" s="395"/>
      <c r="DU104" s="395"/>
      <c r="DV104" s="395"/>
      <c r="DW104" s="395"/>
      <c r="DX104" s="395"/>
      <c r="DY104" s="395"/>
      <c r="DZ104" s="395"/>
      <c r="EA104" s="395"/>
      <c r="EB104" s="395"/>
      <c r="EC104" s="395"/>
      <c r="ED104" s="395"/>
      <c r="EE104" s="395"/>
      <c r="EF104" s="395"/>
      <c r="EG104" s="395"/>
      <c r="EH104" s="395"/>
      <c r="EI104" s="395"/>
      <c r="EJ104" s="395"/>
      <c r="EK104" s="395"/>
      <c r="EL104" s="395"/>
      <c r="EM104" s="395"/>
      <c r="EN104" s="395"/>
      <c r="EO104" s="395"/>
      <c r="EP104" s="395"/>
      <c r="EQ104" s="395"/>
      <c r="ER104" s="395"/>
      <c r="ES104" s="395"/>
      <c r="ET104" s="395"/>
      <c r="EU104" s="395"/>
      <c r="EV104" s="395"/>
      <c r="EW104" s="395"/>
      <c r="EX104" s="395"/>
      <c r="EY104" s="395"/>
      <c r="EZ104" s="395"/>
      <c r="FA104" s="395"/>
      <c r="FB104" s="395"/>
      <c r="FC104" s="395"/>
      <c r="FD104" s="395"/>
      <c r="FE104" s="395"/>
      <c r="FF104" s="395"/>
      <c r="FG104" s="395"/>
      <c r="FH104" s="395"/>
      <c r="FI104" s="395"/>
      <c r="FJ104" s="395"/>
      <c r="FK104" s="395"/>
      <c r="FL104" s="395"/>
      <c r="FM104" s="395"/>
      <c r="FN104" s="395"/>
      <c r="FO104" s="395"/>
      <c r="FP104" s="395"/>
      <c r="FQ104" s="395"/>
      <c r="FR104" s="395"/>
      <c r="FS104" s="395"/>
      <c r="FT104" s="395"/>
      <c r="FU104" s="395"/>
      <c r="FV104" s="395"/>
      <c r="FW104" s="395"/>
      <c r="FX104" s="395"/>
      <c r="FY104" s="395"/>
      <c r="FZ104" s="395"/>
      <c r="GA104" s="395"/>
      <c r="GB104" s="395"/>
      <c r="GC104" s="395"/>
      <c r="GD104" s="395"/>
      <c r="GE104" s="395"/>
      <c r="GF104" s="395"/>
      <c r="GG104" s="395"/>
      <c r="GH104" s="395"/>
      <c r="GI104" s="395"/>
      <c r="GJ104" s="395"/>
      <c r="GK104" s="395"/>
      <c r="GL104" s="395"/>
      <c r="GM104" s="395"/>
      <c r="GN104" s="395"/>
      <c r="GO104" s="395"/>
      <c r="GP104" s="395"/>
      <c r="GQ104" s="395"/>
      <c r="GR104" s="395"/>
      <c r="GS104" s="395"/>
      <c r="GT104" s="395"/>
      <c r="GU104" s="395"/>
      <c r="GV104" s="395"/>
      <c r="GW104" s="395"/>
      <c r="GX104" s="395"/>
      <c r="GY104" s="395"/>
      <c r="GZ104" s="395"/>
      <c r="HA104" s="395"/>
      <c r="HB104" s="395"/>
      <c r="HC104" s="395"/>
      <c r="HD104" s="395"/>
      <c r="HE104" s="395"/>
      <c r="HF104" s="395"/>
      <c r="HG104" s="395"/>
      <c r="HH104" s="395"/>
      <c r="HI104" s="395"/>
      <c r="HJ104" s="395"/>
      <c r="HK104" s="395"/>
      <c r="HL104" s="395"/>
      <c r="HM104" s="395"/>
      <c r="HN104" s="395"/>
      <c r="HO104" s="395"/>
      <c r="HP104" s="395"/>
      <c r="HQ104" s="395"/>
      <c r="HR104" s="395"/>
      <c r="HS104" s="395"/>
      <c r="HT104" s="395"/>
      <c r="HU104" s="395"/>
      <c r="HV104" s="395"/>
      <c r="HW104" s="395"/>
      <c r="HX104" s="395"/>
      <c r="HY104" s="395"/>
      <c r="HZ104" s="395"/>
      <c r="IA104" s="395"/>
      <c r="IB104" s="395"/>
      <c r="IC104" s="395"/>
      <c r="ID104" s="395"/>
      <c r="IE104" s="395"/>
      <c r="IF104" s="395"/>
      <c r="IG104" s="395"/>
      <c r="IH104" s="395"/>
      <c r="II104" s="395"/>
      <c r="IJ104" s="395"/>
      <c r="IK104" s="395"/>
      <c r="IL104" s="395"/>
      <c r="IM104" s="395"/>
      <c r="IN104" s="395"/>
      <c r="IO104" s="395"/>
      <c r="IP104" s="395"/>
      <c r="IQ104" s="395"/>
      <c r="IR104" s="395"/>
      <c r="IS104" s="395"/>
      <c r="IT104" s="395"/>
      <c r="IU104" s="395"/>
      <c r="IV104" s="395"/>
      <c r="IW104" s="395"/>
    </row>
    <row r="105" customFormat="false" ht="12.75" hidden="false" customHeight="false" outlineLevel="0" collapsed="false">
      <c r="A105" s="534" t="n">
        <f aca="false">Assm!$K$76</f>
        <v>1</v>
      </c>
      <c r="B105" s="39" t="s">
        <v>514</v>
      </c>
      <c r="C105" s="533" t="s">
        <v>236</v>
      </c>
      <c r="D105" s="39"/>
      <c r="E105" s="218" t="n">
        <f aca="false">IF(E$7&lt;YEAR(Startops1),0,HLOOKUP(E$7,CF_Table,CF!$AB$28)*$A105)</f>
        <v>0</v>
      </c>
      <c r="F105" s="218" t="n">
        <f aca="false">IF(F$7&lt;YEAR(Startops1),0,HLOOKUP(F$7,CF_Table,CF!$AB$28)*$A105)</f>
        <v>0</v>
      </c>
      <c r="G105" s="218" t="n">
        <f aca="false">IF(G$7&lt;YEAR(Startops1),0,HLOOKUP(G$7,CF_Table,CF!$AB$28)*$A105)</f>
        <v>0</v>
      </c>
      <c r="H105" s="218" t="n">
        <f aca="false">IF(H$7&lt;YEAR(Startops1),0,HLOOKUP(H$7,CF_Table,CF!$AB$28)*$A105)</f>
        <v>232.207305883328</v>
      </c>
      <c r="I105" s="218" t="n">
        <f aca="false">IF(I$7&lt;YEAR(Startops1),0,HLOOKUP(I$7,CF_Table,CF!$AB$28)*$A105)</f>
        <v>287.540199275606</v>
      </c>
      <c r="J105" s="218" t="n">
        <f aca="false">IF(J$7&lt;YEAR(Startops1),0,HLOOKUP(J$7,CF_Table,CF!$AB$28)*$A105)</f>
        <v>296.199588480175</v>
      </c>
      <c r="K105" s="218" t="n">
        <f aca="false">IF(K$7&lt;YEAR(Startops1),0,HLOOKUP(K$7,CF_Table,CF!$AB$28)*$A105)</f>
        <v>304.850319731128</v>
      </c>
      <c r="L105" s="218" t="n">
        <f aca="false">IF(L$7&lt;YEAR(Startops1),0,HLOOKUP(L$7,CF_Table,CF!$AB$28)*$A105)</f>
        <v>313.554719780754</v>
      </c>
      <c r="M105" s="218" t="n">
        <f aca="false">IF(M$7&lt;YEAR(Startops1),0,HLOOKUP(M$7,CF_Table,CF!$AB$28)*$A105)</f>
        <v>322.333888786548</v>
      </c>
      <c r="N105" s="218" t="n">
        <f aca="false">IF(N$7&lt;YEAR(Startops1),0,HLOOKUP(N$7,CF_Table,CF!$AB$28)*$A105)</f>
        <v>331.148005640696</v>
      </c>
      <c r="O105" s="218" t="n">
        <f aca="false">IF(O$7&lt;YEAR(Startops1),0,HLOOKUP(O$7,CF_Table,CF!$AB$28)*$A105)</f>
        <v>340.007223316659</v>
      </c>
      <c r="P105" s="218" t="n">
        <f aca="false">IF(P$7&lt;YEAR(Startops1),0,HLOOKUP(P$7,CF_Table,CF!$AB$28)*$A105)</f>
        <v>348.939591248928</v>
      </c>
      <c r="Q105" s="218" t="n">
        <f aca="false">IF(Q$7&lt;YEAR(Startops1),0,HLOOKUP(Q$7,CF_Table,CF!$AB$28)*$A105)</f>
        <v>357.956388225395</v>
      </c>
      <c r="R105" s="218" t="n">
        <f aca="false">IF(R$7&lt;YEAR(Startops1),0,HLOOKUP(R$7,CF_Table,CF!$AB$28)*$A105)</f>
        <v>367.075932674255</v>
      </c>
      <c r="S105" s="218" t="n">
        <f aca="false">IF(S$7&lt;YEAR(Startops1),0,HLOOKUP(S$7,CF_Table,CF!$AB$28)*$A105)</f>
        <v>376.33196919425</v>
      </c>
      <c r="T105" s="218" t="n">
        <f aca="false">IF(T$7&lt;YEAR(Startops1),0,HLOOKUP(T$7,CF_Table,CF!$AB$28)*$A105)</f>
        <v>385.780111716194</v>
      </c>
      <c r="U105" s="218" t="n">
        <f aca="false">IF(U$7&lt;YEAR(Startops1),0,HLOOKUP(U$7,CF_Table,CF!$AB$28)*$A105)</f>
        <v>395.529212480784</v>
      </c>
      <c r="V105" s="218" t="n">
        <f aca="false">IF(V$7&lt;YEAR(Startops1),0,HLOOKUP(V$7,CF_Table,CF!$AB$28)*$A105)</f>
        <v>405.670806580599</v>
      </c>
      <c r="W105" s="218" t="n">
        <f aca="false">IF(W$7&lt;YEAR(Startops1),0,HLOOKUP(W$7,CF_Table,CF!$AB$28)*$A105)</f>
        <v>416.249347440381</v>
      </c>
      <c r="X105" s="218" t="n">
        <f aca="false">IF(X$7&lt;YEAR(Startops1),0,HLOOKUP(X$7,CF_Table,CF!$AB$28)*$A105)</f>
        <v>427.313019984622</v>
      </c>
      <c r="Y105" s="218" t="n">
        <f aca="false">IF(Y$7&lt;YEAR(Startops1),0,HLOOKUP(Y$7,CF_Table,CF!$AB$28)*$A105)</f>
        <v>438.86008871709</v>
      </c>
      <c r="Z105" s="218" t="n">
        <f aca="false">IF(Z$7&lt;YEAR(Startops1),0,HLOOKUP(Z$7,CF_Table,CF!$AB$28)*$A105)</f>
        <v>150.301287083224</v>
      </c>
      <c r="AA105" s="309" t="n">
        <f aca="false">SUM(D105:Z105)</f>
        <v>6497.84900624061</v>
      </c>
      <c r="AB105" s="309" t="n">
        <f aca="false">$E105+NPV(Disc,$F105:Z105)</f>
        <v>1106.79802493516</v>
      </c>
    </row>
    <row r="106" customFormat="false" ht="12.75" hidden="false" customHeight="false" outlineLevel="0" collapsed="false">
      <c r="A106" s="461"/>
      <c r="B106" s="39" t="s">
        <v>535</v>
      </c>
      <c r="C106" s="39"/>
      <c r="D106" s="532"/>
      <c r="E106" s="311" t="n">
        <f aca="false">-SUM(E103:E105)*USTax</f>
        <v>-0</v>
      </c>
      <c r="F106" s="311" t="n">
        <f aca="false">-SUM(F103:F105)*USTax</f>
        <v>-0</v>
      </c>
      <c r="G106" s="311" t="n">
        <f aca="false">-SUM(G103:G105)*USTax</f>
        <v>-0</v>
      </c>
      <c r="H106" s="311" t="n">
        <f aca="false">-SUM(H103:H105)*USTax</f>
        <v>-85.9167031768313</v>
      </c>
      <c r="I106" s="311" t="n">
        <f aca="false">-SUM(I103:I105)*USTax</f>
        <v>-61.8807625914478</v>
      </c>
      <c r="J106" s="311" t="n">
        <f aca="false">-SUM(J103:J105)*USTax</f>
        <v>-26.3468285158848</v>
      </c>
      <c r="K106" s="311" t="n">
        <f aca="false">-SUM(K103:K105)*USTax</f>
        <v>-0.837172395537462</v>
      </c>
      <c r="L106" s="311" t="n">
        <f aca="false">-SUM(L103:L105)*USTax</f>
        <v>37.2926832544128</v>
      </c>
      <c r="M106" s="311" t="n">
        <f aca="false">-SUM(M103:M105)*USTax</f>
        <v>46.8591303889347</v>
      </c>
      <c r="N106" s="311" t="n">
        <f aca="false">-SUM(N103:N105)*USTax</f>
        <v>69.3269210546747</v>
      </c>
      <c r="O106" s="311" t="n">
        <f aca="false">-SUM(O103:O105)*USTax</f>
        <v>66.0490105145682</v>
      </c>
      <c r="P106" s="311" t="n">
        <f aca="false">-SUM(P103:P105)*USTax</f>
        <v>77.1964724405898</v>
      </c>
      <c r="Q106" s="311" t="n">
        <f aca="false">-SUM(Q103:Q105)*USTax</f>
        <v>114.27897871023</v>
      </c>
      <c r="R106" s="311" t="n">
        <f aca="false">-SUM(R103:R105)*USTax</f>
        <v>154.017735433218</v>
      </c>
      <c r="S106" s="311" t="n">
        <f aca="false">-SUM(S103:S105)*USTax</f>
        <v>177.131206082231</v>
      </c>
      <c r="T106" s="311" t="n">
        <f aca="false">-SUM(T103:T105)*USTax</f>
        <v>173.635393349112</v>
      </c>
      <c r="U106" s="311" t="n">
        <f aca="false">-SUM(U103:U105)*USTax</f>
        <v>154.431886783105</v>
      </c>
      <c r="V106" s="311" t="n">
        <f aca="false">-SUM(V103:V105)*USTax</f>
        <v>137.869345533287</v>
      </c>
      <c r="W106" s="311" t="n">
        <f aca="false">-SUM(W103:W105)*USTax</f>
        <v>123.24699573268</v>
      </c>
      <c r="X106" s="311" t="n">
        <f aca="false">-SUM(X103:X105)*USTax</f>
        <v>166.13573273878</v>
      </c>
      <c r="Y106" s="311" t="n">
        <f aca="false">-SUM(Y103:Y105)*USTax</f>
        <v>209.144128432969</v>
      </c>
      <c r="Z106" s="311" t="n">
        <f aca="false">-SUM(Z103:Z105)*USTax</f>
        <v>84.0974261048627</v>
      </c>
      <c r="AA106" s="309" t="n">
        <f aca="false">SUM(D106:Z106)</f>
        <v>1615.73157987395</v>
      </c>
      <c r="AB106" s="313" t="n">
        <f aca="false">$E106+NPV(Disc,$F106:Z106)</f>
        <v>62.3162325584994</v>
      </c>
      <c r="AD106" s="395"/>
      <c r="AE106" s="395"/>
      <c r="AF106" s="395"/>
      <c r="AG106" s="395"/>
      <c r="AH106" s="395"/>
      <c r="AI106" s="395"/>
      <c r="AJ106" s="395"/>
      <c r="AK106" s="395"/>
      <c r="AL106" s="395"/>
      <c r="AM106" s="395"/>
      <c r="AN106" s="395"/>
      <c r="AO106" s="395"/>
      <c r="AP106" s="395"/>
      <c r="AQ106" s="395"/>
      <c r="AR106" s="395"/>
      <c r="AS106" s="395"/>
      <c r="AT106" s="395"/>
      <c r="AU106" s="395"/>
      <c r="AV106" s="395"/>
      <c r="AW106" s="395"/>
      <c r="AX106" s="395"/>
      <c r="AY106" s="395"/>
      <c r="AZ106" s="395"/>
      <c r="BA106" s="395"/>
      <c r="BB106" s="395"/>
      <c r="BC106" s="395"/>
      <c r="BD106" s="395"/>
      <c r="BE106" s="395"/>
      <c r="BF106" s="395"/>
      <c r="BG106" s="395"/>
      <c r="BH106" s="395"/>
      <c r="BI106" s="395"/>
      <c r="BJ106" s="395"/>
      <c r="BK106" s="395"/>
      <c r="BL106" s="395"/>
      <c r="BM106" s="395"/>
      <c r="BN106" s="395"/>
      <c r="BO106" s="395"/>
      <c r="BP106" s="395"/>
      <c r="BQ106" s="395"/>
      <c r="BR106" s="395"/>
      <c r="BS106" s="395"/>
      <c r="BT106" s="395"/>
      <c r="BU106" s="395"/>
      <c r="BV106" s="395"/>
      <c r="BW106" s="395"/>
      <c r="BX106" s="395"/>
      <c r="BY106" s="395"/>
      <c r="BZ106" s="395"/>
      <c r="CA106" s="395"/>
      <c r="CB106" s="395"/>
      <c r="CC106" s="395"/>
      <c r="CD106" s="395"/>
      <c r="CE106" s="395"/>
      <c r="CF106" s="395"/>
      <c r="CG106" s="395"/>
      <c r="CH106" s="395"/>
      <c r="CI106" s="395"/>
      <c r="CJ106" s="395"/>
      <c r="CK106" s="395"/>
      <c r="CL106" s="395"/>
      <c r="CM106" s="395"/>
      <c r="CN106" s="395"/>
      <c r="CO106" s="395"/>
      <c r="CP106" s="395"/>
      <c r="CQ106" s="395"/>
      <c r="CR106" s="395"/>
      <c r="CS106" s="395"/>
      <c r="CT106" s="395"/>
      <c r="CU106" s="395"/>
      <c r="CV106" s="395"/>
      <c r="CW106" s="395"/>
      <c r="CX106" s="395"/>
      <c r="CY106" s="395"/>
      <c r="CZ106" s="395"/>
      <c r="DA106" s="395"/>
      <c r="DB106" s="395"/>
      <c r="DC106" s="395"/>
      <c r="DD106" s="395"/>
      <c r="DE106" s="395"/>
      <c r="DF106" s="395"/>
      <c r="DG106" s="395"/>
      <c r="DH106" s="395"/>
      <c r="DI106" s="395"/>
      <c r="DJ106" s="395"/>
      <c r="DK106" s="395"/>
      <c r="DL106" s="395"/>
      <c r="DM106" s="395"/>
      <c r="DN106" s="395"/>
      <c r="DO106" s="395"/>
      <c r="DP106" s="395"/>
      <c r="DQ106" s="395"/>
      <c r="DR106" s="395"/>
      <c r="DS106" s="395"/>
      <c r="DT106" s="395"/>
      <c r="DU106" s="395"/>
      <c r="DV106" s="395"/>
      <c r="DW106" s="395"/>
      <c r="DX106" s="395"/>
      <c r="DY106" s="395"/>
      <c r="DZ106" s="395"/>
      <c r="EA106" s="395"/>
      <c r="EB106" s="395"/>
      <c r="EC106" s="395"/>
      <c r="ED106" s="395"/>
      <c r="EE106" s="395"/>
      <c r="EF106" s="395"/>
      <c r="EG106" s="395"/>
      <c r="EH106" s="395"/>
      <c r="EI106" s="395"/>
      <c r="EJ106" s="395"/>
      <c r="EK106" s="395"/>
      <c r="EL106" s="395"/>
      <c r="EM106" s="395"/>
      <c r="EN106" s="395"/>
      <c r="EO106" s="395"/>
      <c r="EP106" s="395"/>
      <c r="EQ106" s="395"/>
      <c r="ER106" s="395"/>
      <c r="ES106" s="395"/>
      <c r="ET106" s="395"/>
      <c r="EU106" s="395"/>
      <c r="EV106" s="395"/>
      <c r="EW106" s="395"/>
      <c r="EX106" s="395"/>
      <c r="EY106" s="395"/>
      <c r="EZ106" s="395"/>
      <c r="FA106" s="395"/>
      <c r="FB106" s="395"/>
      <c r="FC106" s="395"/>
      <c r="FD106" s="395"/>
      <c r="FE106" s="395"/>
      <c r="FF106" s="395"/>
      <c r="FG106" s="395"/>
      <c r="FH106" s="395"/>
      <c r="FI106" s="395"/>
      <c r="FJ106" s="395"/>
      <c r="FK106" s="395"/>
      <c r="FL106" s="395"/>
      <c r="FM106" s="395"/>
      <c r="FN106" s="395"/>
      <c r="FO106" s="395"/>
      <c r="FP106" s="395"/>
      <c r="FQ106" s="395"/>
      <c r="FR106" s="395"/>
      <c r="FS106" s="395"/>
      <c r="FT106" s="395"/>
      <c r="FU106" s="395"/>
      <c r="FV106" s="395"/>
      <c r="FW106" s="395"/>
      <c r="FX106" s="395"/>
      <c r="FY106" s="395"/>
      <c r="FZ106" s="395"/>
      <c r="GA106" s="395"/>
      <c r="GB106" s="395"/>
      <c r="GC106" s="395"/>
      <c r="GD106" s="395"/>
      <c r="GE106" s="395"/>
      <c r="GF106" s="395"/>
      <c r="GG106" s="395"/>
      <c r="GH106" s="395"/>
      <c r="GI106" s="395"/>
      <c r="GJ106" s="395"/>
      <c r="GK106" s="395"/>
      <c r="GL106" s="395"/>
      <c r="GM106" s="395"/>
      <c r="GN106" s="395"/>
      <c r="GO106" s="395"/>
      <c r="GP106" s="395"/>
      <c r="GQ106" s="395"/>
      <c r="GR106" s="395"/>
      <c r="GS106" s="395"/>
      <c r="GT106" s="395"/>
      <c r="GU106" s="395"/>
      <c r="GV106" s="395"/>
      <c r="GW106" s="395"/>
      <c r="GX106" s="395"/>
      <c r="GY106" s="395"/>
      <c r="GZ106" s="395"/>
      <c r="HA106" s="395"/>
      <c r="HB106" s="395"/>
      <c r="HC106" s="395"/>
      <c r="HD106" s="395"/>
      <c r="HE106" s="395"/>
      <c r="HF106" s="395"/>
      <c r="HG106" s="395"/>
      <c r="HH106" s="395"/>
      <c r="HI106" s="395"/>
      <c r="HJ106" s="395"/>
      <c r="HK106" s="395"/>
      <c r="HL106" s="395"/>
      <c r="HM106" s="395"/>
      <c r="HN106" s="395"/>
      <c r="HO106" s="395"/>
      <c r="HP106" s="395"/>
      <c r="HQ106" s="395"/>
      <c r="HR106" s="395"/>
      <c r="HS106" s="395"/>
      <c r="HT106" s="395"/>
      <c r="HU106" s="395"/>
      <c r="HV106" s="395"/>
      <c r="HW106" s="395"/>
      <c r="HX106" s="395"/>
      <c r="HY106" s="395"/>
      <c r="HZ106" s="395"/>
      <c r="IA106" s="395"/>
      <c r="IB106" s="395"/>
      <c r="IC106" s="395"/>
      <c r="ID106" s="395"/>
      <c r="IE106" s="395"/>
      <c r="IF106" s="395"/>
      <c r="IG106" s="395"/>
      <c r="IH106" s="395"/>
      <c r="II106" s="395"/>
      <c r="IJ106" s="395"/>
      <c r="IK106" s="395"/>
      <c r="IL106" s="395"/>
      <c r="IM106" s="395"/>
      <c r="IN106" s="395"/>
      <c r="IO106" s="395"/>
      <c r="IP106" s="395"/>
      <c r="IQ106" s="395"/>
      <c r="IR106" s="395"/>
      <c r="IS106" s="395"/>
      <c r="IT106" s="395"/>
      <c r="IU106" s="395"/>
      <c r="IV106" s="395"/>
      <c r="IW106" s="395"/>
    </row>
    <row r="107" customFormat="false" ht="12.75" hidden="false" customHeight="false" outlineLevel="0" collapsed="false">
      <c r="A107" s="461"/>
      <c r="B107" s="39" t="s">
        <v>502</v>
      </c>
      <c r="C107" s="39"/>
      <c r="D107" s="465"/>
      <c r="E107" s="61" t="n">
        <f aca="false">SUM(E98:E106)</f>
        <v>-4148.934548</v>
      </c>
      <c r="F107" s="61" t="n">
        <f aca="false">SUM(F98:F106)</f>
        <v>-11851.065456</v>
      </c>
      <c r="G107" s="61" t="n">
        <f aca="false">SUM(G98:G106)</f>
        <v>-8000</v>
      </c>
      <c r="H107" s="61" t="n">
        <f aca="false">SUM(H98:H106)</f>
        <v>2557.49890216958</v>
      </c>
      <c r="I107" s="61" t="n">
        <f aca="false">SUM(I98:I106)</f>
        <v>2199.30551907481</v>
      </c>
      <c r="J107" s="61" t="n">
        <f aca="false">SUM(J98:J106)</f>
        <v>1596.7757719703</v>
      </c>
      <c r="K107" s="61" t="n">
        <f aca="false">SUM(K98:K106)</f>
        <v>2236.58673506872</v>
      </c>
      <c r="L107" s="61" t="n">
        <f aca="false">SUM(L98:L106)</f>
        <v>629.190278062251</v>
      </c>
      <c r="M107" s="61" t="n">
        <f aca="false">SUM(M98:M106)</f>
        <v>1983.78003443025</v>
      </c>
      <c r="N107" s="61" t="n">
        <f aca="false">SUM(N98:N106)</f>
        <v>2205.66601266579</v>
      </c>
      <c r="O107" s="61" t="n">
        <f aca="false">SUM(O98:O106)</f>
        <v>3673.0309169952</v>
      </c>
      <c r="P107" s="61" t="n">
        <f aca="false">SUM(P98:P106)</f>
        <v>5404.3638412702</v>
      </c>
      <c r="Q107" s="61" t="n">
        <f aca="false">SUM(Q98:Q106)</f>
        <v>5833.81979816998</v>
      </c>
      <c r="R107" s="61" t="n">
        <f aca="false">SUM(R98:R106)</f>
        <v>5297.01287512969</v>
      </c>
      <c r="S107" s="61" t="n">
        <f aca="false">SUM(S98:S106)</f>
        <v>3653.38756124774</v>
      </c>
      <c r="T107" s="61" t="n">
        <f aca="false">SUM(T98:T106)</f>
        <v>3653.50824402761</v>
      </c>
      <c r="U107" s="61" t="n">
        <f aca="false">SUM(U98:U106)</f>
        <v>4485.2488414665</v>
      </c>
      <c r="V107" s="61" t="n">
        <f aca="false">SUM(V98:V106)</f>
        <v>5885.9462077448</v>
      </c>
      <c r="W107" s="61" t="n">
        <f aca="false">SUM(W98:W106)</f>
        <v>8587.94170811158</v>
      </c>
      <c r="X107" s="61" t="n">
        <f aca="false">SUM(X98:X106)</f>
        <v>8799.31125158937</v>
      </c>
      <c r="Y107" s="61" t="n">
        <f aca="false">SUM(Y98:Y106)</f>
        <v>9034.31302162067</v>
      </c>
      <c r="Z107" s="61" t="n">
        <f aca="false">SUM(Z98:Z106)</f>
        <v>138396.681222881</v>
      </c>
      <c r="AA107" s="309" t="n">
        <f aca="false">SUM(D107:Z107)</f>
        <v>192113.368739696</v>
      </c>
      <c r="AB107" s="309" t="n">
        <f aca="false">SUM(AB98:AB106)</f>
        <v>-6093.02836708025</v>
      </c>
      <c r="AD107" s="508"/>
      <c r="AE107" s="508"/>
      <c r="AF107" s="508"/>
      <c r="AG107" s="508"/>
      <c r="AH107" s="508"/>
      <c r="AI107" s="508"/>
      <c r="AJ107" s="508"/>
      <c r="AK107" s="508"/>
      <c r="AL107" s="508"/>
      <c r="AM107" s="508"/>
      <c r="AN107" s="508"/>
      <c r="AO107" s="508"/>
      <c r="AP107" s="508"/>
      <c r="AQ107" s="508"/>
      <c r="AR107" s="508"/>
      <c r="AS107" s="508"/>
      <c r="AT107" s="508"/>
      <c r="AU107" s="508"/>
      <c r="AV107" s="508"/>
      <c r="AW107" s="508"/>
      <c r="AX107" s="508"/>
      <c r="AY107" s="508"/>
      <c r="AZ107" s="508"/>
      <c r="BA107" s="508"/>
      <c r="BB107" s="508"/>
      <c r="BC107" s="508"/>
      <c r="BD107" s="508"/>
      <c r="BE107" s="508"/>
      <c r="BF107" s="508"/>
      <c r="BG107" s="508"/>
      <c r="BH107" s="508"/>
      <c r="BI107" s="508"/>
      <c r="BJ107" s="508"/>
      <c r="BK107" s="508"/>
      <c r="BL107" s="508"/>
      <c r="BM107" s="508"/>
      <c r="BN107" s="508"/>
      <c r="BO107" s="508"/>
      <c r="BP107" s="508"/>
      <c r="BQ107" s="508"/>
      <c r="BR107" s="508"/>
      <c r="BS107" s="508"/>
      <c r="BT107" s="508"/>
      <c r="BU107" s="508"/>
      <c r="BV107" s="508"/>
      <c r="BW107" s="508"/>
      <c r="BX107" s="508"/>
      <c r="BY107" s="508"/>
      <c r="BZ107" s="508"/>
      <c r="CA107" s="508"/>
      <c r="CB107" s="508"/>
      <c r="CC107" s="508"/>
      <c r="CD107" s="508"/>
      <c r="CE107" s="508"/>
      <c r="CF107" s="508"/>
      <c r="CG107" s="508"/>
      <c r="CH107" s="508"/>
      <c r="CI107" s="508"/>
      <c r="CJ107" s="508"/>
      <c r="CK107" s="508"/>
      <c r="CL107" s="508"/>
      <c r="CM107" s="508"/>
      <c r="CN107" s="508"/>
      <c r="CO107" s="508"/>
      <c r="CP107" s="508"/>
      <c r="CQ107" s="508"/>
      <c r="CR107" s="508"/>
      <c r="CS107" s="508"/>
      <c r="CT107" s="508"/>
      <c r="CU107" s="508"/>
      <c r="CV107" s="508"/>
      <c r="CW107" s="508"/>
      <c r="CX107" s="508"/>
      <c r="CY107" s="508"/>
      <c r="CZ107" s="508"/>
      <c r="DA107" s="508"/>
      <c r="DB107" s="508"/>
      <c r="DC107" s="508"/>
      <c r="DD107" s="508"/>
      <c r="DE107" s="508"/>
      <c r="DF107" s="508"/>
      <c r="DG107" s="508"/>
      <c r="DH107" s="508"/>
      <c r="DI107" s="508"/>
      <c r="DJ107" s="508"/>
      <c r="DK107" s="508"/>
      <c r="DL107" s="508"/>
      <c r="DM107" s="508"/>
      <c r="DN107" s="508"/>
      <c r="DO107" s="508"/>
      <c r="DP107" s="508"/>
      <c r="DQ107" s="508"/>
      <c r="DR107" s="508"/>
      <c r="DS107" s="508"/>
      <c r="DT107" s="508"/>
      <c r="DU107" s="508"/>
      <c r="DV107" s="508"/>
      <c r="DW107" s="508"/>
      <c r="DX107" s="508"/>
      <c r="DY107" s="508"/>
      <c r="DZ107" s="508"/>
      <c r="EA107" s="508"/>
      <c r="EB107" s="508"/>
      <c r="EC107" s="508"/>
      <c r="ED107" s="508"/>
      <c r="EE107" s="508"/>
      <c r="EF107" s="508"/>
      <c r="EG107" s="508"/>
      <c r="EH107" s="508"/>
      <c r="EI107" s="508"/>
      <c r="EJ107" s="508"/>
      <c r="EK107" s="508"/>
      <c r="EL107" s="508"/>
      <c r="EM107" s="508"/>
      <c r="EN107" s="508"/>
      <c r="EO107" s="508"/>
      <c r="EP107" s="508"/>
      <c r="EQ107" s="508"/>
      <c r="ER107" s="508"/>
      <c r="ES107" s="508"/>
      <c r="ET107" s="508"/>
      <c r="EU107" s="508"/>
      <c r="EV107" s="508"/>
      <c r="EW107" s="508"/>
      <c r="EX107" s="508"/>
      <c r="EY107" s="508"/>
      <c r="EZ107" s="508"/>
      <c r="FA107" s="508"/>
      <c r="FB107" s="508"/>
      <c r="FC107" s="508"/>
      <c r="FD107" s="508"/>
      <c r="FE107" s="508"/>
      <c r="FF107" s="508"/>
      <c r="FG107" s="508"/>
      <c r="FH107" s="508"/>
      <c r="FI107" s="508"/>
      <c r="FJ107" s="508"/>
      <c r="FK107" s="508"/>
      <c r="FL107" s="508"/>
      <c r="FM107" s="508"/>
      <c r="FN107" s="508"/>
      <c r="FO107" s="508"/>
      <c r="FP107" s="508"/>
      <c r="FQ107" s="508"/>
      <c r="FR107" s="508"/>
      <c r="FS107" s="508"/>
      <c r="FT107" s="508"/>
      <c r="FU107" s="508"/>
      <c r="FV107" s="508"/>
      <c r="FW107" s="508"/>
      <c r="FX107" s="508"/>
      <c r="FY107" s="508"/>
      <c r="FZ107" s="508"/>
      <c r="GA107" s="508"/>
      <c r="GB107" s="508"/>
      <c r="GC107" s="508"/>
      <c r="GD107" s="508"/>
      <c r="GE107" s="508"/>
      <c r="GF107" s="508"/>
      <c r="GG107" s="508"/>
      <c r="GH107" s="508"/>
      <c r="GI107" s="508"/>
      <c r="GJ107" s="508"/>
      <c r="GK107" s="508"/>
      <c r="GL107" s="508"/>
      <c r="GM107" s="508"/>
      <c r="GN107" s="508"/>
      <c r="GO107" s="508"/>
      <c r="GP107" s="508"/>
      <c r="GQ107" s="508"/>
      <c r="GR107" s="508"/>
      <c r="GS107" s="508"/>
      <c r="GT107" s="508"/>
      <c r="GU107" s="508"/>
      <c r="GV107" s="508"/>
      <c r="GW107" s="508"/>
      <c r="GX107" s="508"/>
      <c r="GY107" s="508"/>
      <c r="GZ107" s="508"/>
      <c r="HA107" s="508"/>
      <c r="HB107" s="508"/>
      <c r="HC107" s="508"/>
      <c r="HD107" s="508"/>
      <c r="HE107" s="508"/>
      <c r="HF107" s="508"/>
      <c r="HG107" s="508"/>
      <c r="HH107" s="508"/>
      <c r="HI107" s="508"/>
      <c r="HJ107" s="508"/>
      <c r="HK107" s="508"/>
      <c r="HL107" s="508"/>
      <c r="HM107" s="508"/>
      <c r="HN107" s="508"/>
      <c r="HO107" s="508"/>
      <c r="HP107" s="508"/>
      <c r="HQ107" s="508"/>
      <c r="HR107" s="508"/>
      <c r="HS107" s="508"/>
      <c r="HT107" s="508"/>
      <c r="HU107" s="508"/>
      <c r="HV107" s="508"/>
      <c r="HW107" s="508"/>
      <c r="HX107" s="508"/>
      <c r="HY107" s="508"/>
      <c r="HZ107" s="508"/>
      <c r="IA107" s="508"/>
      <c r="IB107" s="508"/>
      <c r="IC107" s="508"/>
      <c r="ID107" s="508"/>
      <c r="IE107" s="508"/>
      <c r="IF107" s="508"/>
      <c r="IG107" s="508"/>
      <c r="IH107" s="508"/>
      <c r="II107" s="508"/>
      <c r="IJ107" s="508"/>
      <c r="IK107" s="508"/>
      <c r="IL107" s="508"/>
      <c r="IM107" s="508"/>
      <c r="IN107" s="508"/>
      <c r="IO107" s="508"/>
      <c r="IP107" s="508"/>
      <c r="IQ107" s="508"/>
      <c r="IR107" s="508"/>
      <c r="IS107" s="508"/>
      <c r="IT107" s="508"/>
      <c r="IU107" s="508"/>
      <c r="IV107" s="508"/>
      <c r="IW107" s="508"/>
    </row>
    <row r="108" customFormat="false" ht="12.75" hidden="false" customHeight="false" outlineLevel="0" collapsed="false">
      <c r="A108" s="461"/>
      <c r="B108" s="39"/>
      <c r="C108" s="39"/>
      <c r="D108" s="465"/>
      <c r="E108" s="436"/>
      <c r="F108" s="436"/>
      <c r="G108" s="436"/>
      <c r="H108" s="436"/>
      <c r="I108" s="436"/>
      <c r="J108" s="436"/>
      <c r="K108" s="436"/>
      <c r="L108" s="436"/>
      <c r="M108" s="436"/>
      <c r="N108" s="436"/>
      <c r="O108" s="436"/>
      <c r="P108" s="436"/>
      <c r="Q108" s="436"/>
      <c r="R108" s="436"/>
      <c r="S108" s="436"/>
      <c r="T108" s="436"/>
      <c r="U108" s="436"/>
      <c r="V108" s="436"/>
      <c r="W108" s="436"/>
      <c r="X108" s="436"/>
      <c r="Y108" s="436"/>
      <c r="Z108" s="436"/>
      <c r="AA108" s="443"/>
      <c r="AB108" s="302"/>
      <c r="AD108" s="508"/>
      <c r="AE108" s="508"/>
      <c r="AF108" s="508"/>
      <c r="AG108" s="508"/>
      <c r="AH108" s="508"/>
      <c r="AI108" s="508"/>
      <c r="AJ108" s="508"/>
      <c r="AK108" s="508"/>
      <c r="AL108" s="508"/>
      <c r="AM108" s="508"/>
      <c r="AN108" s="508"/>
      <c r="AO108" s="508"/>
      <c r="AP108" s="508"/>
      <c r="AQ108" s="508"/>
      <c r="AR108" s="508"/>
      <c r="AS108" s="508"/>
      <c r="AT108" s="508"/>
      <c r="AU108" s="508"/>
      <c r="AV108" s="508"/>
      <c r="AW108" s="508"/>
      <c r="AX108" s="508"/>
      <c r="AY108" s="508"/>
      <c r="AZ108" s="508"/>
      <c r="BA108" s="508"/>
      <c r="BB108" s="508"/>
      <c r="BC108" s="508"/>
      <c r="BD108" s="508"/>
      <c r="BE108" s="508"/>
      <c r="BF108" s="508"/>
      <c r="BG108" s="508"/>
      <c r="BH108" s="508"/>
      <c r="BI108" s="508"/>
      <c r="BJ108" s="508"/>
      <c r="BK108" s="508"/>
      <c r="BL108" s="508"/>
      <c r="BM108" s="508"/>
      <c r="BN108" s="508"/>
      <c r="BO108" s="508"/>
      <c r="BP108" s="508"/>
      <c r="BQ108" s="508"/>
      <c r="BR108" s="508"/>
      <c r="BS108" s="508"/>
      <c r="BT108" s="508"/>
      <c r="BU108" s="508"/>
      <c r="BV108" s="508"/>
      <c r="BW108" s="508"/>
      <c r="BX108" s="508"/>
      <c r="BY108" s="508"/>
      <c r="BZ108" s="508"/>
      <c r="CA108" s="508"/>
      <c r="CB108" s="508"/>
      <c r="CC108" s="508"/>
      <c r="CD108" s="508"/>
      <c r="CE108" s="508"/>
      <c r="CF108" s="508"/>
      <c r="CG108" s="508"/>
      <c r="CH108" s="508"/>
      <c r="CI108" s="508"/>
      <c r="CJ108" s="508"/>
      <c r="CK108" s="508"/>
      <c r="CL108" s="508"/>
      <c r="CM108" s="508"/>
      <c r="CN108" s="508"/>
      <c r="CO108" s="508"/>
      <c r="CP108" s="508"/>
      <c r="CQ108" s="508"/>
      <c r="CR108" s="508"/>
      <c r="CS108" s="508"/>
      <c r="CT108" s="508"/>
      <c r="CU108" s="508"/>
      <c r="CV108" s="508"/>
      <c r="CW108" s="508"/>
      <c r="CX108" s="508"/>
      <c r="CY108" s="508"/>
      <c r="CZ108" s="508"/>
      <c r="DA108" s="508"/>
      <c r="DB108" s="508"/>
      <c r="DC108" s="508"/>
      <c r="DD108" s="508"/>
      <c r="DE108" s="508"/>
      <c r="DF108" s="508"/>
      <c r="DG108" s="508"/>
      <c r="DH108" s="508"/>
      <c r="DI108" s="508"/>
      <c r="DJ108" s="508"/>
      <c r="DK108" s="508"/>
      <c r="DL108" s="508"/>
      <c r="DM108" s="508"/>
      <c r="DN108" s="508"/>
      <c r="DO108" s="508"/>
      <c r="DP108" s="508"/>
      <c r="DQ108" s="508"/>
      <c r="DR108" s="508"/>
      <c r="DS108" s="508"/>
      <c r="DT108" s="508"/>
      <c r="DU108" s="508"/>
      <c r="DV108" s="508"/>
      <c r="DW108" s="508"/>
      <c r="DX108" s="508"/>
      <c r="DY108" s="508"/>
      <c r="DZ108" s="508"/>
      <c r="EA108" s="508"/>
      <c r="EB108" s="508"/>
      <c r="EC108" s="508"/>
      <c r="ED108" s="508"/>
      <c r="EE108" s="508"/>
      <c r="EF108" s="508"/>
      <c r="EG108" s="508"/>
      <c r="EH108" s="508"/>
      <c r="EI108" s="508"/>
      <c r="EJ108" s="508"/>
      <c r="EK108" s="508"/>
      <c r="EL108" s="508"/>
      <c r="EM108" s="508"/>
      <c r="EN108" s="508"/>
      <c r="EO108" s="508"/>
      <c r="EP108" s="508"/>
      <c r="EQ108" s="508"/>
      <c r="ER108" s="508"/>
      <c r="ES108" s="508"/>
      <c r="ET108" s="508"/>
      <c r="EU108" s="508"/>
      <c r="EV108" s="508"/>
      <c r="EW108" s="508"/>
      <c r="EX108" s="508"/>
      <c r="EY108" s="508"/>
      <c r="EZ108" s="508"/>
      <c r="FA108" s="508"/>
      <c r="FB108" s="508"/>
      <c r="FC108" s="508"/>
      <c r="FD108" s="508"/>
      <c r="FE108" s="508"/>
      <c r="FF108" s="508"/>
      <c r="FG108" s="508"/>
      <c r="FH108" s="508"/>
      <c r="FI108" s="508"/>
      <c r="FJ108" s="508"/>
      <c r="FK108" s="508"/>
      <c r="FL108" s="508"/>
      <c r="FM108" s="508"/>
      <c r="FN108" s="508"/>
      <c r="FO108" s="508"/>
      <c r="FP108" s="508"/>
      <c r="FQ108" s="508"/>
      <c r="FR108" s="508"/>
      <c r="FS108" s="508"/>
      <c r="FT108" s="508"/>
      <c r="FU108" s="508"/>
      <c r="FV108" s="508"/>
      <c r="FW108" s="508"/>
      <c r="FX108" s="508"/>
      <c r="FY108" s="508"/>
      <c r="FZ108" s="508"/>
      <c r="GA108" s="508"/>
      <c r="GB108" s="508"/>
      <c r="GC108" s="508"/>
      <c r="GD108" s="508"/>
      <c r="GE108" s="508"/>
      <c r="GF108" s="508"/>
      <c r="GG108" s="508"/>
      <c r="GH108" s="508"/>
      <c r="GI108" s="508"/>
      <c r="GJ108" s="508"/>
      <c r="GK108" s="508"/>
      <c r="GL108" s="508"/>
      <c r="GM108" s="508"/>
      <c r="GN108" s="508"/>
      <c r="GO108" s="508"/>
      <c r="GP108" s="508"/>
      <c r="GQ108" s="508"/>
      <c r="GR108" s="508"/>
      <c r="GS108" s="508"/>
      <c r="GT108" s="508"/>
      <c r="GU108" s="508"/>
      <c r="GV108" s="508"/>
      <c r="GW108" s="508"/>
      <c r="GX108" s="508"/>
      <c r="GY108" s="508"/>
      <c r="GZ108" s="508"/>
      <c r="HA108" s="508"/>
      <c r="HB108" s="508"/>
      <c r="HC108" s="508"/>
      <c r="HD108" s="508"/>
      <c r="HE108" s="508"/>
      <c r="HF108" s="508"/>
      <c r="HG108" s="508"/>
      <c r="HH108" s="508"/>
      <c r="HI108" s="508"/>
      <c r="HJ108" s="508"/>
      <c r="HK108" s="508"/>
      <c r="HL108" s="508"/>
      <c r="HM108" s="508"/>
      <c r="HN108" s="508"/>
      <c r="HO108" s="508"/>
      <c r="HP108" s="508"/>
      <c r="HQ108" s="508"/>
      <c r="HR108" s="508"/>
      <c r="HS108" s="508"/>
      <c r="HT108" s="508"/>
      <c r="HU108" s="508"/>
      <c r="HV108" s="508"/>
      <c r="HW108" s="508"/>
      <c r="HX108" s="508"/>
      <c r="HY108" s="508"/>
      <c r="HZ108" s="508"/>
      <c r="IA108" s="508"/>
      <c r="IB108" s="508"/>
      <c r="IC108" s="508"/>
      <c r="ID108" s="508"/>
      <c r="IE108" s="508"/>
      <c r="IF108" s="508"/>
      <c r="IG108" s="508"/>
      <c r="IH108" s="508"/>
      <c r="II108" s="508"/>
      <c r="IJ108" s="508"/>
      <c r="IK108" s="508"/>
      <c r="IL108" s="508"/>
      <c r="IM108" s="508"/>
      <c r="IN108" s="508"/>
      <c r="IO108" s="508"/>
      <c r="IP108" s="508"/>
      <c r="IQ108" s="508"/>
      <c r="IR108" s="508"/>
      <c r="IS108" s="508"/>
      <c r="IT108" s="508"/>
      <c r="IU108" s="508"/>
      <c r="IV108" s="508"/>
      <c r="IW108" s="508"/>
    </row>
    <row r="109" customFormat="false" ht="12.75" hidden="false" customHeight="false" outlineLevel="0" collapsed="false">
      <c r="A109" s="461"/>
      <c r="B109" s="39" t="s">
        <v>503</v>
      </c>
      <c r="C109" s="39"/>
      <c r="D109" s="329"/>
      <c r="E109" s="61" t="n">
        <f aca="false">$E107</f>
        <v>-4148.934548</v>
      </c>
      <c r="F109" s="61" t="n">
        <f aca="false">$E107+NPV(Disc,$F107:F107)</f>
        <v>-14107.8130824538</v>
      </c>
      <c r="G109" s="61" t="n">
        <f aca="false">$E107+NPV(Disc,$F107:G107)</f>
        <v>-19757.1316334036</v>
      </c>
      <c r="H109" s="61" t="n">
        <f aca="false">$E107+NPV(Disc,$F107:H107)</f>
        <v>-18239.4713401199</v>
      </c>
      <c r="I109" s="61" t="n">
        <f aca="false">$E107+NPV(Disc,$F107:I107)</f>
        <v>-17142.7464029584</v>
      </c>
      <c r="J109" s="61" t="n">
        <f aca="false">$E107+NPV(Disc,$F107:J107)</f>
        <v>-16473.6185201964</v>
      </c>
      <c r="K109" s="61" t="n">
        <f aca="false">$E107+NPV(Disc,$F107:K107)</f>
        <v>-15686.021659387</v>
      </c>
      <c r="L109" s="61" t="n">
        <f aca="false">$E107+NPV(Disc,$F107:L107)</f>
        <v>-15499.8329790552</v>
      </c>
      <c r="M109" s="61" t="n">
        <f aca="false">$E107+NPV(Disc,$F107:M107)</f>
        <v>-15006.5253591252</v>
      </c>
      <c r="N109" s="61" t="n">
        <f aca="false">$E107+NPV(Disc,$F107:N107)</f>
        <v>-14545.6143319622</v>
      </c>
      <c r="O109" s="61" t="n">
        <f aca="false">$E107+NPV(Disc,$F107:O107)</f>
        <v>-13900.6213784695</v>
      </c>
      <c r="P109" s="61" t="n">
        <f aca="false">$E107+NPV(Disc,$F107:P107)</f>
        <v>-13103.1263134343</v>
      </c>
      <c r="Q109" s="61" t="n">
        <f aca="false">$E107+NPV(Disc,$F107:Q107)</f>
        <v>-12379.7080424785</v>
      </c>
      <c r="R109" s="61" t="n">
        <f aca="false">$E107+NPV(Disc,$F107:R107)</f>
        <v>-11827.7316160705</v>
      </c>
      <c r="S109" s="61" t="n">
        <f aca="false">$E107+NPV(Disc,$F107:S107)</f>
        <v>-11507.8139032139</v>
      </c>
      <c r="T109" s="61" t="n">
        <f aca="false">$E107+NPV(Disc,$F107:T107)</f>
        <v>-11238.9666084777</v>
      </c>
      <c r="U109" s="61" t="n">
        <f aca="false">$E107+NPV(Disc,$F107:U107)</f>
        <v>-10961.612144348</v>
      </c>
      <c r="V109" s="61" t="n">
        <f aca="false">$E107+NPV(Disc,$F107:V107)</f>
        <v>-10655.755481961</v>
      </c>
      <c r="W109" s="61" t="n">
        <f aca="false">$E107+NPV(Disc,$F107:W107)</f>
        <v>-10280.7446753607</v>
      </c>
      <c r="X109" s="61" t="n">
        <f aca="false">$E107+NPV(Disc,$F107:X107)</f>
        <v>-9957.85332333705</v>
      </c>
      <c r="Y109" s="61" t="n">
        <f aca="false">$E107+NPV(Disc,$F107:Y107)</f>
        <v>-9679.26949251022</v>
      </c>
      <c r="Z109" s="61" t="n">
        <f aca="false">$E107+NPV(Disc,$F107:Z107)</f>
        <v>-6093.02836708025</v>
      </c>
      <c r="AA109" s="309"/>
      <c r="AB109" s="302"/>
    </row>
    <row r="110" customFormat="false" ht="12.75" hidden="false" customHeight="false" outlineLevel="0" collapsed="false">
      <c r="A110" s="461"/>
      <c r="B110" s="39" t="s">
        <v>504</v>
      </c>
      <c r="C110" s="39"/>
      <c r="D110" s="95"/>
      <c r="E110" s="95" t="e">
        <f aca="false">IRR($E107:E107,-0.9)</f>
        <v>#N/A</v>
      </c>
      <c r="F110" s="95" t="e">
        <f aca="false">IRR($E107:F107,-0.9)</f>
        <v>#N/A</v>
      </c>
      <c r="G110" s="95" t="e">
        <f aca="false">IRR($E107:G107,-0.9)</f>
        <v>#N/A</v>
      </c>
      <c r="H110" s="95" t="n">
        <f aca="false">IRR($E107:H107,-0.9)</f>
        <v>-0.767166588077997</v>
      </c>
      <c r="I110" s="95" t="n">
        <f aca="false">IRR($E107:I107,-0.9)</f>
        <v>-0.516537196398771</v>
      </c>
      <c r="J110" s="95" t="n">
        <f aca="false">IRR($E107:J107,-0.9)</f>
        <v>-0.385257910288456</v>
      </c>
      <c r="K110" s="95" t="n">
        <f aca="false">IRR($E107:K107,-0.9)</f>
        <v>-0.261888130525611</v>
      </c>
      <c r="L110" s="95" t="n">
        <f aca="false">IRR($E107:L107,-0.9)</f>
        <v>-0.233900017024121</v>
      </c>
      <c r="M110" s="95" t="e">
        <f aca="false">IRR($E107:M107,-0.9)</f>
        <v>#N/A</v>
      </c>
      <c r="N110" s="95" t="e">
        <f aca="false">IRR($E107:N107,-0.9)</f>
        <v>#N/A</v>
      </c>
      <c r="O110" s="95" t="e">
        <f aca="false">IRR($E107:O107,-0.9)</f>
        <v>#N/A</v>
      </c>
      <c r="P110" s="95" t="e">
        <f aca="false">IRR($E107:P107,-0.9)</f>
        <v>#N/A</v>
      </c>
      <c r="Q110" s="95" t="e">
        <f aca="false">IRR($E107:Q107,-0.9)</f>
        <v>#N/A</v>
      </c>
      <c r="R110" s="95" t="e">
        <f aca="false">IRR($E107:R107,-0.9)</f>
        <v>#N/A</v>
      </c>
      <c r="S110" s="95" t="e">
        <f aca="false">IRR($E107:S107,-0.9)</f>
        <v>#N/A</v>
      </c>
      <c r="T110" s="95" t="e">
        <f aca="false">IRR($E107:T107,-0.9)</f>
        <v>#N/A</v>
      </c>
      <c r="U110" s="95" t="e">
        <f aca="false">IRR($E107:U107,-0.9)</f>
        <v>#N/A</v>
      </c>
      <c r="V110" s="95" t="e">
        <f aca="false">IRR($E107:V107,-0.9)</f>
        <v>#N/A</v>
      </c>
      <c r="W110" s="95" t="e">
        <f aca="false">IRR($E107:W107,-0.9)</f>
        <v>#N/A</v>
      </c>
      <c r="X110" s="95" t="e">
        <f aca="false">IRR($E107:X107,-0.9)</f>
        <v>#N/A</v>
      </c>
      <c r="Y110" s="95" t="e">
        <f aca="false">IRR($E107:Y107,-0.9)</f>
        <v>#N/A</v>
      </c>
      <c r="Z110" s="95" t="e">
        <f aca="false">IRR($E107:Z107,-0.9)</f>
        <v>#N/A</v>
      </c>
      <c r="AA110" s="302"/>
      <c r="AB110" s="467" t="n">
        <f aca="false">IRR($E107:Z107)</f>
        <v>0.154033879439343</v>
      </c>
    </row>
    <row r="111" customFormat="false" ht="12.75" hidden="false" customHeight="false" outlineLevel="0" collapsed="false">
      <c r="A111" s="461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02"/>
      <c r="AB111" s="302"/>
    </row>
    <row r="112" customFormat="false" ht="12.75" hidden="false" customHeight="false" outlineLevel="0" collapsed="false">
      <c r="A112" s="461"/>
      <c r="B112" s="470" t="str">
        <f aca="false">CONCATENATE(Assm!$H$63," NPV @ ",TEXT(Disc,"0.0%"))</f>
        <v>Transredes NPV @ 19.0%</v>
      </c>
      <c r="C112" s="471" t="n">
        <f aca="false">AB107</f>
        <v>-6093.02836708025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02"/>
      <c r="AB112" s="302"/>
    </row>
    <row r="113" customFormat="false" ht="12.75" hidden="false" customHeight="false" outlineLevel="0" collapsed="false">
      <c r="A113" s="513"/>
      <c r="B113" s="514" t="str">
        <f aca="false">CONCATENATE(Assm!$H$63," IRR")</f>
        <v>Transredes IRR</v>
      </c>
      <c r="C113" s="537" t="n">
        <f aca="false">AB110</f>
        <v>0.154033879439343</v>
      </c>
      <c r="D113" s="446"/>
      <c r="E113" s="446"/>
      <c r="F113" s="446"/>
      <c r="G113" s="446"/>
      <c r="H113" s="446"/>
      <c r="I113" s="446"/>
      <c r="J113" s="446"/>
      <c r="K113" s="446"/>
      <c r="L113" s="446"/>
      <c r="M113" s="446"/>
      <c r="N113" s="446"/>
      <c r="O113" s="446"/>
      <c r="P113" s="446"/>
      <c r="Q113" s="446"/>
      <c r="R113" s="446"/>
      <c r="S113" s="446"/>
      <c r="T113" s="446"/>
      <c r="U113" s="446"/>
      <c r="V113" s="446"/>
      <c r="W113" s="446"/>
      <c r="X113" s="446"/>
      <c r="Y113" s="446"/>
      <c r="Z113" s="446"/>
      <c r="AA113" s="517"/>
      <c r="AB113" s="517"/>
    </row>
    <row r="114" customFormat="false" ht="12.75" hidden="false" customHeight="false" outlineLevel="0" collapsed="false">
      <c r="A114" s="461"/>
      <c r="B114" s="38"/>
      <c r="C114" s="38"/>
      <c r="D114" s="38"/>
      <c r="E114" s="39"/>
      <c r="F114" s="538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02"/>
      <c r="AB114" s="302"/>
    </row>
    <row r="115" customFormat="false" ht="12.75" hidden="false" customHeight="false" outlineLevel="0" collapsed="false">
      <c r="A115" s="507"/>
      <c r="B115" s="39" t="s">
        <v>517</v>
      </c>
      <c r="C115" s="39"/>
      <c r="D115" s="39"/>
      <c r="E115" s="61" t="n">
        <f aca="false">E107</f>
        <v>-4148.934548</v>
      </c>
      <c r="F115" s="61" t="n">
        <f aca="false">F107</f>
        <v>-11851.065456</v>
      </c>
      <c r="G115" s="61" t="n">
        <f aca="false">G107</f>
        <v>-8000</v>
      </c>
      <c r="H115" s="61" t="n">
        <f aca="false">H107</f>
        <v>2557.49890216958</v>
      </c>
      <c r="I115" s="61" t="n">
        <f aca="false">I107</f>
        <v>2199.30551907481</v>
      </c>
      <c r="J115" s="61" t="n">
        <f aca="false">J107</f>
        <v>1596.7757719703</v>
      </c>
      <c r="K115" s="61" t="n">
        <f aca="false">K107</f>
        <v>2236.58673506872</v>
      </c>
      <c r="L115" s="61" t="n">
        <f aca="false">L107</f>
        <v>629.190278062251</v>
      </c>
      <c r="M115" s="61" t="n">
        <f aca="false">M107</f>
        <v>1983.78003443025</v>
      </c>
      <c r="N115" s="61" t="n">
        <f aca="false">N107</f>
        <v>2205.66601266579</v>
      </c>
      <c r="O115" s="61" t="n">
        <f aca="false">O107</f>
        <v>3673.0309169952</v>
      </c>
      <c r="P115" s="61" t="n">
        <f aca="false">P107</f>
        <v>5404.3638412702</v>
      </c>
      <c r="Q115" s="61" t="n">
        <f aca="false">Q107</f>
        <v>5833.81979816998</v>
      </c>
      <c r="R115" s="61" t="n">
        <f aca="false">R107</f>
        <v>5297.01287512969</v>
      </c>
      <c r="S115" s="61" t="n">
        <f aca="false">S107</f>
        <v>3653.38756124774</v>
      </c>
      <c r="T115" s="61" t="n">
        <f aca="false">T107</f>
        <v>3653.50824402761</v>
      </c>
      <c r="U115" s="61" t="n">
        <f aca="false">U107</f>
        <v>4485.2488414665</v>
      </c>
      <c r="V115" s="61" t="n">
        <f aca="false">V107</f>
        <v>5885.9462077448</v>
      </c>
      <c r="W115" s="61" t="n">
        <f aca="false">W107</f>
        <v>8587.94170811158</v>
      </c>
      <c r="X115" s="61" t="n">
        <f aca="false">X107</f>
        <v>8799.31125158937</v>
      </c>
      <c r="Y115" s="61" t="n">
        <f aca="false">Y107</f>
        <v>9034.31302162067</v>
      </c>
      <c r="Z115" s="64" t="n">
        <f aca="false">Z107</f>
        <v>138396.681222881</v>
      </c>
      <c r="AA115" s="309" t="n">
        <f aca="false">SUM(E115:Z115)</f>
        <v>192113.368739696</v>
      </c>
      <c r="AB115" s="309" t="n">
        <f aca="false">$E115+NPV(Disc,$F115:Z115)</f>
        <v>-6093.02836708025</v>
      </c>
    </row>
    <row r="116" customFormat="false" ht="12.75" hidden="false" customHeight="false" outlineLevel="0" collapsed="false">
      <c r="A116" s="530" t="n">
        <f aca="false">A98</f>
        <v>0.4</v>
      </c>
      <c r="B116" s="39" t="s">
        <v>518</v>
      </c>
      <c r="C116" s="39"/>
      <c r="D116" s="39"/>
      <c r="E116" s="61" t="n">
        <f aca="false">IF(E$7&lt;YEAR(Startconst),0,-HLOOKUP(DATE(E$7,12,31),Idc_Table,IDC!$AP$75)*$A116-SUM($D116:D116))</f>
        <v>-0</v>
      </c>
      <c r="F116" s="61" t="n">
        <f aca="false">IF(F$7&lt;YEAR(Startconst),0,-HLOOKUP(DATE(F$7,12,31),Idc_Table,IDC!$AP$75)*$A116-SUM($D116:E116))</f>
        <v>-17876.5767998297</v>
      </c>
      <c r="G116" s="61" t="n">
        <f aca="false">IF(G$7&lt;YEAR(Startconst),0,-HLOOKUP(DATE(G$7,12,31),Idc_Table,IDC!$AP$75)*$A116-SUM($D116:F116))</f>
        <v>-10175.1847094457</v>
      </c>
      <c r="H116" s="61" t="n">
        <f aca="false">IF(H$7&lt;YEAR(Startconst),0,-HLOOKUP(DATE(H$7,12,31),Idc_Table,IDC!$AP$75)*$A116-SUM($D116:G116))</f>
        <v>0</v>
      </c>
      <c r="I116" s="61" t="n">
        <f aca="false">IF(I$7&lt;YEAR(Startconst),0,-HLOOKUP(DATE(I$7,12,31),Idc_Table,IDC!$AP$75)*$A116-SUM($D116:H116))</f>
        <v>0</v>
      </c>
      <c r="J116" s="61" t="n">
        <f aca="false">IF(J$7&lt;YEAR(Startconst),0,-HLOOKUP(DATE(J$7,12,31),Idc_Table,IDC!$AP$75)*$A116-SUM($D116:I116))</f>
        <v>0</v>
      </c>
      <c r="K116" s="61" t="n">
        <f aca="false">IF(K$7&lt;YEAR(Startconst),0,-HLOOKUP(DATE(K$7,12,31),Idc_Table,IDC!$AP$75)*$A116-SUM($D116:J116))</f>
        <v>0</v>
      </c>
      <c r="L116" s="61" t="n">
        <f aca="false">IF(L$7&lt;YEAR(Startconst),0,-HLOOKUP(DATE(L$7,12,31),Idc_Table,IDC!$AP$75)*$A116-SUM($D116:K116))</f>
        <v>0</v>
      </c>
      <c r="M116" s="61" t="n">
        <f aca="false">IF(M$7&lt;YEAR(Startconst),0,-HLOOKUP(DATE(M$7,12,31),Idc_Table,IDC!$AP$75)*$A116-SUM($D116:L116))</f>
        <v>0</v>
      </c>
      <c r="N116" s="61" t="n">
        <f aca="false">IF(N$7&lt;YEAR(Startconst),0,-HLOOKUP(DATE(N$7,12,31),Idc_Table,IDC!$AP$75)*$A116-SUM($D116:M116))</f>
        <v>0</v>
      </c>
      <c r="O116" s="61" t="n">
        <f aca="false">IF(O$7&lt;YEAR(Startconst),0,-HLOOKUP(DATE(O$7,12,31),Idc_Table,IDC!$AP$75)*$A116-SUM($D116:N116))</f>
        <v>0</v>
      </c>
      <c r="P116" s="61" t="n">
        <f aca="false">IF(P$7&lt;YEAR(Startconst),0,-HLOOKUP(DATE(P$7,12,31),Idc_Table,IDC!$AP$75)*$A116-SUM($D116:O116))</f>
        <v>0</v>
      </c>
      <c r="Q116" s="61" t="n">
        <f aca="false">IF(Q$7&lt;YEAR(Startconst),0,-HLOOKUP(DATE(Q$7,12,31),Idc_Table,IDC!$AP$75)*$A116-SUM($D116:P116))</f>
        <v>0</v>
      </c>
      <c r="R116" s="61" t="n">
        <f aca="false">IF(R$7&lt;YEAR(Startconst),0,-HLOOKUP(DATE(R$7,12,31),Idc_Table,IDC!$AP$75)*$A116-SUM($D116:Q116))</f>
        <v>0</v>
      </c>
      <c r="S116" s="61" t="n">
        <f aca="false">IF(S$7&lt;YEAR(Startconst),0,-HLOOKUP(DATE(S$7,12,31),Idc_Table,IDC!$AP$75)*$A116-SUM($D116:R116))</f>
        <v>0</v>
      </c>
      <c r="T116" s="61" t="n">
        <f aca="false">IF(T$7&lt;YEAR(Startconst),0,-HLOOKUP(DATE(T$7,12,31),Idc_Table,IDC!$AP$75)*$A116-SUM($D116:S116))</f>
        <v>0</v>
      </c>
      <c r="U116" s="61" t="n">
        <f aca="false">IF(U$7&lt;YEAR(Startconst),0,-HLOOKUP(DATE(U$7,12,31),Idc_Table,IDC!$AP$75)*$A116-SUM($D116:T116))</f>
        <v>0</v>
      </c>
      <c r="V116" s="61" t="n">
        <f aca="false">IF(V$7&lt;YEAR(Startconst),0,-HLOOKUP(DATE(V$7,12,31),Idc_Table,IDC!$AP$75)*$A116-SUM($D116:U116))</f>
        <v>0</v>
      </c>
      <c r="W116" s="61" t="n">
        <f aca="false">IF(W$7&lt;YEAR(Startconst),0,-HLOOKUP(DATE(W$7,12,31),Idc_Table,IDC!$AP$75)*$A116-SUM($D116:V116))</f>
        <v>0</v>
      </c>
      <c r="X116" s="61" t="n">
        <f aca="false">IF(X$7&lt;YEAR(Startconst),0,-HLOOKUP(DATE(X$7,12,31),Idc_Table,IDC!$AP$75)*$A116-SUM($D116:W116))</f>
        <v>0</v>
      </c>
      <c r="Y116" s="61" t="n">
        <f aca="false">IF(Y$7&lt;YEAR(Startconst),0,-HLOOKUP(DATE(Y$7,12,31),Idc_Table,IDC!$AP$75)*$A116-SUM($D116:X116))</f>
        <v>0</v>
      </c>
      <c r="Z116" s="64" t="n">
        <f aca="false">IF(Z$7&lt;YEAR(Startconst),0,-HLOOKUP(DATE(Z$7,12,31),Idc_Table,IDC!$AP$75)*$A116-SUM($D116:Y116))</f>
        <v>0</v>
      </c>
      <c r="AA116" s="309" t="n">
        <f aca="false">SUM(E116:Z116)</f>
        <v>-28051.7615092754</v>
      </c>
      <c r="AB116" s="309" t="n">
        <f aca="false">$E116+NPV(Disc,$F116:Z116)</f>
        <v>-22207.6909125366</v>
      </c>
    </row>
    <row r="117" customFormat="false" ht="12.75" hidden="false" customHeight="false" outlineLevel="0" collapsed="false">
      <c r="A117" s="461"/>
      <c r="B117" s="39" t="s">
        <v>519</v>
      </c>
      <c r="C117" s="39"/>
      <c r="D117" s="39"/>
      <c r="E117" s="61" t="n">
        <f aca="false">IF(E$7=YEAR(Fin_Close),-SUM($D116:E116),0)</f>
        <v>0</v>
      </c>
      <c r="F117" s="61" t="n">
        <f aca="false">IF(F$7=YEAR(Fin_Close),-SUM($D116:F116),0)</f>
        <v>0</v>
      </c>
      <c r="G117" s="61" t="n">
        <f aca="false">IF(G$7=YEAR(Fin_Close),-SUM($D116:G116),0)</f>
        <v>28051.7615092754</v>
      </c>
      <c r="H117" s="61" t="n">
        <f aca="false">IF(H$7=YEAR(Fin_Close),-SUM($D116:H116),0)</f>
        <v>0</v>
      </c>
      <c r="I117" s="61" t="n">
        <f aca="false">IF(I$7=YEAR(Fin_Close),-SUM($D116:I116),0)</f>
        <v>0</v>
      </c>
      <c r="J117" s="61" t="n">
        <f aca="false">IF(J$7=YEAR(Fin_Close),-SUM($D116:J116),0)</f>
        <v>0</v>
      </c>
      <c r="K117" s="61" t="n">
        <f aca="false">IF(K$7=YEAR(Fin_Close),-SUM($D116:K116),0)</f>
        <v>0</v>
      </c>
      <c r="L117" s="61" t="n">
        <f aca="false">IF(L$7=YEAR(Fin_Close),-SUM($D116:L116),0)</f>
        <v>0</v>
      </c>
      <c r="M117" s="61" t="n">
        <f aca="false">IF(M$7=YEAR(Fin_Close),-SUM($D116:M116),0)</f>
        <v>0</v>
      </c>
      <c r="N117" s="61" t="n">
        <f aca="false">IF(N$7=YEAR(Fin_Close),-SUM($D116:N116),0)</f>
        <v>0</v>
      </c>
      <c r="O117" s="61" t="n">
        <f aca="false">IF(O$7=YEAR(Fin_Close),-SUM($D116:O116),0)</f>
        <v>0</v>
      </c>
      <c r="P117" s="61" t="n">
        <f aca="false">IF(P$7=YEAR(Fin_Close),-SUM($D116:P116),0)</f>
        <v>0</v>
      </c>
      <c r="Q117" s="61" t="n">
        <f aca="false">IF(Q$7=YEAR(Fin_Close),-SUM($D116:Q116),0)</f>
        <v>0</v>
      </c>
      <c r="R117" s="61" t="n">
        <f aca="false">IF(R$7=YEAR(Fin_Close),-SUM($D116:R116),0)</f>
        <v>0</v>
      </c>
      <c r="S117" s="61" t="n">
        <f aca="false">IF(S$7=YEAR(Fin_Close),-SUM($D116:S116),0)</f>
        <v>0</v>
      </c>
      <c r="T117" s="61" t="n">
        <f aca="false">IF(T$7=YEAR(Fin_Close),-SUM($D116:T116),0)</f>
        <v>0</v>
      </c>
      <c r="U117" s="61" t="n">
        <f aca="false">IF(U$7=YEAR(Fin_Close),-SUM($D116:U116),0)</f>
        <v>0</v>
      </c>
      <c r="V117" s="61" t="n">
        <f aca="false">IF(V$7=YEAR(Fin_Close),-SUM($D116:V116),0)</f>
        <v>0</v>
      </c>
      <c r="W117" s="61" t="n">
        <f aca="false">IF(W$7=YEAR(Fin_Close),-SUM($D116:W116),0)</f>
        <v>0</v>
      </c>
      <c r="X117" s="61" t="n">
        <f aca="false">IF(X$7=YEAR(Fin_Close),-SUM($D116:X116),0)</f>
        <v>0</v>
      </c>
      <c r="Y117" s="61" t="n">
        <f aca="false">IF(Y$7=YEAR(Fin_Close),-SUM($D116:Y116),0)</f>
        <v>0</v>
      </c>
      <c r="Z117" s="61" t="n">
        <f aca="false">IF(Z$7=YEAR(Fin_Close),-SUM($D116:Z116),0)</f>
        <v>0</v>
      </c>
      <c r="AA117" s="309" t="n">
        <f aca="false">SUM(E117:Z117)</f>
        <v>28051.7615092754</v>
      </c>
      <c r="AB117" s="309" t="n">
        <f aca="false">$E117+NPV(Disc,$F117:Z117)</f>
        <v>19809.1670851461</v>
      </c>
    </row>
    <row r="118" customFormat="false" ht="12.75" hidden="false" customHeight="false" outlineLevel="0" collapsed="false">
      <c r="A118" s="461"/>
      <c r="B118" s="39" t="s">
        <v>520</v>
      </c>
      <c r="C118" s="533" t="s">
        <v>272</v>
      </c>
      <c r="D118" s="39"/>
      <c r="E118" s="61" t="n">
        <f aca="false">IF(E$7&lt;YEAR(Startconst),0,(HLOOKUP(DATE(E$7,12,31),Idc_Table,IDC!$AP$73))*$A116-SUM($D118:D118))</f>
        <v>0</v>
      </c>
      <c r="F118" s="61" t="n">
        <f aca="false">IF(F$7&lt;YEAR(Startconst),0,(HLOOKUP(DATE(F$7,12,31),Idc_Table,IDC!$AP$73))*$A116-SUM($D118:E118))</f>
        <v>328.001306527378</v>
      </c>
      <c r="G118" s="61" t="n">
        <f aca="false">IF(G$7&lt;YEAR(Startconst),0,(HLOOKUP(DATE(G$7,12,31),Idc_Table,IDC!$AP$73))*$A116-SUM($D118:F118))</f>
        <v>946.532157962799</v>
      </c>
      <c r="H118" s="61" t="n">
        <f aca="false">IF(H$7&lt;YEAR(Startconst),0,(HLOOKUP(DATE(H$7,12,31),Idc_Table,IDC!$AP$73))*$A116-SUM($D118:G118))</f>
        <v>0</v>
      </c>
      <c r="I118" s="61" t="n">
        <f aca="false">IF(I$7&lt;YEAR(Startconst),0,(HLOOKUP(DATE(I$7,12,31),Idc_Table,IDC!$AP$73))*$A116-SUM($D118:H118))</f>
        <v>0</v>
      </c>
      <c r="J118" s="61" t="n">
        <f aca="false">IF(J$7&lt;YEAR(Startconst),0,(HLOOKUP(DATE(J$7,12,31),Idc_Table,IDC!$AP$73))*$A116-SUM($D118:I118))</f>
        <v>0</v>
      </c>
      <c r="K118" s="61" t="n">
        <f aca="false">IF(K$7&lt;YEAR(Startconst),0,(HLOOKUP(DATE(K$7,12,31),Idc_Table,IDC!$AP$73))*$A116-SUM($D118:J118))</f>
        <v>0</v>
      </c>
      <c r="L118" s="61" t="n">
        <f aca="false">IF(L$7&lt;YEAR(Startconst),0,(HLOOKUP(DATE(L$7,12,31),Idc_Table,IDC!$AP$73))*$A116-SUM($D118:K118))</f>
        <v>0</v>
      </c>
      <c r="M118" s="61" t="n">
        <f aca="false">IF(M$7&lt;YEAR(Startconst),0,(HLOOKUP(DATE(M$7,12,31),Idc_Table,IDC!$AP$73))*$A116-SUM($D118:L118))</f>
        <v>0</v>
      </c>
      <c r="N118" s="61" t="n">
        <f aca="false">IF(N$7&lt;YEAR(Startconst),0,(HLOOKUP(DATE(N$7,12,31),Idc_Table,IDC!$AP$73))*$A116-SUM($D118:M118))</f>
        <v>0</v>
      </c>
      <c r="O118" s="61" t="n">
        <f aca="false">IF(O$7&lt;YEAR(Startconst),0,(HLOOKUP(DATE(O$7,12,31),Idc_Table,IDC!$AP$73))*$A116-SUM($D118:N118))</f>
        <v>0</v>
      </c>
      <c r="P118" s="61" t="n">
        <f aca="false">IF(P$7&lt;YEAR(Startconst),0,(HLOOKUP(DATE(P$7,12,31),Idc_Table,IDC!$AP$73))*$A116-SUM($D118:O118))</f>
        <v>0</v>
      </c>
      <c r="Q118" s="61" t="n">
        <f aca="false">IF(Q$7&lt;YEAR(Startconst),0,(HLOOKUP(DATE(Q$7,12,31),Idc_Table,IDC!$AP$73))*$A116-SUM($D118:P118))</f>
        <v>0</v>
      </c>
      <c r="R118" s="61" t="n">
        <f aca="false">IF(R$7&lt;YEAR(Startconst),0,(HLOOKUP(DATE(R$7,12,31),Idc_Table,IDC!$AP$73))*$A116-SUM($D118:Q118))</f>
        <v>0</v>
      </c>
      <c r="S118" s="61" t="n">
        <f aca="false">IF(S$7&lt;YEAR(Startconst),0,(HLOOKUP(DATE(S$7,12,31),Idc_Table,IDC!$AP$73))*$A116-SUM($D118:R118))</f>
        <v>0</v>
      </c>
      <c r="T118" s="61" t="n">
        <f aca="false">IF(T$7&lt;YEAR(Startconst),0,(HLOOKUP(DATE(T$7,12,31),Idc_Table,IDC!$AP$73))*$A116-SUM($D118:S118))</f>
        <v>0</v>
      </c>
      <c r="U118" s="61" t="n">
        <f aca="false">IF(U$7&lt;YEAR(Startconst),0,(HLOOKUP(DATE(U$7,12,31),Idc_Table,IDC!$AP$73))*$A116-SUM($D118:T118))</f>
        <v>0</v>
      </c>
      <c r="V118" s="61" t="n">
        <f aca="false">IF(V$7&lt;YEAR(Startconst),0,(HLOOKUP(DATE(V$7,12,31),Idc_Table,IDC!$AP$73))*$A116-SUM($D118:U118))</f>
        <v>0</v>
      </c>
      <c r="W118" s="61" t="n">
        <f aca="false">IF(W$7&lt;YEAR(Startconst),0,(HLOOKUP(DATE(W$7,12,31),Idc_Table,IDC!$AP$73))*$A116-SUM($D118:V118))</f>
        <v>0</v>
      </c>
      <c r="X118" s="61" t="n">
        <f aca="false">IF(X$7&lt;YEAR(Startconst),0,(HLOOKUP(DATE(X$7,12,31),Idc_Table,IDC!$AP$73))*$A116-SUM($D118:W118))</f>
        <v>0</v>
      </c>
      <c r="Y118" s="61" t="n">
        <f aca="false">IF(Y$7&lt;YEAR(Startconst),0,(HLOOKUP(DATE(Y$7,12,31),Idc_Table,IDC!$AP$73))*$A116-SUM($D118:X118))</f>
        <v>0</v>
      </c>
      <c r="Z118" s="61" t="n">
        <f aca="false">IF(Z$7&lt;YEAR(Startconst),0,(HLOOKUP(DATE(Z$7,12,31),Idc_Table,IDC!$AP$73))*$A116-SUM($D118:Y118))</f>
        <v>0</v>
      </c>
      <c r="AA118" s="309" t="n">
        <f aca="false">SUM(E118:Z118)</f>
        <v>1274.53346449018</v>
      </c>
      <c r="AB118" s="309" t="n">
        <f aca="false">$E118+NPV(Disc,$F118:Z118)</f>
        <v>944.039059904229</v>
      </c>
    </row>
    <row r="119" customFormat="false" ht="12.75" hidden="false" customHeight="false" outlineLevel="0" collapsed="false">
      <c r="A119" s="461"/>
      <c r="B119" s="39" t="s">
        <v>521</v>
      </c>
      <c r="C119" s="533" t="s">
        <v>272</v>
      </c>
      <c r="D119" s="39"/>
      <c r="E119" s="61" t="n">
        <f aca="false">Wh_Int*-E118</f>
        <v>-0</v>
      </c>
      <c r="F119" s="61" t="n">
        <f aca="false">Wh_Int*-F118</f>
        <v>-41.0001633159223</v>
      </c>
      <c r="G119" s="61" t="n">
        <f aca="false">Wh_Int*-G118</f>
        <v>-118.31651974535</v>
      </c>
      <c r="H119" s="61" t="n">
        <f aca="false">Wh_Int*-H118</f>
        <v>-0</v>
      </c>
      <c r="I119" s="61" t="n">
        <f aca="false">Wh_Int*-I118</f>
        <v>-0</v>
      </c>
      <c r="J119" s="61" t="n">
        <f aca="false">Wh_Int*-J118</f>
        <v>-0</v>
      </c>
      <c r="K119" s="61" t="n">
        <f aca="false">Wh_Int*-K118</f>
        <v>-0</v>
      </c>
      <c r="L119" s="61" t="n">
        <f aca="false">Wh_Int*-L118</f>
        <v>-0</v>
      </c>
      <c r="M119" s="61" t="n">
        <f aca="false">Wh_Int*-M118</f>
        <v>-0</v>
      </c>
      <c r="N119" s="61" t="n">
        <f aca="false">Wh_Int*-N118</f>
        <v>-0</v>
      </c>
      <c r="O119" s="61" t="n">
        <f aca="false">Wh_Int*-O118</f>
        <v>-0</v>
      </c>
      <c r="P119" s="61" t="n">
        <f aca="false">Wh_Int*-P118</f>
        <v>-0</v>
      </c>
      <c r="Q119" s="61" t="n">
        <f aca="false">Wh_Int*-Q118</f>
        <v>-0</v>
      </c>
      <c r="R119" s="61" t="n">
        <f aca="false">Wh_Int*-R118</f>
        <v>-0</v>
      </c>
      <c r="S119" s="61" t="n">
        <f aca="false">Wh_Int*-S118</f>
        <v>-0</v>
      </c>
      <c r="T119" s="61" t="n">
        <f aca="false">Wh_Int*-T118</f>
        <v>-0</v>
      </c>
      <c r="U119" s="61" t="n">
        <f aca="false">Wh_Int*-U118</f>
        <v>-0</v>
      </c>
      <c r="V119" s="61" t="n">
        <f aca="false">Wh_Int*-V118</f>
        <v>-0</v>
      </c>
      <c r="W119" s="61" t="n">
        <f aca="false">Wh_Int*-W118</f>
        <v>-0</v>
      </c>
      <c r="X119" s="61" t="n">
        <f aca="false">Wh_Int*-X118</f>
        <v>-0</v>
      </c>
      <c r="Y119" s="61" t="n">
        <f aca="false">Wh_Int*-Y118</f>
        <v>-0</v>
      </c>
      <c r="Z119" s="61" t="n">
        <f aca="false">Wh_Int*-Z118</f>
        <v>-0</v>
      </c>
      <c r="AA119" s="309" t="n">
        <f aca="false">SUM(E119:Z119)</f>
        <v>-159.316683061272</v>
      </c>
      <c r="AB119" s="309" t="n">
        <f aca="false">$E119+NPV(Disc,$F119:Z119)</f>
        <v>-118.004882488029</v>
      </c>
    </row>
    <row r="120" customFormat="false" ht="12.75" hidden="false" customHeight="false" outlineLevel="0" collapsed="false">
      <c r="A120" s="461"/>
      <c r="B120" s="39" t="s">
        <v>536</v>
      </c>
      <c r="C120" s="39"/>
      <c r="D120" s="39"/>
      <c r="E120" s="311" t="n">
        <f aca="false">-SUM(E118:E119)*USTax</f>
        <v>-0</v>
      </c>
      <c r="F120" s="311" t="n">
        <f aca="false">-SUM(F118:F119)*USTax</f>
        <v>-106.190422988239</v>
      </c>
      <c r="G120" s="311" t="n">
        <f aca="false">-SUM(G118:G119)*USTax</f>
        <v>-306.439786140456</v>
      </c>
      <c r="H120" s="311" t="n">
        <f aca="false">-SUM(H118:H119)*USTax</f>
        <v>-0</v>
      </c>
      <c r="I120" s="311" t="n">
        <f aca="false">-SUM(I118:I119)*USTax</f>
        <v>-0</v>
      </c>
      <c r="J120" s="311" t="n">
        <f aca="false">-SUM(J118:J119)*USTax</f>
        <v>-0</v>
      </c>
      <c r="K120" s="311" t="n">
        <f aca="false">-SUM(K118:K119)*USTax</f>
        <v>-0</v>
      </c>
      <c r="L120" s="311" t="n">
        <f aca="false">-SUM(L118:L119)*USTax</f>
        <v>-0</v>
      </c>
      <c r="M120" s="311" t="n">
        <f aca="false">-SUM(M118:M119)*USTax</f>
        <v>-0</v>
      </c>
      <c r="N120" s="311" t="n">
        <f aca="false">-SUM(N118:N119)*USTax</f>
        <v>-0</v>
      </c>
      <c r="O120" s="311" t="n">
        <f aca="false">-SUM(O118:O119)*USTax</f>
        <v>-0</v>
      </c>
      <c r="P120" s="311" t="n">
        <f aca="false">-SUM(P118:P119)*USTax</f>
        <v>-0</v>
      </c>
      <c r="Q120" s="311" t="n">
        <f aca="false">-SUM(Q118:Q119)*USTax</f>
        <v>-0</v>
      </c>
      <c r="R120" s="311" t="n">
        <f aca="false">-SUM(R118:R119)*USTax</f>
        <v>-0</v>
      </c>
      <c r="S120" s="311" t="n">
        <f aca="false">-SUM(S118:S119)*USTax</f>
        <v>-0</v>
      </c>
      <c r="T120" s="311" t="n">
        <f aca="false">-SUM(T118:T119)*USTax</f>
        <v>-0</v>
      </c>
      <c r="U120" s="311" t="n">
        <f aca="false">-SUM(U118:U119)*USTax</f>
        <v>-0</v>
      </c>
      <c r="V120" s="311" t="n">
        <f aca="false">-SUM(V118:V119)*USTax</f>
        <v>-0</v>
      </c>
      <c r="W120" s="311" t="n">
        <f aca="false">-SUM(W118:W119)*USTax</f>
        <v>-0</v>
      </c>
      <c r="X120" s="311" t="n">
        <f aca="false">-SUM(X118:X119)*USTax</f>
        <v>-0</v>
      </c>
      <c r="Y120" s="311" t="n">
        <f aca="false">-SUM(Y118:Y119)*USTax</f>
        <v>-0</v>
      </c>
      <c r="Z120" s="311" t="n">
        <f aca="false">-SUM(Z118:Z119)*USTax</f>
        <v>-0</v>
      </c>
      <c r="AA120" s="313" t="n">
        <f aca="false">SUM(E120:Z120)</f>
        <v>-412.630209128695</v>
      </c>
      <c r="AB120" s="313" t="n">
        <f aca="false">$E120+NPV(Disc,$F120:Z120)</f>
        <v>-305.632645643994</v>
      </c>
    </row>
    <row r="121" customFormat="false" ht="12.75" hidden="false" customHeight="false" outlineLevel="0" collapsed="false">
      <c r="A121" s="461"/>
      <c r="B121" s="39" t="s">
        <v>524</v>
      </c>
      <c r="C121" s="39"/>
      <c r="D121" s="39"/>
      <c r="E121" s="61" t="n">
        <f aca="false">SUM(E115:E120)</f>
        <v>-4148.934548</v>
      </c>
      <c r="F121" s="61" t="n">
        <f aca="false">SUM(F115:F120)</f>
        <v>-29546.8315356065</v>
      </c>
      <c r="G121" s="61" t="n">
        <f aca="false">SUM(G115:G120)</f>
        <v>10398.3526519067</v>
      </c>
      <c r="H121" s="61" t="n">
        <f aca="false">SUM(H115:H120)</f>
        <v>2557.49890216958</v>
      </c>
      <c r="I121" s="61" t="n">
        <f aca="false">SUM(I115:I120)</f>
        <v>2199.30551907481</v>
      </c>
      <c r="J121" s="61" t="n">
        <f aca="false">SUM(J115:J120)</f>
        <v>1596.7757719703</v>
      </c>
      <c r="K121" s="61" t="n">
        <f aca="false">SUM(K115:K120)</f>
        <v>2236.58673506872</v>
      </c>
      <c r="L121" s="61" t="n">
        <f aca="false">SUM(L115:L120)</f>
        <v>629.190278062251</v>
      </c>
      <c r="M121" s="61" t="n">
        <f aca="false">SUM(M115:M120)</f>
        <v>1983.78003443025</v>
      </c>
      <c r="N121" s="61" t="n">
        <f aca="false">SUM(N115:N120)</f>
        <v>2205.66601266579</v>
      </c>
      <c r="O121" s="61" t="n">
        <f aca="false">SUM(O115:O120)</f>
        <v>3673.0309169952</v>
      </c>
      <c r="P121" s="61" t="n">
        <f aca="false">SUM(P115:P120)</f>
        <v>5404.3638412702</v>
      </c>
      <c r="Q121" s="61" t="n">
        <f aca="false">SUM(Q115:Q120)</f>
        <v>5833.81979816998</v>
      </c>
      <c r="R121" s="61" t="n">
        <f aca="false">SUM(R115:R120)</f>
        <v>5297.01287512969</v>
      </c>
      <c r="S121" s="61" t="n">
        <f aca="false">SUM(S115:S120)</f>
        <v>3653.38756124774</v>
      </c>
      <c r="T121" s="61" t="n">
        <f aca="false">SUM(T115:T120)</f>
        <v>3653.50824402761</v>
      </c>
      <c r="U121" s="61" t="n">
        <f aca="false">SUM(U115:U120)</f>
        <v>4485.2488414665</v>
      </c>
      <c r="V121" s="61" t="n">
        <f aca="false">SUM(V115:V120)</f>
        <v>5885.9462077448</v>
      </c>
      <c r="W121" s="61" t="n">
        <f aca="false">SUM(W115:W120)</f>
        <v>8587.94170811158</v>
      </c>
      <c r="X121" s="61" t="n">
        <f aca="false">SUM(X115:X120)</f>
        <v>8799.31125158937</v>
      </c>
      <c r="Y121" s="61" t="n">
        <f aca="false">SUM(Y115:Y120)</f>
        <v>9034.31302162067</v>
      </c>
      <c r="Z121" s="61" t="n">
        <f aca="false">SUM(Z115:Z120)</f>
        <v>138396.681222881</v>
      </c>
      <c r="AA121" s="309" t="n">
        <f aca="false">SUM(E121:Z121)</f>
        <v>192815.955311997</v>
      </c>
      <c r="AB121" s="309" t="n">
        <f aca="false">SUM(AB115:AB120)</f>
        <v>-7971.15066269851</v>
      </c>
    </row>
    <row r="122" customFormat="false" ht="12.75" hidden="false" customHeight="false" outlineLevel="0" collapsed="false">
      <c r="A122" s="461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02"/>
      <c r="AB122" s="302"/>
    </row>
    <row r="123" customFormat="false" ht="12.75" hidden="false" customHeight="false" outlineLevel="0" collapsed="false">
      <c r="A123" s="461"/>
      <c r="B123" s="39" t="s">
        <v>503</v>
      </c>
      <c r="C123" s="39"/>
      <c r="D123" s="39"/>
      <c r="E123" s="61" t="n">
        <f aca="false">$E121</f>
        <v>-4148.934548</v>
      </c>
      <c r="F123" s="61" t="n">
        <f aca="false">$E121+NPV(Disc,$F121:F121)</f>
        <v>-28978.2047459886</v>
      </c>
      <c r="G123" s="61" t="n">
        <f aca="false">$E121+NPV(Disc,$F121:G121)</f>
        <v>-21635.2539290218</v>
      </c>
      <c r="H123" s="61" t="n">
        <f aca="false">$E121+NPV(Disc,$F121:H121)</f>
        <v>-20117.5936357382</v>
      </c>
      <c r="I123" s="61" t="n">
        <f aca="false">$E121+NPV(Disc,$F121:I121)</f>
        <v>-19020.8686985767</v>
      </c>
      <c r="J123" s="61" t="n">
        <f aca="false">$E121+NPV(Disc,$F121:J121)</f>
        <v>-18351.7408158146</v>
      </c>
      <c r="K123" s="61" t="n">
        <f aca="false">$E121+NPV(Disc,$F121:K121)</f>
        <v>-17564.1439550052</v>
      </c>
      <c r="L123" s="61" t="n">
        <f aca="false">$E121+NPV(Disc,$F121:L121)</f>
        <v>-17377.9552746734</v>
      </c>
      <c r="M123" s="61" t="n">
        <f aca="false">$E121+NPV(Disc,$F121:M121)</f>
        <v>-16884.6476547435</v>
      </c>
      <c r="N123" s="61" t="n">
        <f aca="false">$E121+NPV(Disc,$F121:N121)</f>
        <v>-16423.7366275804</v>
      </c>
      <c r="O123" s="61" t="n">
        <f aca="false">$E121+NPV(Disc,$F121:O121)</f>
        <v>-15778.7436740877</v>
      </c>
      <c r="P123" s="61" t="n">
        <f aca="false">$E121+NPV(Disc,$F121:P121)</f>
        <v>-14981.2486090526</v>
      </c>
      <c r="Q123" s="61" t="n">
        <f aca="false">$E121+NPV(Disc,$F121:Q121)</f>
        <v>-14257.8303380968</v>
      </c>
      <c r="R123" s="61" t="n">
        <f aca="false">$E121+NPV(Disc,$F121:R121)</f>
        <v>-13705.8539116888</v>
      </c>
      <c r="S123" s="61" t="n">
        <f aca="false">$E121+NPV(Disc,$F121:S121)</f>
        <v>-13385.9361988321</v>
      </c>
      <c r="T123" s="61" t="n">
        <f aca="false">$E121+NPV(Disc,$F121:T121)</f>
        <v>-13117.088904096</v>
      </c>
      <c r="U123" s="61" t="n">
        <f aca="false">$E121+NPV(Disc,$F121:U121)</f>
        <v>-12839.7344399663</v>
      </c>
      <c r="V123" s="61" t="n">
        <f aca="false">$E121+NPV(Disc,$F121:V121)</f>
        <v>-12533.8777775793</v>
      </c>
      <c r="W123" s="61" t="n">
        <f aca="false">$E121+NPV(Disc,$F121:W121)</f>
        <v>-12158.8669709789</v>
      </c>
      <c r="X123" s="61" t="n">
        <f aca="false">$E121+NPV(Disc,$F121:X121)</f>
        <v>-11835.9756189553</v>
      </c>
      <c r="Y123" s="61" t="n">
        <f aca="false">$E121+NPV(Disc,$F121:Y121)</f>
        <v>-11557.3917881285</v>
      </c>
      <c r="Z123" s="61" t="n">
        <f aca="false">$E121+NPV(Disc,$F121:Z121)</f>
        <v>-7971.15066269851</v>
      </c>
      <c r="AA123" s="302"/>
      <c r="AB123" s="302"/>
    </row>
    <row r="124" customFormat="false" ht="12.75" hidden="false" customHeight="false" outlineLevel="0" collapsed="false">
      <c r="A124" s="461"/>
      <c r="B124" s="39" t="s">
        <v>504</v>
      </c>
      <c r="C124" s="39"/>
      <c r="D124" s="39"/>
      <c r="E124" s="95" t="e">
        <f aca="false">IRR($E121:E121,-0.9)</f>
        <v>#N/A</v>
      </c>
      <c r="F124" s="95" t="e">
        <f aca="false">IRR($E121:F121,-0.9)</f>
        <v>#N/A</v>
      </c>
      <c r="G124" s="95" t="n">
        <f aca="false">IRR($E121:G121,-0.9)</f>
        <v>-0.66393137072936</v>
      </c>
      <c r="H124" s="95" t="n">
        <f aca="false">IRR($E121:H121,-0.9)</f>
        <v>-0.506750999454348</v>
      </c>
      <c r="I124" s="95" t="n">
        <f aca="false">IRR($E121:I121,-0.9)</f>
        <v>-0.374441096978244</v>
      </c>
      <c r="J124" s="95" t="n">
        <f aca="false">IRR($E121:J121,-0.9)</f>
        <v>-0.293406625135333</v>
      </c>
      <c r="K124" s="95" t="n">
        <f aca="false">IRR($E121:K121,-0.9)</f>
        <v>-0.207680610231239</v>
      </c>
      <c r="L124" s="95" t="n">
        <f aca="false">IRR($E121:L121,-0.9)</f>
        <v>-0.187314383124978</v>
      </c>
      <c r="M124" s="95" t="e">
        <f aca="false">IRR($E121:M121,-0.9)</f>
        <v>#N/A</v>
      </c>
      <c r="N124" s="95" t="e">
        <f aca="false">IRR($E121:N121,-0.9)</f>
        <v>#N/A</v>
      </c>
      <c r="O124" s="95" t="e">
        <f aca="false">IRR($E121:O121,-0.9)</f>
        <v>#N/A</v>
      </c>
      <c r="P124" s="95" t="e">
        <f aca="false">IRR($E121:P121,-0.9)</f>
        <v>#N/A</v>
      </c>
      <c r="Q124" s="95" t="e">
        <f aca="false">IRR($E121:Q121,-0.9)</f>
        <v>#N/A</v>
      </c>
      <c r="R124" s="95" t="e">
        <f aca="false">IRR($E121:R121,-0.9)</f>
        <v>#N/A</v>
      </c>
      <c r="S124" s="95" t="e">
        <f aca="false">IRR($E121:S121,-0.9)</f>
        <v>#N/A</v>
      </c>
      <c r="T124" s="95" t="e">
        <f aca="false">IRR($E121:T121,-0.9)</f>
        <v>#N/A</v>
      </c>
      <c r="U124" s="95" t="e">
        <f aca="false">IRR($E121:U121,-0.9)</f>
        <v>#N/A</v>
      </c>
      <c r="V124" s="95" t="e">
        <f aca="false">IRR($E121:V121,-0.9)</f>
        <v>#N/A</v>
      </c>
      <c r="W124" s="95" t="e">
        <f aca="false">IRR($E121:W121,-0.9)</f>
        <v>#N/A</v>
      </c>
      <c r="X124" s="95" t="e">
        <f aca="false">IRR($E121:X121,-0.9)</f>
        <v>#N/A</v>
      </c>
      <c r="Y124" s="95" t="e">
        <f aca="false">IRR($E121:Y121,-0.9)</f>
        <v>#N/A</v>
      </c>
      <c r="Z124" s="95" t="e">
        <f aca="false">IRR($E121:Z121,-0.9)</f>
        <v>#N/A</v>
      </c>
      <c r="AA124" s="302"/>
      <c r="AB124" s="467" t="n">
        <f aca="false">IRR($E121:Z121)</f>
        <v>0.147898508413184</v>
      </c>
    </row>
    <row r="125" customFormat="false" ht="12.75" hidden="false" customHeight="false" outlineLevel="0" collapsed="false">
      <c r="A125" s="461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02"/>
      <c r="AB125" s="302"/>
    </row>
    <row r="126" customFormat="false" ht="12.75" hidden="false" customHeight="false" outlineLevel="0" collapsed="false">
      <c r="A126" s="461"/>
      <c r="B126" s="470" t="str">
        <f aca="false">CONCATENATE("Transredes NPV w/ Bridge Loan @ ",TEXT(Disc,"0.0%"))</f>
        <v>Transredes NPV w/ Bridge Loan @ 19.0%</v>
      </c>
      <c r="C126" s="471" t="n">
        <f aca="false">AB121</f>
        <v>-7971.15066269851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02"/>
      <c r="AB126" s="302"/>
    </row>
    <row r="127" customFormat="false" ht="12.75" hidden="false" customHeight="false" outlineLevel="0" collapsed="false">
      <c r="A127" s="513"/>
      <c r="B127" s="514" t="s">
        <v>537</v>
      </c>
      <c r="C127" s="537" t="n">
        <f aca="false">AB124</f>
        <v>0.147898508413184</v>
      </c>
      <c r="D127" s="446"/>
      <c r="E127" s="446"/>
      <c r="F127" s="446"/>
      <c r="G127" s="446"/>
      <c r="H127" s="446"/>
      <c r="I127" s="446"/>
      <c r="J127" s="446"/>
      <c r="K127" s="446"/>
      <c r="L127" s="446"/>
      <c r="M127" s="446"/>
      <c r="N127" s="446"/>
      <c r="O127" s="446"/>
      <c r="P127" s="446"/>
      <c r="Q127" s="446"/>
      <c r="R127" s="446"/>
      <c r="S127" s="446"/>
      <c r="T127" s="446"/>
      <c r="U127" s="446"/>
      <c r="V127" s="446"/>
      <c r="W127" s="446"/>
      <c r="X127" s="446"/>
      <c r="Y127" s="446"/>
      <c r="Z127" s="446"/>
      <c r="AA127" s="517"/>
      <c r="AB127" s="517"/>
    </row>
    <row r="128" customFormat="false" ht="12.75" hidden="false" customHeight="false" outlineLevel="0" collapsed="false">
      <c r="A128" s="47"/>
      <c r="B128" s="478"/>
      <c r="C128" s="478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02"/>
      <c r="AB128" s="302"/>
    </row>
    <row r="129" customFormat="false" ht="12.75" hidden="false" customHeight="false" outlineLevel="0" collapsed="false">
      <c r="A129" s="507"/>
      <c r="B129" s="39" t="s">
        <v>527</v>
      </c>
      <c r="C129" s="39"/>
      <c r="D129" s="39"/>
      <c r="E129" s="61" t="n">
        <f aca="false">E121</f>
        <v>-4148.934548</v>
      </c>
      <c r="F129" s="61" t="n">
        <f aca="false">F121</f>
        <v>-29546.8315356065</v>
      </c>
      <c r="G129" s="61" t="n">
        <f aca="false">G121</f>
        <v>10398.3526519067</v>
      </c>
      <c r="H129" s="61" t="n">
        <f aca="false">H121</f>
        <v>2557.49890216958</v>
      </c>
      <c r="I129" s="61" t="n">
        <f aca="false">I121</f>
        <v>2199.30551907481</v>
      </c>
      <c r="J129" s="61" t="n">
        <f aca="false">J121</f>
        <v>1596.7757719703</v>
      </c>
      <c r="K129" s="61" t="n">
        <f aca="false">K121</f>
        <v>2236.58673506872</v>
      </c>
      <c r="L129" s="61" t="n">
        <f aca="false">L121</f>
        <v>629.190278062251</v>
      </c>
      <c r="M129" s="61" t="n">
        <f aca="false">M121</f>
        <v>1983.78003443025</v>
      </c>
      <c r="N129" s="61" t="n">
        <f aca="false">N121</f>
        <v>2205.66601266579</v>
      </c>
      <c r="O129" s="61" t="n">
        <f aca="false">O121</f>
        <v>3673.0309169952</v>
      </c>
      <c r="P129" s="61" t="n">
        <f aca="false">P121</f>
        <v>5404.3638412702</v>
      </c>
      <c r="Q129" s="61" t="n">
        <f aca="false">Q121</f>
        <v>5833.81979816998</v>
      </c>
      <c r="R129" s="61" t="n">
        <f aca="false">R121</f>
        <v>5297.01287512969</v>
      </c>
      <c r="S129" s="61" t="n">
        <f aca="false">S121</f>
        <v>3653.38756124774</v>
      </c>
      <c r="T129" s="61" t="n">
        <f aca="false">T121</f>
        <v>3653.50824402761</v>
      </c>
      <c r="U129" s="61" t="n">
        <f aca="false">U121</f>
        <v>4485.2488414665</v>
      </c>
      <c r="V129" s="61" t="n">
        <f aca="false">V121</f>
        <v>5885.9462077448</v>
      </c>
      <c r="W129" s="61" t="n">
        <f aca="false">W121</f>
        <v>8587.94170811158</v>
      </c>
      <c r="X129" s="61" t="n">
        <f aca="false">X121</f>
        <v>8799.31125158937</v>
      </c>
      <c r="Y129" s="61" t="n">
        <f aca="false">Y121</f>
        <v>9034.31302162067</v>
      </c>
      <c r="Z129" s="61" t="n">
        <f aca="false">Z121</f>
        <v>138396.681222881</v>
      </c>
      <c r="AA129" s="309" t="n">
        <f aca="false">SUM(E129:Z129)</f>
        <v>192815.955311997</v>
      </c>
      <c r="AB129" s="309" t="n">
        <f aca="false">$E129+NPV(Disc,$F129:Z129)</f>
        <v>-7971.15066269851</v>
      </c>
    </row>
    <row r="130" customFormat="false" ht="12.75" hidden="false" customHeight="false" outlineLevel="0" collapsed="false">
      <c r="A130" s="530" t="n">
        <f aca="false">A99</f>
        <v>0.4</v>
      </c>
      <c r="B130" s="39" t="s">
        <v>528</v>
      </c>
      <c r="C130" s="39"/>
      <c r="D130" s="39"/>
      <c r="E130" s="61" t="n">
        <f aca="false">IF(E$7&lt;YEAR(Startconst),0,-HLOOKUP(DATE(E$7,12,31),Idc_Table,IDC!$AP$46)*$A130-SUM($D130:D130))</f>
        <v>-0</v>
      </c>
      <c r="F130" s="61" t="n">
        <f aca="false">IF(F$7&lt;YEAR(Startconst),0,-HLOOKUP(DATE(F$7,12,31),Idc_Table,IDC!$AP$46)*$A130-SUM($D130:E130))</f>
        <v>-0</v>
      </c>
      <c r="G130" s="61" t="n">
        <f aca="false">IF(G$7&lt;YEAR(Startconst),0,-HLOOKUP(DATE(G$7,12,31),Idc_Table,IDC!$AP$46)*$A130-SUM($D130:F130))</f>
        <v>-971.378852638542</v>
      </c>
      <c r="H130" s="61" t="n">
        <f aca="false">IF(H$7&lt;YEAR(Startconst),0,-HLOOKUP(DATE(H$7,12,31),Idc_Table,IDC!$AP$46)*$A130-SUM($D130:G130))</f>
        <v>-18.0759458357314</v>
      </c>
      <c r="I130" s="61" t="n">
        <f aca="false">IF(I$7&lt;YEAR(Startconst),0,-HLOOKUP(DATE(I$7,12,31),Idc_Table,IDC!$AP$46)*$A130-SUM($D130:H130))</f>
        <v>0</v>
      </c>
      <c r="J130" s="61" t="n">
        <f aca="false">IF(J$7&lt;YEAR(Startconst),0,-HLOOKUP(DATE(J$7,12,31),Idc_Table,IDC!$AP$46)*$A130-SUM($D130:I130))</f>
        <v>0</v>
      </c>
      <c r="K130" s="61" t="n">
        <f aca="false">IF(K$7&lt;YEAR(Startconst),0,-HLOOKUP(DATE(K$7,12,31),Idc_Table,IDC!$AP$46)*$A130-SUM($D130:J130))</f>
        <v>0</v>
      </c>
      <c r="L130" s="61" t="n">
        <f aca="false">IF(L$7&lt;YEAR(Startconst),0,-HLOOKUP(DATE(L$7,12,31),Idc_Table,IDC!$AP$46)*$A130-SUM($D130:K130))</f>
        <v>0</v>
      </c>
      <c r="M130" s="61" t="n">
        <f aca="false">IF(M$7&lt;YEAR(Startconst),0,-HLOOKUP(DATE(M$7,12,31),Idc_Table,IDC!$AP$46)*$A130-SUM($D130:L130))</f>
        <v>0</v>
      </c>
      <c r="N130" s="61" t="n">
        <f aca="false">IF(N$7&lt;YEAR(Startconst),0,-HLOOKUP(DATE(N$7,12,31),Idc_Table,IDC!$AP$46)*$A130-SUM($D130:M130))</f>
        <v>0</v>
      </c>
      <c r="O130" s="61" t="n">
        <f aca="false">IF(O$7&lt;YEAR(Startconst),0,-HLOOKUP(DATE(O$7,12,31),Idc_Table,IDC!$AP$46)*$A130-SUM($D130:N130))</f>
        <v>0</v>
      </c>
      <c r="P130" s="61" t="n">
        <f aca="false">IF(P$7&lt;YEAR(Startconst),0,-HLOOKUP(DATE(P$7,12,31),Idc_Table,IDC!$AP$46)*$A130-SUM($D130:O130))</f>
        <v>0</v>
      </c>
      <c r="Q130" s="61" t="n">
        <f aca="false">IF(Q$7&lt;YEAR(Startconst),0,-HLOOKUP(DATE(Q$7,12,31),Idc_Table,IDC!$AP$46)*$A130-SUM($D130:P130))</f>
        <v>0</v>
      </c>
      <c r="R130" s="61" t="n">
        <f aca="false">IF(R$7&lt;YEAR(Startconst),0,-HLOOKUP(DATE(R$7,12,31),Idc_Table,IDC!$AP$46)*$A130-SUM($D130:Q130))</f>
        <v>0</v>
      </c>
      <c r="S130" s="61" t="n">
        <f aca="false">IF(S$7&lt;YEAR(Startconst),0,-HLOOKUP(DATE(S$7,12,31),Idc_Table,IDC!$AP$46)*$A130-SUM($D130:R130))</f>
        <v>0</v>
      </c>
      <c r="T130" s="61" t="n">
        <f aca="false">IF(T$7&lt;YEAR(Startconst),0,-HLOOKUP(DATE(T$7,12,31),Idc_Table,IDC!$AP$46)*$A130-SUM($D130:S130))</f>
        <v>0</v>
      </c>
      <c r="U130" s="61" t="n">
        <f aca="false">IF(U$7&lt;YEAR(Startconst),0,-HLOOKUP(DATE(U$7,12,31),Idc_Table,IDC!$AP$46)*$A130-SUM($D130:T130))</f>
        <v>0</v>
      </c>
      <c r="V130" s="61" t="n">
        <f aca="false">IF(V$7&lt;YEAR(Startconst),0,-HLOOKUP(DATE(V$7,12,31),Idc_Table,IDC!$AP$46)*$A130-SUM($D130:U130))</f>
        <v>0</v>
      </c>
      <c r="W130" s="61" t="n">
        <f aca="false">IF(W$7&lt;YEAR(Startconst),0,-HLOOKUP(DATE(W$7,12,31),Idc_Table,IDC!$AP$46)*$A130-SUM($D130:V130))</f>
        <v>0</v>
      </c>
      <c r="X130" s="61" t="n">
        <f aca="false">IF(X$7&lt;YEAR(Startconst),0,-HLOOKUP(DATE(X$7,12,31),Idc_Table,IDC!$AP$46)*$A130-SUM($D130:W130))</f>
        <v>0</v>
      </c>
      <c r="Y130" s="61" t="n">
        <f aca="false">IF(Y$7&lt;YEAR(Startconst),0,-HLOOKUP(DATE(Y$7,12,31),Idc_Table,IDC!$AP$46)*$A130-SUM($D130:X130))</f>
        <v>0</v>
      </c>
      <c r="Z130" s="61" t="n">
        <f aca="false">IF(Z$7&lt;YEAR(Startconst),0,-HLOOKUP(DATE(Z$7,12,31),Idc_Table,IDC!$AP$46)*$A130-SUM($D130:Y130))</f>
        <v>0</v>
      </c>
      <c r="AA130" s="309" t="n">
        <f aca="false">SUM(D130:Z130)</f>
        <v>-989.454798474274</v>
      </c>
      <c r="AB130" s="309" t="n">
        <f aca="false">$E130+NPV(Disc,$F130:Z130)</f>
        <v>-696.680123641506</v>
      </c>
    </row>
    <row r="131" customFormat="false" ht="12.75" hidden="false" customHeight="false" outlineLevel="0" collapsed="false">
      <c r="A131" s="461"/>
      <c r="B131" s="39" t="s">
        <v>529</v>
      </c>
      <c r="C131" s="39"/>
      <c r="D131" s="39"/>
      <c r="E131" s="61" t="n">
        <f aca="false">IF(E$7&lt;YEAR(Startops1),0,-HLOOKUP(E$7,CF_Table,CF!$AB$69)*$A130)</f>
        <v>0</v>
      </c>
      <c r="F131" s="61" t="n">
        <f aca="false">IF(F$7&lt;YEAR(Startops1),0,-HLOOKUP(F$7,CF_Table,CF!$AB$69)*$A130)</f>
        <v>0</v>
      </c>
      <c r="G131" s="61" t="n">
        <f aca="false">IF(G$7&lt;YEAR(Startops1),0,-HLOOKUP(G$7,CF_Table,CF!$AB$69)*$A130)</f>
        <v>0</v>
      </c>
      <c r="H131" s="61" t="n">
        <f aca="false">IF(H$7&lt;YEAR(Startops1),0,-HLOOKUP(H$7,CF_Table,CF!$AB$69)*$A130)</f>
        <v>0</v>
      </c>
      <c r="I131" s="61" t="n">
        <f aca="false">IF(I$7&lt;YEAR(Startops1),0,-HLOOKUP(I$7,CF_Table,CF!$AB$69)*$A130)</f>
        <v>44.3199927006423</v>
      </c>
      <c r="J131" s="61" t="n">
        <f aca="false">IF(J$7&lt;YEAR(Startops1),0,-HLOOKUP(J$7,CF_Table,CF!$AB$69)*$A130)</f>
        <v>50.268843720886</v>
      </c>
      <c r="K131" s="61" t="n">
        <f aca="false">IF(K$7&lt;YEAR(Startops1),0,-HLOOKUP(K$7,CF_Table,CF!$AB$69)*$A130)</f>
        <v>57.0161792693219</v>
      </c>
      <c r="L131" s="61" t="n">
        <f aca="false">IF(L$7&lt;YEAR(Startops1),0,-HLOOKUP(L$7,CF_Table,CF!$AB$69)*$A130)</f>
        <v>64.6691759317467</v>
      </c>
      <c r="M131" s="61" t="n">
        <f aca="false">IF(M$7&lt;YEAR(Startops1),0,-HLOOKUP(M$7,CF_Table,CF!$AB$69)*$A130)</f>
        <v>73.3493960711853</v>
      </c>
      <c r="N131" s="61" t="n">
        <f aca="false">IF(N$7&lt;YEAR(Startops1),0,-HLOOKUP(N$7,CF_Table,CF!$AB$69)*$A130)</f>
        <v>83.1947187588402</v>
      </c>
      <c r="O131" s="61" t="n">
        <f aca="false">IF(O$7&lt;YEAR(Startops1),0,-HLOOKUP(O$7,CF_Table,CF!$AB$69)*$A130)</f>
        <v>94.3615298842456</v>
      </c>
      <c r="P131" s="61" t="n">
        <f aca="false">IF(P$7&lt;YEAR(Startops1),0,-HLOOKUP(P$7,CF_Table,CF!$AB$69)*$A130)</f>
        <v>107.027206232958</v>
      </c>
      <c r="Q131" s="61" t="n">
        <f aca="false">IF(Q$7&lt;YEAR(Startops1),0,-HLOOKUP(Q$7,CF_Table,CF!$AB$69)*$A130)</f>
        <v>121.392932989577</v>
      </c>
      <c r="R131" s="61" t="n">
        <f aca="false">IF(R$7&lt;YEAR(Startops1),0,-HLOOKUP(R$7,CF_Table,CF!$AB$69)*$A130)</f>
        <v>137.686899420103</v>
      </c>
      <c r="S131" s="61" t="n">
        <f aca="false">IF(S$7&lt;YEAR(Startops1),0,-HLOOKUP(S$7,CF_Table,CF!$AB$69)*$A130)</f>
        <v>156.167923494767</v>
      </c>
      <c r="T131" s="61" t="n">
        <f aca="false">IF(T$7&lt;YEAR(Startops1),0,-HLOOKUP(T$7,CF_Table,CF!$AB$69)*$A130)</f>
        <v>0</v>
      </c>
      <c r="U131" s="61" t="n">
        <f aca="false">IF(U$7&lt;YEAR(Startops1),0,-HLOOKUP(U$7,CF_Table,CF!$AB$69)*$A130)</f>
        <v>0</v>
      </c>
      <c r="V131" s="61" t="n">
        <f aca="false">IF(V$7&lt;YEAR(Startops1),0,-HLOOKUP(V$7,CF_Table,CF!$AB$69)*$A130)</f>
        <v>0</v>
      </c>
      <c r="W131" s="61" t="n">
        <f aca="false">IF(W$7&lt;YEAR(Startops1),0,-HLOOKUP(W$7,CF_Table,CF!$AB$69)*$A130)</f>
        <v>0</v>
      </c>
      <c r="X131" s="61" t="n">
        <f aca="false">IF(X$7&lt;YEAR(Startops1),0,-HLOOKUP(X$7,CF_Table,CF!$AB$69)*$A130)</f>
        <v>0</v>
      </c>
      <c r="Y131" s="61" t="n">
        <f aca="false">IF(Y$7&lt;YEAR(Startops1),0,-HLOOKUP(Y$7,CF_Table,CF!$AB$69)*$A130)</f>
        <v>0</v>
      </c>
      <c r="Z131" s="61" t="n">
        <f aca="false">IF(Z$7&lt;YEAR(Startops1),0,-HLOOKUP(Z$7,CF_Table,CF!$AB$69)*$A130)</f>
        <v>0</v>
      </c>
      <c r="AA131" s="309" t="n">
        <f aca="false">SUM(D131:Z131)</f>
        <v>989.454798474274</v>
      </c>
      <c r="AB131" s="309" t="n">
        <f aca="false">$E131+NPV(Disc,$F131:Z131)</f>
        <v>193.445203128888</v>
      </c>
    </row>
    <row r="132" customFormat="false" ht="12.75" hidden="false" customHeight="false" outlineLevel="0" collapsed="false">
      <c r="A132" s="461"/>
      <c r="B132" s="39" t="s">
        <v>530</v>
      </c>
      <c r="C132" s="533" t="s">
        <v>272</v>
      </c>
      <c r="D132" s="39"/>
      <c r="E132" s="61" t="n">
        <f aca="false">IF(E$7&lt;YEAR(Startops1),0,-HLOOKUP(E$7,CF_Table,CF!$AB$51)*$A130)</f>
        <v>0</v>
      </c>
      <c r="F132" s="61" t="n">
        <f aca="false">IF(F$7&lt;YEAR(Startops1),0,-HLOOKUP(F$7,CF_Table,CF!$AB$51)*$A130)</f>
        <v>0</v>
      </c>
      <c r="G132" s="61" t="n">
        <f aca="false">IF(G$7&lt;YEAR(Startops1),0,-HLOOKUP(G$7,CF_Table,CF!$AB$51)*$A130)</f>
        <v>0</v>
      </c>
      <c r="H132" s="61" t="n">
        <f aca="false">IF(H$7&lt;YEAR(Startops1),0,-HLOOKUP(H$7,CF_Table,CF!$AB$51)*$A130)</f>
        <v>53.5954682506898</v>
      </c>
      <c r="I132" s="61" t="n">
        <f aca="false">IF(I$7&lt;YEAR(Startops1),0,-HLOOKUP(I$7,CF_Table,CF!$AB$51)*$A130)</f>
        <v>127.23406349873</v>
      </c>
      <c r="J132" s="61" t="n">
        <f aca="false">IF(J$7&lt;YEAR(Startops1),0,-HLOOKUP(J$7,CF_Table,CF!$AB$51)*$A130)</f>
        <v>121.285212478486</v>
      </c>
      <c r="K132" s="61" t="n">
        <f aca="false">IF(K$7&lt;YEAR(Startops1),0,-HLOOKUP(K$7,CF_Table,CF!$AB$51)*$A130)</f>
        <v>114.53787693005</v>
      </c>
      <c r="L132" s="61" t="n">
        <f aca="false">IF(L$7&lt;YEAR(Startops1),0,-HLOOKUP(L$7,CF_Table,CF!$AB$51)*$A130)</f>
        <v>106.884880267625</v>
      </c>
      <c r="M132" s="61" t="n">
        <f aca="false">IF(M$7&lt;YEAR(Startops1),0,-HLOOKUP(M$7,CF_Table,CF!$AB$51)*$A130)</f>
        <v>98.2046601281867</v>
      </c>
      <c r="N132" s="61" t="n">
        <f aca="false">IF(N$7&lt;YEAR(Startops1),0,-HLOOKUP(N$7,CF_Table,CF!$AB$51)*$A130)</f>
        <v>88.3593374405319</v>
      </c>
      <c r="O132" s="61" t="n">
        <f aca="false">IF(O$7&lt;YEAR(Startops1),0,-HLOOKUP(O$7,CF_Table,CF!$AB$51)*$A130)</f>
        <v>77.1925263151265</v>
      </c>
      <c r="P132" s="61" t="n">
        <f aca="false">IF(P$7&lt;YEAR(Startops1),0,-HLOOKUP(P$7,CF_Table,CF!$AB$51)*$A130)</f>
        <v>64.5268499664137</v>
      </c>
      <c r="Q132" s="61" t="n">
        <f aca="false">IF(Q$7&lt;YEAR(Startops1),0,-HLOOKUP(Q$7,CF_Table,CF!$AB$51)*$A130)</f>
        <v>50.1611232097948</v>
      </c>
      <c r="R132" s="61" t="n">
        <f aca="false">IF(R$7&lt;YEAR(Startops1),0,-HLOOKUP(R$7,CF_Table,CF!$AB$51)*$A130)</f>
        <v>33.8671567792688</v>
      </c>
      <c r="S132" s="61" t="n">
        <f aca="false">IF(S$7&lt;YEAR(Startops1),0,-HLOOKUP(S$7,CF_Table,CF!$AB$51)*$A130)</f>
        <v>15.3861327046055</v>
      </c>
      <c r="T132" s="61" t="n">
        <f aca="false">IF(T$7&lt;YEAR(Startops1),0,-HLOOKUP(T$7,CF_Table,CF!$AB$51)*$A130)</f>
        <v>0</v>
      </c>
      <c r="U132" s="61" t="n">
        <f aca="false">IF(U$7&lt;YEAR(Startops1),0,-HLOOKUP(U$7,CF_Table,CF!$AB$51)*$A130)</f>
        <v>0</v>
      </c>
      <c r="V132" s="61" t="n">
        <f aca="false">IF(V$7&lt;YEAR(Startops1),0,-HLOOKUP(V$7,CF_Table,CF!$AB$51)*$A130)</f>
        <v>0</v>
      </c>
      <c r="W132" s="61" t="n">
        <f aca="false">IF(W$7&lt;YEAR(Startops1),0,-HLOOKUP(W$7,CF_Table,CF!$AB$51)*$A130)</f>
        <v>0</v>
      </c>
      <c r="X132" s="61" t="n">
        <f aca="false">IF(X$7&lt;YEAR(Startops1),0,-HLOOKUP(X$7,CF_Table,CF!$AB$51)*$A130)</f>
        <v>0</v>
      </c>
      <c r="Y132" s="61" t="n">
        <f aca="false">IF(Y$7&lt;YEAR(Startops1),0,-HLOOKUP(Y$7,CF_Table,CF!$AB$51)*$A130)</f>
        <v>0</v>
      </c>
      <c r="Z132" s="61" t="n">
        <f aca="false">IF(Z$7&lt;YEAR(Startops1),0,-HLOOKUP(Z$7,CF_Table,CF!$AB$51)*$A130)</f>
        <v>0</v>
      </c>
      <c r="AA132" s="309" t="n">
        <f aca="false">SUM(D132:Z132)</f>
        <v>951.235287969509</v>
      </c>
      <c r="AB132" s="309" t="n">
        <f aca="false">$E132+NPV(Disc,$F132:Z132)</f>
        <v>295.097849609556</v>
      </c>
    </row>
    <row r="133" customFormat="false" ht="12.75" hidden="false" customHeight="false" outlineLevel="0" collapsed="false">
      <c r="A133" s="461"/>
      <c r="B133" s="39" t="s">
        <v>538</v>
      </c>
      <c r="C133" s="533" t="s">
        <v>272</v>
      </c>
      <c r="D133" s="39"/>
      <c r="E133" s="61" t="n">
        <f aca="false">Wh_Int*-E132</f>
        <v>-0</v>
      </c>
      <c r="F133" s="61" t="n">
        <f aca="false">Wh_Int*-F132</f>
        <v>-0</v>
      </c>
      <c r="G133" s="61" t="n">
        <f aca="false">Wh_Int*-G132</f>
        <v>-0</v>
      </c>
      <c r="H133" s="61" t="n">
        <f aca="false">Wh_Int*-H132</f>
        <v>-6.69943353133623</v>
      </c>
      <c r="I133" s="61" t="n">
        <f aca="false">Wh_Int*-I132</f>
        <v>-15.9042579373412</v>
      </c>
      <c r="J133" s="61" t="n">
        <f aca="false">Wh_Int*-J132</f>
        <v>-15.1606515598108</v>
      </c>
      <c r="K133" s="61" t="n">
        <f aca="false">Wh_Int*-K132</f>
        <v>-14.3172346162563</v>
      </c>
      <c r="L133" s="61" t="n">
        <f aca="false">Wh_Int*-L132</f>
        <v>-13.3606100334532</v>
      </c>
      <c r="M133" s="61" t="n">
        <f aca="false">Wh_Int*-M132</f>
        <v>-12.2755825160233</v>
      </c>
      <c r="N133" s="61" t="n">
        <f aca="false">Wh_Int*-N132</f>
        <v>-11.0449171800665</v>
      </c>
      <c r="O133" s="61" t="n">
        <f aca="false">Wh_Int*-O132</f>
        <v>-9.64906578939082</v>
      </c>
      <c r="P133" s="61" t="n">
        <f aca="false">Wh_Int*-P132</f>
        <v>-8.06585624580171</v>
      </c>
      <c r="Q133" s="61" t="n">
        <f aca="false">Wh_Int*-Q132</f>
        <v>-6.27014040122435</v>
      </c>
      <c r="R133" s="61" t="n">
        <f aca="false">Wh_Int*-R132</f>
        <v>-4.2333945974086</v>
      </c>
      <c r="S133" s="61" t="n">
        <f aca="false">Wh_Int*-S132</f>
        <v>-1.92326658807568</v>
      </c>
      <c r="T133" s="61" t="n">
        <f aca="false">Wh_Int*-T132</f>
        <v>-0</v>
      </c>
      <c r="U133" s="61" t="n">
        <f aca="false">Wh_Int*-U132</f>
        <v>-0</v>
      </c>
      <c r="V133" s="61" t="n">
        <f aca="false">Wh_Int*-V132</f>
        <v>-0</v>
      </c>
      <c r="W133" s="61" t="n">
        <f aca="false">Wh_Int*-W132</f>
        <v>-0</v>
      </c>
      <c r="X133" s="61" t="n">
        <f aca="false">Wh_Int*-X132</f>
        <v>-0</v>
      </c>
      <c r="Y133" s="61" t="n">
        <f aca="false">Wh_Int*-Y132</f>
        <v>-0</v>
      </c>
      <c r="Z133" s="61" t="n">
        <f aca="false">Wh_Int*-Z132</f>
        <v>-0</v>
      </c>
      <c r="AA133" s="309" t="n">
        <f aca="false">SUM(D133:Z133)</f>
        <v>-118.904410996189</v>
      </c>
      <c r="AB133" s="309" t="n">
        <f aca="false">$E133+NPV(Disc,$F133:Z133)</f>
        <v>-36.8872312011945</v>
      </c>
    </row>
    <row r="134" customFormat="false" ht="12.75" hidden="false" customHeight="false" outlineLevel="0" collapsed="false">
      <c r="A134" s="461"/>
      <c r="B134" s="39" t="s">
        <v>536</v>
      </c>
      <c r="C134" s="39"/>
      <c r="D134" s="39"/>
      <c r="E134" s="311" t="n">
        <f aca="false">-SUM(E132:E133)*USTax</f>
        <v>-0</v>
      </c>
      <c r="F134" s="311" t="n">
        <f aca="false">-SUM(F132:F133)*USTax</f>
        <v>-0</v>
      </c>
      <c r="G134" s="311" t="n">
        <f aca="false">-SUM(G132:G133)*USTax</f>
        <v>-0</v>
      </c>
      <c r="H134" s="311" t="n">
        <f aca="false">-SUM(H132:H133)*USTax</f>
        <v>-17.3515328461608</v>
      </c>
      <c r="I134" s="311" t="n">
        <f aca="false">-SUM(I132:I133)*USTax</f>
        <v>-41.1920280577138</v>
      </c>
      <c r="J134" s="311" t="n">
        <f aca="false">-SUM(J132:J133)*USTax</f>
        <v>-39.2660875399099</v>
      </c>
      <c r="K134" s="311" t="n">
        <f aca="false">-SUM(K132:K133)*USTax</f>
        <v>-37.0816376561037</v>
      </c>
      <c r="L134" s="311" t="n">
        <f aca="false">-SUM(L132:L133)*USTax</f>
        <v>-34.6039799866437</v>
      </c>
      <c r="M134" s="311" t="n">
        <f aca="false">-SUM(M132:M133)*USTax</f>
        <v>-31.7937587165004</v>
      </c>
      <c r="N134" s="311" t="n">
        <f aca="false">-SUM(N132:N133)*USTax</f>
        <v>-28.6063354963722</v>
      </c>
      <c r="O134" s="311" t="n">
        <f aca="false">-SUM(O132:O133)*USTax</f>
        <v>-24.9910803945222</v>
      </c>
      <c r="P134" s="311" t="n">
        <f aca="false">-SUM(P132:P133)*USTax</f>
        <v>-20.8905676766264</v>
      </c>
      <c r="Q134" s="311" t="n">
        <f aca="false">-SUM(Q132:Q133)*USTax</f>
        <v>-16.2396636391711</v>
      </c>
      <c r="R134" s="311" t="n">
        <f aca="false">-SUM(R132:R133)*USTax</f>
        <v>-10.9644920072883</v>
      </c>
      <c r="S134" s="311" t="n">
        <f aca="false">-SUM(S132:S133)*USTax</f>
        <v>-4.98126046311602</v>
      </c>
      <c r="T134" s="311" t="n">
        <f aca="false">-SUM(T132:T133)*USTax</f>
        <v>-0</v>
      </c>
      <c r="U134" s="311" t="n">
        <f aca="false">-SUM(U132:U133)*USTax</f>
        <v>-0</v>
      </c>
      <c r="V134" s="311" t="n">
        <f aca="false">-SUM(V132:V133)*USTax</f>
        <v>-0</v>
      </c>
      <c r="W134" s="311" t="n">
        <f aca="false">-SUM(W132:W133)*USTax</f>
        <v>-0</v>
      </c>
      <c r="X134" s="311" t="n">
        <f aca="false">-SUM(X132:X133)*USTax</f>
        <v>-0</v>
      </c>
      <c r="Y134" s="311" t="n">
        <f aca="false">-SUM(Y132:Y133)*USTax</f>
        <v>-0</v>
      </c>
      <c r="Z134" s="311" t="n">
        <f aca="false">-SUM(Z132:Z133)*USTax</f>
        <v>-0</v>
      </c>
      <c r="AA134" s="313" t="n">
        <f aca="false">SUM(E134:Z134)</f>
        <v>-307.962424480129</v>
      </c>
      <c r="AB134" s="313" t="n">
        <f aca="false">$E134+NPV(Disc,$F134:Z134)</f>
        <v>-95.5379288110937</v>
      </c>
    </row>
    <row r="135" customFormat="false" ht="12.75" hidden="false" customHeight="false" outlineLevel="0" collapsed="false">
      <c r="A135" s="461"/>
      <c r="B135" s="39" t="s">
        <v>533</v>
      </c>
      <c r="C135" s="39"/>
      <c r="D135" s="39"/>
      <c r="E135" s="61" t="n">
        <f aca="false">SUM(E129:E134)</f>
        <v>-4148.934548</v>
      </c>
      <c r="F135" s="61" t="n">
        <f aca="false">SUM(F129:F134)</f>
        <v>-29546.8315356065</v>
      </c>
      <c r="G135" s="61" t="n">
        <f aca="false">SUM(G129:G134)</f>
        <v>9426.97379926815</v>
      </c>
      <c r="H135" s="61" t="n">
        <f aca="false">SUM(H129:H134)</f>
        <v>2568.96745820704</v>
      </c>
      <c r="I135" s="61" t="n">
        <f aca="false">SUM(I129:I134)</f>
        <v>2313.76328927912</v>
      </c>
      <c r="J135" s="61" t="n">
        <f aca="false">SUM(J129:J134)</f>
        <v>1713.90308906995</v>
      </c>
      <c r="K135" s="61" t="n">
        <f aca="false">SUM(K129:K134)</f>
        <v>2356.74191899573</v>
      </c>
      <c r="L135" s="61" t="n">
        <f aca="false">SUM(L129:L134)</f>
        <v>752.779744241526</v>
      </c>
      <c r="M135" s="61" t="n">
        <f aca="false">SUM(M129:M134)</f>
        <v>2111.2647493971</v>
      </c>
      <c r="N135" s="61" t="n">
        <f aca="false">SUM(N129:N134)</f>
        <v>2337.56881618873</v>
      </c>
      <c r="O135" s="61" t="n">
        <f aca="false">SUM(O129:O134)</f>
        <v>3809.94482701066</v>
      </c>
      <c r="P135" s="61" t="n">
        <f aca="false">SUM(P129:P134)</f>
        <v>5546.96147354714</v>
      </c>
      <c r="Q135" s="61" t="n">
        <f aca="false">SUM(Q129:Q134)</f>
        <v>5982.86405032895</v>
      </c>
      <c r="R135" s="61" t="n">
        <f aca="false">SUM(R129:R134)</f>
        <v>5453.36904472437</v>
      </c>
      <c r="S135" s="61" t="n">
        <f aca="false">SUM(S129:S134)</f>
        <v>3818.03709039592</v>
      </c>
      <c r="T135" s="61" t="n">
        <f aca="false">SUM(T129:T134)</f>
        <v>3653.50824402761</v>
      </c>
      <c r="U135" s="61" t="n">
        <f aca="false">SUM(U129:U134)</f>
        <v>4485.2488414665</v>
      </c>
      <c r="V135" s="61" t="n">
        <f aca="false">SUM(V129:V134)</f>
        <v>5885.9462077448</v>
      </c>
      <c r="W135" s="61" t="n">
        <f aca="false">SUM(W129:W134)</f>
        <v>8587.94170811158</v>
      </c>
      <c r="X135" s="61" t="n">
        <f aca="false">SUM(X129:X134)</f>
        <v>8799.31125158937</v>
      </c>
      <c r="Y135" s="61" t="n">
        <f aca="false">SUM(Y129:Y134)</f>
        <v>9034.31302162067</v>
      </c>
      <c r="Z135" s="61" t="n">
        <f aca="false">SUM(Z129:Z134)</f>
        <v>138396.681222881</v>
      </c>
      <c r="AA135" s="309" t="n">
        <f aca="false">SUM(E135:Z135)</f>
        <v>193340.32376449</v>
      </c>
      <c r="AB135" s="309" t="n">
        <f aca="false">SUM(AB129:AB134)</f>
        <v>-8311.71289361386</v>
      </c>
    </row>
    <row r="136" customFormat="false" ht="12.75" hidden="false" customHeight="false" outlineLevel="0" collapsed="false">
      <c r="A136" s="461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02"/>
      <c r="AB136" s="302"/>
    </row>
    <row r="137" customFormat="false" ht="12.75" hidden="false" customHeight="false" outlineLevel="0" collapsed="false">
      <c r="A137" s="461"/>
      <c r="B137" s="39" t="s">
        <v>503</v>
      </c>
      <c r="C137" s="39"/>
      <c r="D137" s="39"/>
      <c r="E137" s="61" t="n">
        <f aca="false">$E135</f>
        <v>-4148.934548</v>
      </c>
      <c r="F137" s="61" t="n">
        <f aca="false">$E135+NPV(Disc,$F135:F135)</f>
        <v>-28978.2047459886</v>
      </c>
      <c r="G137" s="61" t="n">
        <f aca="false">$E135+NPV(Disc,$F135:G135)</f>
        <v>-22321.2075005482</v>
      </c>
      <c r="H137" s="61" t="n">
        <f aca="false">$E135+NPV(Disc,$F135:H135)</f>
        <v>-20796.7415847462</v>
      </c>
      <c r="I137" s="61" t="n">
        <f aca="false">$E135+NPV(Disc,$F135:I135)</f>
        <v>-19642.940134228</v>
      </c>
      <c r="J137" s="61" t="n">
        <f aca="false">$E135+NPV(Disc,$F135:J135)</f>
        <v>-18924.7301229165</v>
      </c>
      <c r="K137" s="61" t="n">
        <f aca="false">$E135+NPV(Disc,$F135:K135)</f>
        <v>-18094.8215358561</v>
      </c>
      <c r="L137" s="61" t="n">
        <f aca="false">$E135+NPV(Disc,$F135:L135)</f>
        <v>-17872.0605173729</v>
      </c>
      <c r="M137" s="61" t="n">
        <f aca="false">$E135+NPV(Disc,$F135:M135)</f>
        <v>-17347.0512066173</v>
      </c>
      <c r="N137" s="61" t="n">
        <f aca="false">$E135+NPV(Disc,$F135:N135)</f>
        <v>-16858.5768691849</v>
      </c>
      <c r="O137" s="61" t="n">
        <f aca="false">$E135+NPV(Disc,$F135:O135)</f>
        <v>-16189.541507885</v>
      </c>
      <c r="P137" s="61" t="n">
        <f aca="false">$E135+NPV(Disc,$F135:P135)</f>
        <v>-15371.0040202139</v>
      </c>
      <c r="Q137" s="61" t="n">
        <f aca="false">$E135+NPV(Disc,$F135:Q135)</f>
        <v>-14629.1036330935</v>
      </c>
      <c r="R137" s="61" t="n">
        <f aca="false">$E135+NPV(Disc,$F135:R135)</f>
        <v>-14060.8340766188</v>
      </c>
      <c r="S137" s="61" t="n">
        <f aca="false">$E135+NPV(Disc,$F135:S135)</f>
        <v>-13726.4984297475</v>
      </c>
      <c r="T137" s="61" t="n">
        <f aca="false">$E135+NPV(Disc,$F135:T135)</f>
        <v>-13457.6511350113</v>
      </c>
      <c r="U137" s="61" t="n">
        <f aca="false">$E135+NPV(Disc,$F135:U135)</f>
        <v>-13180.2966708817</v>
      </c>
      <c r="V137" s="61" t="n">
        <f aca="false">$E135+NPV(Disc,$F135:V135)</f>
        <v>-12874.4400084946</v>
      </c>
      <c r="W137" s="61" t="n">
        <f aca="false">$E135+NPV(Disc,$F135:W135)</f>
        <v>-12499.4292018943</v>
      </c>
      <c r="X137" s="61" t="n">
        <f aca="false">$E135+NPV(Disc,$F135:X135)</f>
        <v>-12176.5378498707</v>
      </c>
      <c r="Y137" s="61" t="n">
        <f aca="false">$E135+NPV(Disc,$F135:Y135)</f>
        <v>-11897.9540190438</v>
      </c>
      <c r="Z137" s="61" t="n">
        <f aca="false">$E135+NPV(Disc,$F135:Z135)</f>
        <v>-8311.71289361386</v>
      </c>
      <c r="AA137" s="302"/>
      <c r="AB137" s="302"/>
    </row>
    <row r="138" customFormat="false" ht="12.75" hidden="false" customHeight="false" outlineLevel="0" collapsed="false">
      <c r="A138" s="461"/>
      <c r="B138" s="39" t="s">
        <v>504</v>
      </c>
      <c r="C138" s="39"/>
      <c r="D138" s="39"/>
      <c r="E138" s="95" t="e">
        <f aca="false">IRR($E135:E135,-0.9)</f>
        <v>#N/A</v>
      </c>
      <c r="F138" s="95" t="e">
        <f aca="false">IRR($E135:F135,-0.9)</f>
        <v>#N/A</v>
      </c>
      <c r="G138" s="95" t="n">
        <f aca="false">IRR($E135:G135,-0.9)</f>
        <v>-0.694088709107824</v>
      </c>
      <c r="H138" s="95" t="n">
        <f aca="false">IRR($E135:H135,-0.9)</f>
        <v>-0.528015985219337</v>
      </c>
      <c r="I138" s="95" t="n">
        <f aca="false">IRR($E135:I135,-0.9)</f>
        <v>-0.385308865241036</v>
      </c>
      <c r="J138" s="95" t="n">
        <f aca="false">IRR($E135:J135,-0.9)</f>
        <v>-0.298674262173039</v>
      </c>
      <c r="K138" s="95" t="n">
        <f aca="false">IRR($E135:K135,-0.9)</f>
        <v>-0.210195582685761</v>
      </c>
      <c r="L138" s="95" t="n">
        <f aca="false">IRR($E135:L135,-0.9)</f>
        <v>-0.18673181521571</v>
      </c>
      <c r="M138" s="95" t="e">
        <f aca="false">IRR($E135:M135,-0.9)</f>
        <v>#N/A</v>
      </c>
      <c r="N138" s="95" t="e">
        <f aca="false">IRR($E135:N135,-0.9)</f>
        <v>#N/A</v>
      </c>
      <c r="O138" s="95" t="e">
        <f aca="false">IRR($E135:O135,-0.9)</f>
        <v>#N/A</v>
      </c>
      <c r="P138" s="95" t="e">
        <f aca="false">IRR($E135:P135,-0.9)</f>
        <v>#N/A</v>
      </c>
      <c r="Q138" s="95" t="e">
        <f aca="false">IRR($E135:Q135,-0.9)</f>
        <v>#N/A</v>
      </c>
      <c r="R138" s="95" t="e">
        <f aca="false">IRR($E135:R135,-0.9)</f>
        <v>#N/A</v>
      </c>
      <c r="S138" s="95" t="e">
        <f aca="false">IRR($E135:S135,-0.9)</f>
        <v>#N/A</v>
      </c>
      <c r="T138" s="95" t="e">
        <f aca="false">IRR($E135:T135,-0.9)</f>
        <v>#N/A</v>
      </c>
      <c r="U138" s="95" t="e">
        <f aca="false">IRR($E135:U135,-0.9)</f>
        <v>#N/A</v>
      </c>
      <c r="V138" s="95" t="e">
        <f aca="false">IRR($E135:V135,-0.9)</f>
        <v>#N/A</v>
      </c>
      <c r="W138" s="95" t="e">
        <f aca="false">IRR($E135:W135,-0.9)</f>
        <v>#N/A</v>
      </c>
      <c r="X138" s="95" t="e">
        <f aca="false">IRR($E135:X135,-0.9)</f>
        <v>#N/A</v>
      </c>
      <c r="Y138" s="95" t="e">
        <f aca="false">IRR($E135:Y135,-0.9)</f>
        <v>#N/A</v>
      </c>
      <c r="Z138" s="95" t="e">
        <f aca="false">IRR($E135:Z135,-0.9)</f>
        <v>#N/A</v>
      </c>
      <c r="AA138" s="302"/>
      <c r="AB138" s="467" t="n">
        <f aca="false">IRR($E135:Z135)</f>
        <v>0.146836123747502</v>
      </c>
    </row>
    <row r="139" customFormat="false" ht="12.75" hidden="false" customHeight="false" outlineLevel="0" collapsed="false">
      <c r="A139" s="461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02"/>
      <c r="AB139" s="302"/>
    </row>
    <row r="140" customFormat="false" ht="12.75" hidden="false" customHeight="false" outlineLevel="0" collapsed="false">
      <c r="A140" s="461"/>
      <c r="B140" s="470" t="str">
        <f aca="false">CONCATENATE("Transredes NPV w/ Subordinated Debt @ ",TEXT(Disc,"0.0%"))</f>
        <v>Transredes NPV w/ Subordinated Debt @ 19.0%</v>
      </c>
      <c r="C140" s="471" t="n">
        <f aca="false">AB135</f>
        <v>-8311.71289361386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02"/>
      <c r="AB140" s="302"/>
    </row>
    <row r="141" customFormat="false" ht="13.5" hidden="false" customHeight="false" outlineLevel="0" collapsed="false">
      <c r="A141" s="280"/>
      <c r="B141" s="474" t="s">
        <v>539</v>
      </c>
      <c r="C141" s="539" t="n">
        <f aca="false">AB138</f>
        <v>0.146836123747502</v>
      </c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362"/>
      <c r="AB141" s="362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3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40" width="41.99"/>
    <col collapsed="false" customWidth="true" hidden="false" outlineLevel="0" max="8" min="2" style="540" width="11.85"/>
    <col collapsed="false" customWidth="false" hidden="false" outlineLevel="0" max="257" min="9" style="540" width="9.14"/>
  </cols>
  <sheetData>
    <row r="1" customFormat="false" ht="15.75" hidden="false" customHeight="false" outlineLevel="0" collapsed="false">
      <c r="A1" s="413" t="str">
        <f aca="false">Returns!A1</f>
        <v>GAS ORIENTE BOLIVIANO S.A. (GASBOL) *** DRAFT COPY ***</v>
      </c>
    </row>
    <row r="2" customFormat="false" ht="15.75" hidden="false" customHeight="false" outlineLevel="0" collapsed="false">
      <c r="A2" s="413" t="str">
        <f aca="false">Returns!A2</f>
        <v>369 KM PIPELINE SPUR FOR CUIABA POWER PLANT (BOLIVIA)</v>
      </c>
    </row>
    <row r="3" customFormat="false" ht="15" hidden="false" customHeight="false" outlineLevel="0" collapsed="false">
      <c r="A3" s="420" t="str">
        <f aca="false">Returns!A3</f>
        <v>ENRON INTERNATIONAL</v>
      </c>
    </row>
    <row r="5" customFormat="false" ht="12.75" hidden="false" customHeight="false" outlineLevel="0" collapsed="false">
      <c r="A5" s="541" t="s">
        <v>540</v>
      </c>
    </row>
    <row r="6" customFormat="false" ht="6" hidden="false" customHeight="true" outlineLevel="0" collapsed="false">
      <c r="A6" s="541"/>
    </row>
    <row r="7" customFormat="false" ht="12.75" hidden="false" customHeight="false" outlineLevel="0" collapsed="false">
      <c r="A7" s="541"/>
      <c r="B7" s="542" t="s">
        <v>541</v>
      </c>
      <c r="C7" s="542"/>
      <c r="D7" s="542" t="s">
        <v>542</v>
      </c>
      <c r="E7" s="542"/>
      <c r="F7" s="542"/>
      <c r="G7" s="542"/>
      <c r="H7" s="542"/>
    </row>
    <row r="8" customFormat="false" ht="13.5" hidden="false" customHeight="false" outlineLevel="0" collapsed="false">
      <c r="A8" s="543"/>
      <c r="B8" s="544" t="n">
        <v>1998</v>
      </c>
      <c r="C8" s="544" t="n">
        <v>1999</v>
      </c>
      <c r="D8" s="545" t="s">
        <v>543</v>
      </c>
      <c r="E8" s="545" t="s">
        <v>544</v>
      </c>
      <c r="F8" s="545" t="s">
        <v>545</v>
      </c>
      <c r="G8" s="545" t="s">
        <v>546</v>
      </c>
      <c r="H8" s="545" t="s">
        <v>547</v>
      </c>
    </row>
    <row r="9" customFormat="false" ht="12.75" hidden="false" customHeight="false" outlineLevel="0" collapsed="false">
      <c r="A9" s="546" t="s">
        <v>548</v>
      </c>
      <c r="B9" s="547" t="n">
        <f aca="false">CF!D17</f>
        <v>0</v>
      </c>
      <c r="C9" s="547" t="n">
        <f aca="false">CF!E17</f>
        <v>0</v>
      </c>
      <c r="D9" s="547" t="n">
        <f aca="false">CF!F17</f>
        <v>0</v>
      </c>
      <c r="E9" s="547" t="n">
        <f aca="false">CF!G17</f>
        <v>14282.925136278</v>
      </c>
      <c r="F9" s="547" t="n">
        <f aca="false">CF!H17</f>
        <v>24055.0510107009</v>
      </c>
      <c r="G9" s="547" t="n">
        <f aca="false">CF!I17</f>
        <v>24793.3666132372</v>
      </c>
      <c r="H9" s="547" t="n">
        <f aca="false">CF!J17</f>
        <v>25593.3296288714</v>
      </c>
    </row>
    <row r="10" customFormat="false" ht="12.75" hidden="false" customHeight="false" outlineLevel="0" collapsed="false">
      <c r="A10" s="548" t="s">
        <v>549</v>
      </c>
      <c r="B10" s="549"/>
      <c r="C10" s="550" t="e">
        <f aca="false">(C9-B9)/B9</f>
        <v>#DIV/0!</v>
      </c>
      <c r="D10" s="550" t="e">
        <f aca="false">(D9-C9)/C9</f>
        <v>#DIV/0!</v>
      </c>
      <c r="E10" s="550" t="e">
        <f aca="false">(E9-D9)/D9</f>
        <v>#DIV/0!</v>
      </c>
      <c r="F10" s="550" t="n">
        <f aca="false">(F9-E9)/E9</f>
        <v>0.684182391294767</v>
      </c>
      <c r="G10" s="550" t="n">
        <f aca="false">(G9-F9)/F9</f>
        <v>0.030692747323956</v>
      </c>
      <c r="H10" s="550" t="n">
        <f aca="false">(H9-G9)/G9</f>
        <v>0.0322652033551216</v>
      </c>
    </row>
    <row r="11" customFormat="false" ht="9.75" hidden="false" customHeight="true" outlineLevel="0" collapsed="false">
      <c r="A11" s="548"/>
      <c r="C11" s="551"/>
      <c r="D11" s="551"/>
      <c r="E11" s="551"/>
      <c r="F11" s="551"/>
      <c r="G11" s="551"/>
      <c r="H11" s="551"/>
    </row>
    <row r="12" customFormat="false" ht="12.75" hidden="false" customHeight="false" outlineLevel="0" collapsed="false">
      <c r="A12" s="540" t="s">
        <v>550</v>
      </c>
      <c r="B12" s="552" t="n">
        <v>0</v>
      </c>
      <c r="C12" s="552" t="n">
        <v>0</v>
      </c>
      <c r="D12" s="552" t="n">
        <v>0</v>
      </c>
      <c r="E12" s="552" t="n">
        <v>0</v>
      </c>
      <c r="F12" s="552" t="n">
        <v>0</v>
      </c>
      <c r="G12" s="552" t="n">
        <v>0</v>
      </c>
      <c r="H12" s="552" t="n">
        <v>0</v>
      </c>
    </row>
    <row r="13" customFormat="false" ht="12.75" hidden="false" customHeight="false" outlineLevel="0" collapsed="false">
      <c r="A13" s="546" t="s">
        <v>551</v>
      </c>
      <c r="B13" s="553" t="n">
        <f aca="false">B9+B12</f>
        <v>0</v>
      </c>
      <c r="C13" s="553" t="n">
        <f aca="false">C9+C12</f>
        <v>0</v>
      </c>
      <c r="D13" s="553" t="n">
        <f aca="false">D9+D12</f>
        <v>0</v>
      </c>
      <c r="E13" s="553" t="n">
        <f aca="false">E9+E12</f>
        <v>14282.925136278</v>
      </c>
      <c r="F13" s="553" t="n">
        <f aca="false">F9+F12</f>
        <v>24055.0510107009</v>
      </c>
      <c r="G13" s="553" t="n">
        <f aca="false">G9+G12</f>
        <v>24793.3666132372</v>
      </c>
      <c r="H13" s="553" t="n">
        <f aca="false">H9+H12</f>
        <v>25593.3296288714</v>
      </c>
    </row>
    <row r="14" customFormat="false" ht="12.75" hidden="false" customHeight="false" outlineLevel="0" collapsed="false">
      <c r="A14" s="548" t="s">
        <v>549</v>
      </c>
      <c r="B14" s="549"/>
      <c r="C14" s="550" t="e">
        <f aca="false">(C13-B13)/B13</f>
        <v>#DIV/0!</v>
      </c>
      <c r="D14" s="550" t="e">
        <f aca="false">(D13-C13)/C13</f>
        <v>#DIV/0!</v>
      </c>
      <c r="E14" s="550" t="e">
        <f aca="false">(E13-D13)/D13</f>
        <v>#DIV/0!</v>
      </c>
      <c r="F14" s="550" t="n">
        <f aca="false">(F13-E13)/E13</f>
        <v>0.684182391294767</v>
      </c>
      <c r="G14" s="550" t="n">
        <f aca="false">(G13-F13)/F13</f>
        <v>0.030692747323956</v>
      </c>
      <c r="H14" s="550" t="n">
        <f aca="false">(H13-G13)/G13</f>
        <v>0.0322652033551216</v>
      </c>
    </row>
    <row r="15" customFormat="false" ht="10.5" hidden="false" customHeight="true" outlineLevel="0" collapsed="false"/>
    <row r="16" customFormat="false" ht="12.75" hidden="false" customHeight="false" outlineLevel="0" collapsed="false">
      <c r="A16" s="540" t="s">
        <v>552</v>
      </c>
      <c r="B16" s="552" t="n">
        <f aca="false">-CF!D35</f>
        <v>-0</v>
      </c>
      <c r="C16" s="552" t="n">
        <f aca="false">-CF!E35</f>
        <v>-0</v>
      </c>
      <c r="D16" s="552" t="n">
        <f aca="false">-CF!F35</f>
        <v>-13.2759999379246</v>
      </c>
      <c r="E16" s="552" t="n">
        <f aca="false">-CF!G35</f>
        <v>-2921.73899095548</v>
      </c>
      <c r="F16" s="552" t="n">
        <f aca="false">-CF!H35</f>
        <v>-3916.86368778221</v>
      </c>
      <c r="G16" s="552" t="n">
        <f aca="false">-CF!I35</f>
        <v>-5556.79859184387</v>
      </c>
      <c r="H16" s="552" t="n">
        <f aca="false">-CF!J35</f>
        <v>-4688.32812762819</v>
      </c>
    </row>
    <row r="17" customFormat="false" ht="12.75" hidden="false" customHeight="false" outlineLevel="0" collapsed="false">
      <c r="A17" s="540" t="s">
        <v>553</v>
      </c>
      <c r="B17" s="552" t="n">
        <v>0</v>
      </c>
      <c r="C17" s="552" t="n">
        <v>0</v>
      </c>
      <c r="D17" s="552" t="n">
        <v>0</v>
      </c>
      <c r="E17" s="552" t="n">
        <v>0</v>
      </c>
      <c r="F17" s="552" t="n">
        <v>0</v>
      </c>
      <c r="G17" s="552" t="n">
        <v>0</v>
      </c>
      <c r="H17" s="552" t="n">
        <v>0</v>
      </c>
    </row>
    <row r="18" customFormat="false" ht="12.75" hidden="false" customHeight="false" outlineLevel="0" collapsed="false">
      <c r="A18" s="540" t="s">
        <v>554</v>
      </c>
      <c r="B18" s="552" t="n">
        <f aca="false">CF!D44</f>
        <v>0</v>
      </c>
      <c r="C18" s="552" t="n">
        <f aca="false">CF!E44</f>
        <v>0</v>
      </c>
      <c r="D18" s="552" t="n">
        <f aca="false">CF!F44</f>
        <v>0</v>
      </c>
      <c r="E18" s="552" t="n">
        <f aca="false">CF!G44</f>
        <v>-2756.9898472661</v>
      </c>
      <c r="F18" s="552" t="n">
        <f aca="false">CF!H44</f>
        <v>-5917.2492777567</v>
      </c>
      <c r="G18" s="552" t="n">
        <f aca="false">CF!I44</f>
        <v>-5670.92702175064</v>
      </c>
      <c r="H18" s="552" t="n">
        <f aca="false">CF!J44</f>
        <v>-1805.57024821884</v>
      </c>
    </row>
    <row r="19" customFormat="false" ht="12.75" hidden="false" customHeight="false" outlineLevel="0" collapsed="false">
      <c r="A19" s="540" t="s">
        <v>555</v>
      </c>
      <c r="B19" s="552" t="n">
        <v>0</v>
      </c>
      <c r="C19" s="552" t="n">
        <v>0</v>
      </c>
      <c r="D19" s="552" t="n">
        <v>0</v>
      </c>
      <c r="E19" s="552" t="n">
        <v>0</v>
      </c>
      <c r="F19" s="552" t="n">
        <v>0</v>
      </c>
      <c r="G19" s="552" t="n">
        <v>0</v>
      </c>
      <c r="H19" s="552" t="n">
        <v>0</v>
      </c>
    </row>
    <row r="20" customFormat="false" ht="12.75" hidden="false" customHeight="false" outlineLevel="0" collapsed="false">
      <c r="A20" s="546" t="s">
        <v>556</v>
      </c>
      <c r="B20" s="553" t="n">
        <f aca="false">B13+SUM(B16:B19)</f>
        <v>0</v>
      </c>
      <c r="C20" s="553" t="n">
        <f aca="false">C13+SUM(C16:C19)</f>
        <v>0</v>
      </c>
      <c r="D20" s="553" t="n">
        <f aca="false">D13+SUM(D16:D19)</f>
        <v>-13.2759999379246</v>
      </c>
      <c r="E20" s="553" t="n">
        <f aca="false">E13+SUM(E16:E19)</f>
        <v>8604.19629805644</v>
      </c>
      <c r="F20" s="553" t="n">
        <f aca="false">F13+SUM(F16:F19)</f>
        <v>14220.938045162</v>
      </c>
      <c r="G20" s="553" t="n">
        <f aca="false">G13+SUM(G16:G19)</f>
        <v>13565.6409996427</v>
      </c>
      <c r="H20" s="553" t="n">
        <f aca="false">H13+SUM(H16:H19)</f>
        <v>19099.4312530243</v>
      </c>
    </row>
    <row r="21" customFormat="false" ht="12.75" hidden="false" customHeight="false" outlineLevel="0" collapsed="false">
      <c r="A21" s="548" t="s">
        <v>549</v>
      </c>
      <c r="B21" s="549"/>
      <c r="C21" s="550" t="e">
        <f aca="false">(C20-B20)/B20</f>
        <v>#DIV/0!</v>
      </c>
      <c r="D21" s="550" t="e">
        <f aca="false">(D20-C20)/C20</f>
        <v>#DIV/0!</v>
      </c>
      <c r="E21" s="550" t="n">
        <f aca="false">(E20-D20)/D20</f>
        <v>-649.101562088551</v>
      </c>
      <c r="F21" s="550" t="n">
        <f aca="false">(F20-E20)/E20</f>
        <v>0.652790981578867</v>
      </c>
      <c r="G21" s="550" t="n">
        <f aca="false">(G20-F20)/F20</f>
        <v>-0.0460797342227523</v>
      </c>
      <c r="H21" s="550" t="n">
        <f aca="false">(H20-G20)/G20</f>
        <v>0.40792692756114</v>
      </c>
    </row>
    <row r="23" customFormat="false" ht="12.75" hidden="false" customHeight="false" outlineLevel="0" collapsed="false">
      <c r="A23" s="540" t="s">
        <v>27</v>
      </c>
      <c r="B23" s="552" t="n">
        <f aca="false">CF!D47</f>
        <v>0</v>
      </c>
      <c r="C23" s="552" t="n">
        <f aca="false">CF!E47</f>
        <v>-0</v>
      </c>
      <c r="D23" s="552" t="n">
        <f aca="false">CF!F47</f>
        <v>-0</v>
      </c>
      <c r="E23" s="552" t="n">
        <f aca="false">CF!G47</f>
        <v>-6008.74946235871</v>
      </c>
      <c r="F23" s="552" t="n">
        <f aca="false">CF!H47</f>
        <v>-7210.49935483045</v>
      </c>
      <c r="G23" s="552" t="n">
        <f aca="false">CF!I47</f>
        <v>-7210.49935483045</v>
      </c>
      <c r="H23" s="552" t="n">
        <f aca="false">CF!J47</f>
        <v>-7210.49935483045</v>
      </c>
    </row>
    <row r="24" customFormat="false" ht="12.75" hidden="false" customHeight="false" outlineLevel="0" collapsed="false">
      <c r="A24" s="540" t="s">
        <v>557</v>
      </c>
      <c r="B24" s="552" t="n">
        <v>0</v>
      </c>
      <c r="C24" s="552" t="n">
        <v>0</v>
      </c>
      <c r="D24" s="552" t="n">
        <v>0</v>
      </c>
      <c r="E24" s="552" t="n">
        <v>0</v>
      </c>
      <c r="F24" s="552" t="n">
        <v>0</v>
      </c>
      <c r="G24" s="552" t="n">
        <v>0</v>
      </c>
      <c r="H24" s="552" t="n">
        <v>0</v>
      </c>
    </row>
    <row r="26" customFormat="false" ht="12.75" hidden="false" customHeight="false" outlineLevel="0" collapsed="false">
      <c r="A26" s="546" t="s">
        <v>558</v>
      </c>
      <c r="B26" s="553" t="n">
        <f aca="false">B20+B23+B24</f>
        <v>0</v>
      </c>
      <c r="C26" s="553" t="n">
        <f aca="false">C20+C23+C24</f>
        <v>0</v>
      </c>
      <c r="D26" s="553" t="n">
        <f aca="false">D20+D23+D24</f>
        <v>-13.2759999379246</v>
      </c>
      <c r="E26" s="553" t="n">
        <f aca="false">E20+E23+E24</f>
        <v>2595.44683569774</v>
      </c>
      <c r="F26" s="553" t="n">
        <f aca="false">F20+F23+F24</f>
        <v>7010.43869033151</v>
      </c>
      <c r="G26" s="553" t="n">
        <f aca="false">G20+G23+G24</f>
        <v>6355.14164481222</v>
      </c>
      <c r="H26" s="553" t="n">
        <f aca="false">H20+H23+H24</f>
        <v>11888.9318981939</v>
      </c>
    </row>
    <row r="28" customFormat="false" ht="12.75" hidden="false" customHeight="false" outlineLevel="0" collapsed="false">
      <c r="A28" s="540" t="s">
        <v>559</v>
      </c>
      <c r="B28" s="552" t="n">
        <f aca="false">CF!D50</f>
        <v>0</v>
      </c>
      <c r="C28" s="552" t="n">
        <f aca="false">CF!E50</f>
        <v>-0</v>
      </c>
      <c r="D28" s="552" t="n">
        <f aca="false">CF!F50</f>
        <v>-0</v>
      </c>
      <c r="E28" s="552" t="n">
        <f aca="false">CF!G50</f>
        <v>-4298.96714648815</v>
      </c>
      <c r="F28" s="552" t="n">
        <f aca="false">CF!H50</f>
        <v>-10278.8341320822</v>
      </c>
      <c r="G28" s="552" t="n">
        <f aca="false">CF!I50</f>
        <v>-10097.1831177218</v>
      </c>
      <c r="H28" s="552" t="n">
        <f aca="false">CF!J50</f>
        <v>-9716.17180091018</v>
      </c>
    </row>
    <row r="29" customFormat="false" ht="12.75" hidden="false" customHeight="false" outlineLevel="0" collapsed="false">
      <c r="A29" s="540" t="s">
        <v>560</v>
      </c>
      <c r="B29" s="552" t="n">
        <f aca="false">CF!D52</f>
        <v>0</v>
      </c>
      <c r="C29" s="552" t="n">
        <f aca="false">CF!E52</f>
        <v>-0</v>
      </c>
      <c r="D29" s="552" t="n">
        <f aca="false">CF!F52</f>
        <v>-0</v>
      </c>
      <c r="E29" s="552" t="n">
        <f aca="false">CF!G52</f>
        <v>-0</v>
      </c>
      <c r="F29" s="552" t="n">
        <f aca="false">CF!H52</f>
        <v>-0</v>
      </c>
      <c r="G29" s="552" t="n">
        <f aca="false">CF!I52</f>
        <v>-0</v>
      </c>
      <c r="H29" s="552" t="n">
        <f aca="false">CF!J52</f>
        <v>-0</v>
      </c>
    </row>
    <row r="31" customFormat="false" ht="12.75" hidden="false" customHeight="false" outlineLevel="0" collapsed="false">
      <c r="A31" s="546" t="s">
        <v>561</v>
      </c>
      <c r="B31" s="553" t="n">
        <f aca="false">B26+B28+B29</f>
        <v>0</v>
      </c>
      <c r="C31" s="553" t="n">
        <f aca="false">C26+C28+C29</f>
        <v>0</v>
      </c>
      <c r="D31" s="553" t="n">
        <f aca="false">D26+D28+D29</f>
        <v>-13.2759999379246</v>
      </c>
      <c r="E31" s="553" t="n">
        <f aca="false">E26+E28+E29</f>
        <v>-1703.52031079042</v>
      </c>
      <c r="F31" s="553" t="n">
        <f aca="false">F26+F28+F29</f>
        <v>-3268.39544175065</v>
      </c>
      <c r="G31" s="553" t="n">
        <f aca="false">G26+G28+G29</f>
        <v>-3742.04147290957</v>
      </c>
      <c r="H31" s="553" t="n">
        <f aca="false">H26+H28+H29</f>
        <v>2172.7600972837</v>
      </c>
    </row>
    <row r="33" customFormat="false" ht="12.75" hidden="false" customHeight="false" outlineLevel="0" collapsed="false">
      <c r="A33" s="540" t="s">
        <v>562</v>
      </c>
      <c r="B33" s="552" t="n">
        <f aca="false">CF!D55</f>
        <v>0</v>
      </c>
      <c r="C33" s="552" t="n">
        <f aca="false">CF!E55</f>
        <v>-0</v>
      </c>
      <c r="D33" s="552" t="n">
        <f aca="false">CF!F55</f>
        <v>-0</v>
      </c>
      <c r="E33" s="552" t="n">
        <f aca="false">CF!G55</f>
        <v>-0</v>
      </c>
      <c r="F33" s="552" t="n">
        <f aca="false">CF!H55</f>
        <v>-0</v>
      </c>
      <c r="G33" s="552" t="n">
        <f aca="false">CF!I55</f>
        <v>-0</v>
      </c>
      <c r="H33" s="552" t="n">
        <f aca="false">CF!J55</f>
        <v>-0</v>
      </c>
    </row>
    <row r="35" customFormat="false" ht="13.5" hidden="false" customHeight="false" outlineLevel="0" collapsed="false">
      <c r="A35" s="546" t="s">
        <v>563</v>
      </c>
      <c r="B35" s="554" t="n">
        <f aca="false">B31+B33</f>
        <v>0</v>
      </c>
      <c r="C35" s="554" t="n">
        <f aca="false">C31+C33</f>
        <v>0</v>
      </c>
      <c r="D35" s="554" t="n">
        <f aca="false">D31+D33</f>
        <v>-13.2759999379246</v>
      </c>
      <c r="E35" s="554" t="n">
        <f aca="false">E31+E33</f>
        <v>-1703.52031079042</v>
      </c>
      <c r="F35" s="554" t="n">
        <f aca="false">F31+F33</f>
        <v>-3268.39544175065</v>
      </c>
      <c r="G35" s="554" t="n">
        <f aca="false">G31+G33</f>
        <v>-3742.04147290957</v>
      </c>
      <c r="H35" s="554" t="n">
        <f aca="false">H31+H33</f>
        <v>2172.7600972837</v>
      </c>
    </row>
    <row r="36" customFormat="false" ht="13.5" hidden="false" customHeight="false" outlineLevel="0" collapsed="false">
      <c r="A36" s="548" t="s">
        <v>549</v>
      </c>
      <c r="B36" s="549"/>
      <c r="C36" s="550" t="e">
        <f aca="false">(C35-B35)/B35</f>
        <v>#DIV/0!</v>
      </c>
      <c r="D36" s="550" t="e">
        <f aca="false">(D35-C35)/C35</f>
        <v>#DIV/0!</v>
      </c>
      <c r="E36" s="550" t="n">
        <f aca="false">(E35-D35)/D35</f>
        <v>127.315781768279</v>
      </c>
      <c r="F36" s="550" t="n">
        <f aca="false">(F35-E35)/E35</f>
        <v>0.918612546647091</v>
      </c>
      <c r="G36" s="550" t="n">
        <f aca="false">(G35-F35)/F35</f>
        <v>0.144916990492811</v>
      </c>
      <c r="H36" s="550" t="n">
        <f aca="false">(H35-G35)/G35</f>
        <v>-1.58063495902259</v>
      </c>
    </row>
    <row r="38" customFormat="false" ht="12.75" hidden="false" customHeight="false" outlineLevel="0" collapsed="false">
      <c r="A38" s="555" t="s">
        <v>564</v>
      </c>
      <c r="B38" s="556" t="n">
        <f aca="false">EINC!E19</f>
        <v>0</v>
      </c>
      <c r="C38" s="556" t="n">
        <f aca="false">EINC!F19</f>
        <v>0</v>
      </c>
      <c r="D38" s="556" t="n">
        <f aca="false">EINC!G19</f>
        <v>0</v>
      </c>
      <c r="E38" s="556" t="n">
        <f aca="false">EINC!H19</f>
        <v>-1378.13173606286</v>
      </c>
      <c r="F38" s="556" t="n">
        <f aca="false">EINC!I19</f>
        <v>-2689.8604503731</v>
      </c>
      <c r="G38" s="556" t="n">
        <f aca="false">EINC!J19</f>
        <v>-3033.94087807934</v>
      </c>
      <c r="H38" s="556" t="n">
        <f aca="false">EINC!K19</f>
        <v>1414.81155371893</v>
      </c>
    </row>
    <row r="39" customFormat="false" ht="12.75" hidden="false" customHeight="false" outlineLevel="0" collapsed="false">
      <c r="A39" s="555" t="s">
        <v>565</v>
      </c>
      <c r="B39" s="557" t="n">
        <v>0</v>
      </c>
    </row>
    <row r="40" customFormat="false" ht="12.75" hidden="false" customHeight="false" outlineLevel="0" collapsed="false">
      <c r="A40" s="555" t="s">
        <v>566</v>
      </c>
      <c r="B40" s="558" t="n">
        <v>0</v>
      </c>
    </row>
    <row r="42" customFormat="false" ht="12.75" hidden="false" customHeight="false" outlineLevel="0" collapsed="false">
      <c r="A42" s="541" t="s">
        <v>567</v>
      </c>
    </row>
    <row r="43" customFormat="false" ht="12.75" hidden="false" customHeight="false" outlineLevel="0" collapsed="false">
      <c r="A43" s="541"/>
      <c r="B43" s="542" t="s">
        <v>541</v>
      </c>
      <c r="C43" s="542"/>
      <c r="D43" s="542" t="s">
        <v>542</v>
      </c>
      <c r="E43" s="542"/>
      <c r="F43" s="542"/>
      <c r="G43" s="542"/>
      <c r="H43" s="542"/>
    </row>
    <row r="44" customFormat="false" ht="13.5" hidden="false" customHeight="false" outlineLevel="0" collapsed="false">
      <c r="A44" s="543"/>
      <c r="B44" s="544" t="n">
        <v>1998</v>
      </c>
      <c r="C44" s="544" t="n">
        <v>1999</v>
      </c>
      <c r="D44" s="544" t="n">
        <v>2000</v>
      </c>
      <c r="E44" s="544" t="n">
        <v>2001</v>
      </c>
      <c r="F44" s="544" t="n">
        <v>2002</v>
      </c>
      <c r="G44" s="544" t="n">
        <v>2003</v>
      </c>
      <c r="H44" s="544" t="n">
        <v>2004</v>
      </c>
    </row>
    <row r="45" customFormat="false" ht="12.75" hidden="false" customHeight="false" outlineLevel="0" collapsed="false">
      <c r="A45" s="559" t="s">
        <v>568</v>
      </c>
      <c r="B45" s="560" t="n">
        <f aca="false">B9</f>
        <v>0</v>
      </c>
      <c r="C45" s="560" t="n">
        <f aca="false">C9</f>
        <v>0</v>
      </c>
      <c r="D45" s="560" t="n">
        <f aca="false">D9</f>
        <v>0</v>
      </c>
      <c r="E45" s="560" t="n">
        <f aca="false">E9</f>
        <v>14282.925136278</v>
      </c>
      <c r="F45" s="560" t="n">
        <f aca="false">F9</f>
        <v>24055.0510107009</v>
      </c>
      <c r="G45" s="560" t="n">
        <f aca="false">G9</f>
        <v>24793.3666132372</v>
      </c>
      <c r="H45" s="560" t="n">
        <f aca="false">H9</f>
        <v>25593.3296288714</v>
      </c>
    </row>
    <row r="46" customFormat="false" ht="12.75" hidden="false" customHeight="false" outlineLevel="0" collapsed="false">
      <c r="A46" s="559" t="s">
        <v>569</v>
      </c>
      <c r="B46" s="552" t="n">
        <f aca="false">BS_IS!G57</f>
        <v>0</v>
      </c>
      <c r="C46" s="552" t="n">
        <f aca="false">BS_IS!H57</f>
        <v>0</v>
      </c>
      <c r="D46" s="552" t="n">
        <f aca="false">BS_IS!I57</f>
        <v>0</v>
      </c>
      <c r="E46" s="552" t="n">
        <f aca="false">BS_IS!J57</f>
        <v>-2921.73899095548</v>
      </c>
      <c r="F46" s="552" t="n">
        <f aca="false">BS_IS!K57</f>
        <v>-3916.86368778221</v>
      </c>
      <c r="G46" s="552" t="n">
        <f aca="false">BS_IS!L57</f>
        <v>-5556.79859184387</v>
      </c>
      <c r="H46" s="552" t="n">
        <f aca="false">BS_IS!M57</f>
        <v>-4688.32812762819</v>
      </c>
    </row>
    <row r="47" customFormat="false" ht="12.75" hidden="false" customHeight="false" outlineLevel="0" collapsed="false">
      <c r="A47" s="559" t="s">
        <v>570</v>
      </c>
      <c r="B47" s="552" t="n">
        <f aca="false">SUM(BS_IS!G58:G62)</f>
        <v>-825.143076156551</v>
      </c>
      <c r="C47" s="552" t="n">
        <f aca="false">SUM(BS_IS!H58:H62)</f>
        <v>-5837.7026413862</v>
      </c>
      <c r="D47" s="552" t="n">
        <f aca="false">SUM(BS_IS!I58:I62)</f>
        <v>-5091.23120338893</v>
      </c>
      <c r="E47" s="552" t="n">
        <f aca="false">SUM(BS_IS!J58:J62)</f>
        <v>786.567220282057</v>
      </c>
      <c r="F47" s="552" t="n">
        <f aca="false">SUM(BS_IS!K58:K62)</f>
        <v>932.588280075021</v>
      </c>
      <c r="G47" s="552" t="n">
        <f aca="false">SUM(BS_IS!L58:L62)</f>
        <v>962.442887505228</v>
      </c>
      <c r="H47" s="552" t="n">
        <f aca="false">SUM(BS_IS!M58:M62)</f>
        <v>1000.21557151997</v>
      </c>
    </row>
    <row r="48" customFormat="false" ht="12.75" hidden="false" customHeight="false" outlineLevel="0" collapsed="false">
      <c r="A48" s="561" t="s">
        <v>571</v>
      </c>
      <c r="B48" s="552" t="n">
        <v>0</v>
      </c>
      <c r="C48" s="552" t="n">
        <v>0</v>
      </c>
      <c r="D48" s="552" t="n">
        <v>0</v>
      </c>
      <c r="E48" s="552" t="n">
        <v>0</v>
      </c>
      <c r="F48" s="552" t="n">
        <v>0</v>
      </c>
      <c r="G48" s="552" t="n">
        <v>0</v>
      </c>
      <c r="H48" s="552" t="n">
        <v>0</v>
      </c>
    </row>
    <row r="49" customFormat="false" ht="12.75" hidden="false" customHeight="false" outlineLevel="0" collapsed="false">
      <c r="A49" s="561" t="s">
        <v>572</v>
      </c>
      <c r="B49" s="562" t="n">
        <v>0</v>
      </c>
      <c r="C49" s="562" t="n">
        <v>0</v>
      </c>
      <c r="D49" s="562" t="n">
        <v>0</v>
      </c>
      <c r="E49" s="562" t="n">
        <v>0</v>
      </c>
      <c r="F49" s="562" t="n">
        <v>0</v>
      </c>
      <c r="G49" s="562" t="n">
        <v>0</v>
      </c>
      <c r="H49" s="562" t="n">
        <v>0</v>
      </c>
    </row>
    <row r="50" customFormat="false" ht="12.75" hidden="false" customHeight="false" outlineLevel="0" collapsed="false">
      <c r="A50" s="563" t="s">
        <v>573</v>
      </c>
      <c r="B50" s="564" t="n">
        <f aca="false">SUM(B45:B49)</f>
        <v>-825.143076156551</v>
      </c>
      <c r="C50" s="564" t="n">
        <f aca="false">SUM(C45:C49)</f>
        <v>-5837.7026413862</v>
      </c>
      <c r="D50" s="564" t="n">
        <f aca="false">SUM(D45:D49)</f>
        <v>-5091.23120338893</v>
      </c>
      <c r="E50" s="564" t="n">
        <f aca="false">SUM(E45:E49)</f>
        <v>12147.7533656046</v>
      </c>
      <c r="F50" s="564" t="n">
        <f aca="false">SUM(F45:F49)</f>
        <v>21070.7756029937</v>
      </c>
      <c r="G50" s="564" t="n">
        <f aca="false">SUM(G45:G49)</f>
        <v>20199.0109088985</v>
      </c>
      <c r="H50" s="564" t="n">
        <f aca="false">SUM(H45:H49)</f>
        <v>21905.2170727631</v>
      </c>
    </row>
    <row r="51" customFormat="false" ht="12.75" hidden="false" customHeight="false" outlineLevel="0" collapsed="false">
      <c r="A51" s="561"/>
      <c r="B51" s="565"/>
      <c r="C51" s="565"/>
      <c r="D51" s="565"/>
      <c r="E51" s="565"/>
      <c r="F51" s="565"/>
      <c r="G51" s="565"/>
      <c r="H51" s="565"/>
    </row>
    <row r="52" customFormat="false" ht="12.75" hidden="false" customHeight="false" outlineLevel="0" collapsed="false">
      <c r="A52" s="561" t="s">
        <v>490</v>
      </c>
      <c r="B52" s="552" t="n">
        <f aca="false">BS_IS!G83</f>
        <v>0</v>
      </c>
      <c r="C52" s="552" t="n">
        <f aca="false">BS_IS!H83</f>
        <v>0</v>
      </c>
      <c r="D52" s="552" t="n">
        <f aca="false">BS_IS!I83</f>
        <v>0</v>
      </c>
      <c r="E52" s="552" t="n">
        <f aca="false">BS_IS!J83</f>
        <v>-0</v>
      </c>
      <c r="F52" s="552" t="n">
        <f aca="false">BS_IS!K83</f>
        <v>-0</v>
      </c>
      <c r="G52" s="552" t="n">
        <f aca="false">BS_IS!L83</f>
        <v>-0</v>
      </c>
      <c r="H52" s="552" t="n">
        <f aca="false">BS_IS!M83</f>
        <v>-0</v>
      </c>
    </row>
    <row r="53" customFormat="false" ht="12.75" hidden="false" customHeight="false" outlineLevel="0" collapsed="false">
      <c r="A53" s="561" t="s">
        <v>574</v>
      </c>
      <c r="B53" s="552" t="n">
        <f aca="false">BS_IS!G69+BS_IS!G70+SUM(BS_IS!G74:G83)</f>
        <v>0</v>
      </c>
      <c r="C53" s="552" t="n">
        <f aca="false">BS_IS!H69+BS_IS!H70+SUM(BS_IS!H74:H83)</f>
        <v>0</v>
      </c>
      <c r="D53" s="552" t="n">
        <f aca="false">BS_IS!I69+BS_IS!I70+SUM(BS_IS!I74:I83)</f>
        <v>91998.4974484965</v>
      </c>
      <c r="E53" s="552" t="n">
        <f aca="false">BS_IS!J69+BS_IS!J70+SUM(BS_IS!J74:J83)</f>
        <v>-10655.8238027461</v>
      </c>
      <c r="F53" s="552" t="n">
        <f aca="false">BS_IS!K69+BS_IS!K70+SUM(BS_IS!K74:K83)</f>
        <v>-20959.9756212421</v>
      </c>
      <c r="G53" s="552" t="n">
        <f aca="false">BS_IS!L69+BS_IS!L70+SUM(BS_IS!L74:L83)</f>
        <v>-20073.3387995963</v>
      </c>
      <c r="H53" s="552" t="n">
        <f aca="false">BS_IS!M69+BS_IS!M70+SUM(BS_IS!M74:M83)</f>
        <v>-21762.6766245898</v>
      </c>
    </row>
    <row r="54" customFormat="false" ht="12.75" hidden="false" customHeight="false" outlineLevel="0" collapsed="false">
      <c r="A54" s="561" t="s">
        <v>575</v>
      </c>
      <c r="B54" s="562" t="n">
        <f aca="false">BS_IS!G66+BS_IS!G67+BS_IS!G68</f>
        <v>10372.33637</v>
      </c>
      <c r="C54" s="562" t="n">
        <f aca="false">BS_IS!H66+BS_IS!H67+BS_IS!H68</f>
        <v>74319.1056395743</v>
      </c>
      <c r="D54" s="562" t="n">
        <f aca="false">BS_IS!I66+BS_IS!I67+BS_IS!I68</f>
        <v>-24691.4419995743</v>
      </c>
      <c r="E54" s="562" t="n">
        <f aca="false">BS_IS!J66+BS_IS!J67+BS_IS!J68</f>
        <v>0</v>
      </c>
      <c r="F54" s="562" t="n">
        <f aca="false">BS_IS!K66+BS_IS!K67+BS_IS!K68</f>
        <v>0</v>
      </c>
      <c r="G54" s="562" t="n">
        <f aca="false">BS_IS!L66+BS_IS!L67+BS_IS!L68</f>
        <v>0</v>
      </c>
      <c r="H54" s="562" t="n">
        <f aca="false">BS_IS!M66+BS_IS!M67+BS_IS!M68</f>
        <v>0</v>
      </c>
    </row>
    <row r="55" customFormat="false" ht="12.75" hidden="false" customHeight="false" outlineLevel="0" collapsed="false">
      <c r="A55" s="563" t="s">
        <v>576</v>
      </c>
      <c r="B55" s="566" t="n">
        <f aca="false">SUM(B52:B54)</f>
        <v>10372.33637</v>
      </c>
      <c r="C55" s="566" t="n">
        <f aca="false">SUM(C52:C54)</f>
        <v>74319.1056395743</v>
      </c>
      <c r="D55" s="566" t="n">
        <f aca="false">SUM(D52:D54)</f>
        <v>67307.0554489223</v>
      </c>
      <c r="E55" s="566" t="n">
        <f aca="false">SUM(E52:E54)</f>
        <v>-10655.8238027461</v>
      </c>
      <c r="F55" s="566" t="n">
        <f aca="false">SUM(F52:F54)</f>
        <v>-20959.9756212421</v>
      </c>
      <c r="G55" s="566" t="n">
        <f aca="false">SUM(G52:G54)</f>
        <v>-20073.3387995963</v>
      </c>
      <c r="H55" s="566" t="n">
        <f aca="false">SUM(H52:H54)</f>
        <v>-21762.6766245898</v>
      </c>
    </row>
    <row r="56" customFormat="false" ht="12.75" hidden="false" customHeight="false" outlineLevel="0" collapsed="false">
      <c r="A56" s="561"/>
      <c r="B56" s="567"/>
      <c r="C56" s="551"/>
      <c r="D56" s="551"/>
      <c r="E56" s="551"/>
      <c r="F56" s="551"/>
      <c r="G56" s="551"/>
      <c r="H56" s="551"/>
    </row>
    <row r="57" customFormat="false" ht="12.75" hidden="false" customHeight="false" outlineLevel="0" collapsed="false">
      <c r="A57" s="561" t="s">
        <v>577</v>
      </c>
      <c r="B57" s="552" t="n">
        <f aca="false">BS_IS!G73</f>
        <v>-9547.19329384345</v>
      </c>
      <c r="C57" s="552" t="n">
        <f aca="false">BS_IS!H73</f>
        <v>-68481.4029981881</v>
      </c>
      <c r="D57" s="552" t="n">
        <f aca="false">BS_IS!I73</f>
        <v>-64644.2713771297</v>
      </c>
      <c r="E57" s="552" t="n">
        <f aca="false">BS_IS!J73</f>
        <v>-1537.11942744782</v>
      </c>
      <c r="F57" s="552" t="n">
        <f aca="false">BS_IS!K73</f>
        <v>0</v>
      </c>
      <c r="G57" s="552" t="n">
        <f aca="false">BS_IS!L73</f>
        <v>0</v>
      </c>
      <c r="H57" s="552" t="n">
        <f aca="false">BS_IS!M73</f>
        <v>0</v>
      </c>
    </row>
    <row r="58" customFormat="false" ht="12.75" hidden="false" customHeight="false" outlineLevel="0" collapsed="false">
      <c r="A58" s="561" t="s">
        <v>578</v>
      </c>
      <c r="B58" s="552" t="n">
        <v>0</v>
      </c>
      <c r="C58" s="552" t="n">
        <v>0</v>
      </c>
      <c r="D58" s="552" t="n">
        <v>0</v>
      </c>
      <c r="E58" s="552" t="n">
        <v>0</v>
      </c>
      <c r="F58" s="552" t="n">
        <v>0</v>
      </c>
      <c r="G58" s="552" t="n">
        <v>0</v>
      </c>
      <c r="H58" s="552" t="n">
        <v>0</v>
      </c>
    </row>
    <row r="59" customFormat="false" ht="12.75" hidden="false" customHeight="false" outlineLevel="0" collapsed="false">
      <c r="A59" s="561" t="s">
        <v>579</v>
      </c>
      <c r="B59" s="562" t="n">
        <v>0</v>
      </c>
      <c r="C59" s="562" t="n">
        <v>0</v>
      </c>
      <c r="D59" s="562" t="n">
        <v>0</v>
      </c>
      <c r="E59" s="562" t="n">
        <v>0</v>
      </c>
      <c r="F59" s="562" t="n">
        <v>0</v>
      </c>
      <c r="G59" s="562" t="n">
        <v>0</v>
      </c>
      <c r="H59" s="562" t="n">
        <v>0</v>
      </c>
    </row>
    <row r="60" customFormat="false" ht="12.75" hidden="false" customHeight="false" outlineLevel="0" collapsed="false">
      <c r="A60" s="563" t="s">
        <v>580</v>
      </c>
      <c r="B60" s="566" t="n">
        <f aca="false">SUM(B57:B59)</f>
        <v>-9547.19329384345</v>
      </c>
      <c r="C60" s="566" t="n">
        <f aca="false">SUM(C57:C59)</f>
        <v>-68481.4029981881</v>
      </c>
      <c r="D60" s="566" t="n">
        <f aca="false">SUM(D57:D59)</f>
        <v>-64644.2713771297</v>
      </c>
      <c r="E60" s="566" t="n">
        <f aca="false">SUM(E57:E59)</f>
        <v>-1537.11942744782</v>
      </c>
      <c r="F60" s="566" t="n">
        <f aca="false">SUM(F57:F59)</f>
        <v>0</v>
      </c>
      <c r="G60" s="566" t="n">
        <f aca="false">SUM(G57:G59)</f>
        <v>0</v>
      </c>
      <c r="H60" s="566" t="n">
        <f aca="false">SUM(H57:H59)</f>
        <v>0</v>
      </c>
    </row>
    <row r="61" customFormat="false" ht="12.75" hidden="false" customHeight="false" outlineLevel="0" collapsed="false">
      <c r="A61" s="561"/>
      <c r="B61" s="560"/>
      <c r="C61" s="560"/>
      <c r="D61" s="560"/>
      <c r="E61" s="560"/>
      <c r="F61" s="560"/>
      <c r="G61" s="560"/>
      <c r="H61" s="560"/>
    </row>
    <row r="62" customFormat="false" ht="13.5" hidden="false" customHeight="false" outlineLevel="0" collapsed="false">
      <c r="A62" s="563" t="s">
        <v>581</v>
      </c>
      <c r="B62" s="554" t="n">
        <f aca="false">B50+B55+B60</f>
        <v>0</v>
      </c>
      <c r="C62" s="554" t="n">
        <f aca="false">C50+C55+C60</f>
        <v>0</v>
      </c>
      <c r="D62" s="554" t="n">
        <f aca="false">D50+D55+D60</f>
        <v>-2428.44713159636</v>
      </c>
      <c r="E62" s="554" t="n">
        <f aca="false">E50+E55+E60</f>
        <v>-45.1898645893434</v>
      </c>
      <c r="F62" s="554" t="n">
        <f aca="false">F50+F55+F60</f>
        <v>110.799981751607</v>
      </c>
      <c r="G62" s="554" t="n">
        <f aca="false">G50+G55+G60</f>
        <v>125.672109302217</v>
      </c>
      <c r="H62" s="554" t="n">
        <f aca="false">H50+H55+H60</f>
        <v>142.540448173306</v>
      </c>
    </row>
    <row r="63" customFormat="false" ht="13.5" hidden="false" customHeight="false" outlineLevel="0" collapsed="false">
      <c r="A63" s="561"/>
      <c r="B63" s="565"/>
      <c r="C63" s="565"/>
      <c r="D63" s="565"/>
      <c r="E63" s="565"/>
      <c r="F63" s="565"/>
      <c r="G63" s="565"/>
      <c r="H63" s="565"/>
    </row>
    <row r="64" customFormat="false" ht="12.75" hidden="false" customHeight="false" outlineLevel="0" collapsed="false">
      <c r="A64" s="561"/>
      <c r="B64" s="565"/>
      <c r="C64" s="565"/>
      <c r="D64" s="565"/>
      <c r="E64" s="565"/>
      <c r="F64" s="565"/>
      <c r="G64" s="565"/>
      <c r="H64" s="565"/>
    </row>
    <row r="65" customFormat="false" ht="12.75" hidden="false" customHeight="false" outlineLevel="0" collapsed="false">
      <c r="A65" s="568" t="s">
        <v>582</v>
      </c>
      <c r="B65" s="569"/>
      <c r="C65" s="569"/>
      <c r="D65" s="569"/>
      <c r="E65" s="569"/>
      <c r="F65" s="569"/>
      <c r="G65" s="569"/>
      <c r="H65" s="569"/>
    </row>
    <row r="66" customFormat="false" ht="12.75" hidden="false" customHeight="false" outlineLevel="0" collapsed="false">
      <c r="A66" s="541"/>
      <c r="B66" s="542" t="s">
        <v>541</v>
      </c>
      <c r="C66" s="542"/>
      <c r="D66" s="569"/>
      <c r="E66" s="569"/>
      <c r="F66" s="569"/>
      <c r="G66" s="569"/>
      <c r="H66" s="569"/>
    </row>
    <row r="67" customFormat="false" ht="13.5" hidden="false" customHeight="false" outlineLevel="0" collapsed="false">
      <c r="A67" s="543"/>
      <c r="B67" s="544" t="n">
        <v>1998</v>
      </c>
      <c r="C67" s="544" t="n">
        <v>1999</v>
      </c>
      <c r="D67" s="565"/>
      <c r="E67" s="565"/>
      <c r="F67" s="565"/>
      <c r="G67" s="565"/>
      <c r="H67" s="565"/>
    </row>
    <row r="68" customFormat="false" ht="12.75" hidden="false" customHeight="false" outlineLevel="0" collapsed="false">
      <c r="A68" s="563"/>
      <c r="B68" s="569"/>
      <c r="C68" s="569"/>
      <c r="D68" s="569"/>
      <c r="E68" s="569"/>
      <c r="F68" s="569"/>
      <c r="G68" s="569"/>
      <c r="H68" s="569"/>
    </row>
    <row r="69" customFormat="false" ht="12.75" hidden="false" customHeight="false" outlineLevel="0" collapsed="false">
      <c r="A69" s="568" t="s">
        <v>583</v>
      </c>
      <c r="B69" s="569"/>
      <c r="C69" s="569"/>
      <c r="D69" s="569"/>
      <c r="E69" s="569"/>
      <c r="F69" s="569"/>
      <c r="G69" s="569"/>
      <c r="H69" s="569"/>
    </row>
    <row r="70" customFormat="false" ht="12.75" hidden="false" customHeight="false" outlineLevel="0" collapsed="false">
      <c r="A70" s="570" t="s">
        <v>410</v>
      </c>
      <c r="B70" s="552" t="n">
        <v>0</v>
      </c>
      <c r="C70" s="552" t="n">
        <v>0</v>
      </c>
      <c r="D70" s="564"/>
      <c r="E70" s="564"/>
      <c r="F70" s="564"/>
      <c r="G70" s="564"/>
      <c r="H70" s="564"/>
    </row>
    <row r="71" customFormat="false" ht="12.75" hidden="false" customHeight="false" outlineLevel="0" collapsed="false">
      <c r="A71" s="570" t="s">
        <v>584</v>
      </c>
      <c r="B71" s="552" t="n">
        <v>0</v>
      </c>
      <c r="C71" s="552" t="n">
        <v>0</v>
      </c>
      <c r="D71" s="550"/>
      <c r="E71" s="550"/>
      <c r="F71" s="550"/>
      <c r="G71" s="550"/>
      <c r="H71" s="550"/>
    </row>
    <row r="72" customFormat="false" ht="12.75" hidden="false" customHeight="false" outlineLevel="0" collapsed="false">
      <c r="A72" s="570" t="s">
        <v>585</v>
      </c>
      <c r="B72" s="552" t="n">
        <v>0</v>
      </c>
      <c r="C72" s="552" t="n">
        <v>0</v>
      </c>
    </row>
    <row r="73" customFormat="false" ht="12.75" hidden="false" customHeight="false" outlineLevel="0" collapsed="false">
      <c r="A73" s="570" t="s">
        <v>586</v>
      </c>
      <c r="B73" s="562" t="n">
        <v>0</v>
      </c>
      <c r="C73" s="562" t="n">
        <v>0</v>
      </c>
    </row>
    <row r="74" customFormat="false" ht="12.75" hidden="false" customHeight="false" outlineLevel="0" collapsed="false">
      <c r="A74" s="571" t="s">
        <v>587</v>
      </c>
      <c r="B74" s="572" t="n">
        <f aca="false">SUM(B70:B73)</f>
        <v>0</v>
      </c>
      <c r="C74" s="572" t="n">
        <f aca="false">SUM(C70:C73)</f>
        <v>0</v>
      </c>
    </row>
    <row r="75" customFormat="false" ht="12.75" hidden="false" customHeight="false" outlineLevel="0" collapsed="false">
      <c r="A75" s="561"/>
    </row>
    <row r="76" customFormat="false" ht="12.75" hidden="false" customHeight="false" outlineLevel="0" collapsed="false">
      <c r="A76" s="568" t="s">
        <v>588</v>
      </c>
    </row>
    <row r="77" customFormat="false" ht="12.75" hidden="false" customHeight="false" outlineLevel="0" collapsed="false">
      <c r="A77" s="570" t="s">
        <v>589</v>
      </c>
      <c r="B77" s="552" t="n">
        <v>0</v>
      </c>
      <c r="C77" s="552" t="n">
        <v>0</v>
      </c>
    </row>
    <row r="78" customFormat="false" ht="12.75" hidden="false" customHeight="false" outlineLevel="0" collapsed="false">
      <c r="A78" s="570" t="s">
        <v>590</v>
      </c>
      <c r="B78" s="552" t="n">
        <v>0</v>
      </c>
      <c r="C78" s="552" t="n">
        <v>0</v>
      </c>
    </row>
    <row r="79" customFormat="false" ht="12.75" hidden="false" customHeight="false" outlineLevel="0" collapsed="false">
      <c r="A79" s="570" t="s">
        <v>591</v>
      </c>
      <c r="B79" s="552" t="n">
        <v>0</v>
      </c>
      <c r="C79" s="552" t="n">
        <v>0</v>
      </c>
    </row>
    <row r="80" customFormat="false" ht="12.75" hidden="false" customHeight="false" outlineLevel="0" collapsed="false">
      <c r="A80" s="570" t="s">
        <v>592</v>
      </c>
      <c r="B80" s="562" t="n">
        <v>0</v>
      </c>
      <c r="C80" s="562" t="n">
        <v>0</v>
      </c>
    </row>
    <row r="81" customFormat="false" ht="12.75" hidden="false" customHeight="false" outlineLevel="0" collapsed="false">
      <c r="A81" s="571" t="s">
        <v>593</v>
      </c>
      <c r="B81" s="572" t="n">
        <f aca="false">SUM(B77:B80)</f>
        <v>0</v>
      </c>
      <c r="C81" s="572" t="n">
        <f aca="false">SUM(C77:C80)</f>
        <v>0</v>
      </c>
    </row>
    <row r="82" customFormat="false" ht="12.75" hidden="false" customHeight="false" outlineLevel="0" collapsed="false">
      <c r="A82" s="561"/>
    </row>
    <row r="83" customFormat="false" ht="12.75" hidden="false" customHeight="false" outlineLevel="0" collapsed="false">
      <c r="A83" s="568" t="s">
        <v>594</v>
      </c>
      <c r="B83" s="552" t="n">
        <v>0</v>
      </c>
      <c r="C83" s="552" t="n">
        <v>0</v>
      </c>
    </row>
    <row r="84" customFormat="false" ht="12.75" hidden="false" customHeight="false" outlineLevel="0" collapsed="false">
      <c r="A84" s="561"/>
    </row>
    <row r="85" customFormat="false" ht="12.75" hidden="false" customHeight="false" outlineLevel="0" collapsed="false">
      <c r="A85" s="573" t="s">
        <v>416</v>
      </c>
      <c r="B85" s="553" t="n">
        <f aca="false">B74+B81+B83</f>
        <v>0</v>
      </c>
      <c r="C85" s="553" t="n">
        <f aca="false">C74+C81+C83</f>
        <v>0</v>
      </c>
    </row>
    <row r="86" customFormat="false" ht="12.75" hidden="false" customHeight="false" outlineLevel="0" collapsed="false">
      <c r="A86" s="561"/>
    </row>
    <row r="87" customFormat="false" ht="12.75" hidden="false" customHeight="false" outlineLevel="0" collapsed="false">
      <c r="A87" s="568" t="s">
        <v>595</v>
      </c>
    </row>
    <row r="88" customFormat="false" ht="12.75" hidden="false" customHeight="false" outlineLevel="0" collapsed="false">
      <c r="A88" s="570" t="s">
        <v>596</v>
      </c>
      <c r="B88" s="552" t="n">
        <v>0</v>
      </c>
      <c r="C88" s="552" t="n">
        <v>0</v>
      </c>
    </row>
    <row r="89" customFormat="false" ht="12.75" hidden="false" customHeight="false" outlineLevel="0" collapsed="false">
      <c r="A89" s="570" t="s">
        <v>597</v>
      </c>
      <c r="B89" s="552" t="n">
        <v>0</v>
      </c>
      <c r="C89" s="552" t="n">
        <v>0</v>
      </c>
    </row>
    <row r="90" customFormat="false" ht="12.75" hidden="false" customHeight="false" outlineLevel="0" collapsed="false">
      <c r="A90" s="570" t="s">
        <v>598</v>
      </c>
      <c r="B90" s="552" t="n">
        <v>0</v>
      </c>
      <c r="C90" s="552" t="n">
        <v>0</v>
      </c>
    </row>
    <row r="91" customFormat="false" ht="12.75" hidden="false" customHeight="false" outlineLevel="0" collapsed="false">
      <c r="A91" s="570" t="s">
        <v>599</v>
      </c>
      <c r="B91" s="562" t="n">
        <v>0</v>
      </c>
      <c r="C91" s="562" t="n">
        <v>0</v>
      </c>
    </row>
    <row r="92" customFormat="false" ht="12.75" hidden="false" customHeight="false" outlineLevel="0" collapsed="false">
      <c r="A92" s="571" t="s">
        <v>600</v>
      </c>
      <c r="B92" s="572" t="n">
        <f aca="false">SUM(B88:B91)</f>
        <v>0</v>
      </c>
      <c r="C92" s="572" t="n">
        <f aca="false">SUM(C88:C91)</f>
        <v>0</v>
      </c>
    </row>
    <row r="93" customFormat="false" ht="12.75" hidden="false" customHeight="false" outlineLevel="0" collapsed="false">
      <c r="A93" s="561"/>
    </row>
    <row r="94" customFormat="false" ht="12.75" hidden="false" customHeight="false" outlineLevel="0" collapsed="false">
      <c r="A94" s="568" t="s">
        <v>601</v>
      </c>
    </row>
    <row r="95" customFormat="false" ht="12.75" hidden="false" customHeight="false" outlineLevel="0" collapsed="false">
      <c r="A95" s="570" t="s">
        <v>602</v>
      </c>
      <c r="B95" s="552" t="n">
        <v>0</v>
      </c>
      <c r="C95" s="552" t="n">
        <v>0</v>
      </c>
    </row>
    <row r="96" customFormat="false" ht="12.75" hidden="false" customHeight="false" outlineLevel="0" collapsed="false">
      <c r="A96" s="570" t="s">
        <v>603</v>
      </c>
      <c r="B96" s="552" t="n">
        <v>0</v>
      </c>
      <c r="C96" s="552" t="n">
        <v>0</v>
      </c>
    </row>
    <row r="97" customFormat="false" ht="12.75" hidden="false" customHeight="false" outlineLevel="0" collapsed="false">
      <c r="A97" s="570" t="s">
        <v>586</v>
      </c>
      <c r="B97" s="562" t="n">
        <v>0</v>
      </c>
      <c r="C97" s="562" t="n">
        <v>0</v>
      </c>
    </row>
    <row r="98" customFormat="false" ht="12.75" hidden="false" customHeight="false" outlineLevel="0" collapsed="false">
      <c r="A98" s="571" t="s">
        <v>604</v>
      </c>
      <c r="B98" s="572" t="n">
        <f aca="false">SUM(B95:B97)</f>
        <v>0</v>
      </c>
      <c r="C98" s="572" t="n">
        <f aca="false">SUM(C95:C97)</f>
        <v>0</v>
      </c>
    </row>
    <row r="99" customFormat="false" ht="12.75" hidden="false" customHeight="false" outlineLevel="0" collapsed="false">
      <c r="A99" s="561"/>
    </row>
    <row r="100" customFormat="false" ht="12.75" hidden="false" customHeight="false" outlineLevel="0" collapsed="false">
      <c r="A100" s="574" t="s">
        <v>420</v>
      </c>
      <c r="B100" s="575" t="n">
        <f aca="false">B92+B98</f>
        <v>0</v>
      </c>
      <c r="C100" s="575" t="n">
        <f aca="false">C92+C98</f>
        <v>0</v>
      </c>
    </row>
    <row r="101" customFormat="false" ht="12.75" hidden="false" customHeight="false" outlineLevel="0" collapsed="false">
      <c r="A101" s="561"/>
    </row>
    <row r="102" customFormat="false" ht="12.75" hidden="false" customHeight="false" outlineLevel="0" collapsed="false">
      <c r="A102" s="561" t="s">
        <v>605</v>
      </c>
      <c r="B102" s="552" t="n">
        <v>0</v>
      </c>
      <c r="C102" s="552" t="n">
        <v>0</v>
      </c>
    </row>
    <row r="103" customFormat="false" ht="12.75" hidden="false" customHeight="false" outlineLevel="0" collapsed="false">
      <c r="A103" s="561" t="s">
        <v>606</v>
      </c>
      <c r="B103" s="552" t="n">
        <v>0</v>
      </c>
      <c r="C103" s="552" t="n">
        <v>0</v>
      </c>
    </row>
    <row r="104" customFormat="false" ht="12.75" hidden="false" customHeight="false" outlineLevel="0" collapsed="false">
      <c r="A104" s="561"/>
    </row>
    <row r="105" customFormat="false" ht="12.75" hidden="false" customHeight="false" outlineLevel="0" collapsed="false">
      <c r="A105" s="573" t="s">
        <v>607</v>
      </c>
      <c r="B105" s="553" t="n">
        <f aca="false">B100+SUM(B102:B103)</f>
        <v>0</v>
      </c>
      <c r="C105" s="553" t="n">
        <f aca="false">C100+SUM(C102:C103)</f>
        <v>0</v>
      </c>
    </row>
    <row r="106" customFormat="false" ht="12.75" hidden="false" customHeight="false" outlineLevel="0" collapsed="false">
      <c r="A106" s="561"/>
    </row>
    <row r="107" customFormat="false" ht="12.75" hidden="false" customHeight="false" outlineLevel="0" collapsed="false">
      <c r="A107" s="561"/>
    </row>
    <row r="108" customFormat="false" ht="12.75" hidden="false" customHeight="false" outlineLevel="0" collapsed="false">
      <c r="A108" s="561"/>
    </row>
    <row r="109" customFormat="false" ht="12.75" hidden="false" customHeight="false" outlineLevel="0" collapsed="false">
      <c r="A109" s="561"/>
    </row>
    <row r="110" customFormat="false" ht="12.75" hidden="false" customHeight="false" outlineLevel="0" collapsed="false">
      <c r="A110" s="561"/>
    </row>
    <row r="111" customFormat="false" ht="12.75" hidden="false" customHeight="false" outlineLevel="0" collapsed="false">
      <c r="A111" s="561"/>
    </row>
    <row r="112" customFormat="false" ht="12.75" hidden="false" customHeight="false" outlineLevel="0" collapsed="false">
      <c r="A112" s="561"/>
    </row>
    <row r="113" customFormat="false" ht="12.75" hidden="false" customHeight="false" outlineLevel="0" collapsed="false">
      <c r="A113" s="561"/>
    </row>
    <row r="114" customFormat="false" ht="12.75" hidden="false" customHeight="false" outlineLevel="0" collapsed="false">
      <c r="A114" s="561"/>
    </row>
    <row r="115" customFormat="false" ht="12.75" hidden="false" customHeight="false" outlineLevel="0" collapsed="false">
      <c r="A115" s="561"/>
    </row>
    <row r="116" customFormat="false" ht="12.75" hidden="false" customHeight="false" outlineLevel="0" collapsed="false">
      <c r="A116" s="561"/>
    </row>
    <row r="117" customFormat="false" ht="12.75" hidden="false" customHeight="false" outlineLevel="0" collapsed="false">
      <c r="A117" s="561"/>
    </row>
    <row r="118" customFormat="false" ht="12.75" hidden="false" customHeight="false" outlineLevel="0" collapsed="false">
      <c r="A118" s="561"/>
    </row>
    <row r="119" customFormat="false" ht="12.75" hidden="false" customHeight="false" outlineLevel="0" collapsed="false">
      <c r="A119" s="561"/>
    </row>
    <row r="120" customFormat="false" ht="12.75" hidden="false" customHeight="false" outlineLevel="0" collapsed="false">
      <c r="A120" s="561"/>
    </row>
    <row r="121" customFormat="false" ht="12.75" hidden="false" customHeight="false" outlineLevel="0" collapsed="false">
      <c r="A121" s="561"/>
    </row>
    <row r="122" customFormat="false" ht="12.75" hidden="false" customHeight="false" outlineLevel="0" collapsed="false">
      <c r="A122" s="561"/>
    </row>
    <row r="123" customFormat="false" ht="12.75" hidden="false" customHeight="false" outlineLevel="0" collapsed="false">
      <c r="A123" s="561"/>
    </row>
    <row r="124" customFormat="false" ht="12.75" hidden="false" customHeight="false" outlineLevel="0" collapsed="false">
      <c r="A124" s="561"/>
    </row>
    <row r="125" customFormat="false" ht="12.75" hidden="false" customHeight="false" outlineLevel="0" collapsed="false">
      <c r="A125" s="561"/>
    </row>
    <row r="126" customFormat="false" ht="12.75" hidden="false" customHeight="false" outlineLevel="0" collapsed="false">
      <c r="A126" s="561"/>
    </row>
    <row r="127" customFormat="false" ht="12.75" hidden="false" customHeight="false" outlineLevel="0" collapsed="false">
      <c r="A127" s="561"/>
    </row>
    <row r="128" customFormat="false" ht="12.75" hidden="false" customHeight="false" outlineLevel="0" collapsed="false">
      <c r="A128" s="561"/>
    </row>
    <row r="129" customFormat="false" ht="12.75" hidden="false" customHeight="false" outlineLevel="0" collapsed="false">
      <c r="A129" s="561"/>
    </row>
    <row r="130" customFormat="false" ht="12.75" hidden="false" customHeight="false" outlineLevel="0" collapsed="false">
      <c r="A130" s="561"/>
    </row>
    <row r="131" customFormat="false" ht="12.75" hidden="false" customHeight="false" outlineLevel="0" collapsed="false">
      <c r="A131" s="561"/>
    </row>
    <row r="132" customFormat="false" ht="12.75" hidden="false" customHeight="false" outlineLevel="0" collapsed="false">
      <c r="A132" s="561"/>
    </row>
    <row r="133" customFormat="false" ht="12.75" hidden="false" customHeight="false" outlineLevel="0" collapsed="false">
      <c r="A133" s="561"/>
    </row>
    <row r="134" customFormat="false" ht="12.75" hidden="false" customHeight="false" outlineLevel="0" collapsed="false">
      <c r="A134" s="561"/>
    </row>
    <row r="135" customFormat="false" ht="12.75" hidden="false" customHeight="false" outlineLevel="0" collapsed="false">
      <c r="A135" s="561"/>
    </row>
    <row r="136" customFormat="false" ht="12.75" hidden="false" customHeight="false" outlineLevel="0" collapsed="false">
      <c r="A136" s="561"/>
    </row>
    <row r="137" customFormat="false" ht="12.75" hidden="false" customHeight="false" outlineLevel="0" collapsed="false">
      <c r="A137" s="561"/>
    </row>
    <row r="138" customFormat="false" ht="12.75" hidden="false" customHeight="false" outlineLevel="0" collapsed="false">
      <c r="A138" s="561"/>
    </row>
    <row r="139" customFormat="false" ht="12.75" hidden="false" customHeight="false" outlineLevel="0" collapsed="false">
      <c r="A139" s="561"/>
    </row>
    <row r="140" customFormat="false" ht="12.75" hidden="false" customHeight="false" outlineLevel="0" collapsed="false">
      <c r="A140" s="561"/>
    </row>
    <row r="141" customFormat="false" ht="12.75" hidden="false" customHeight="false" outlineLevel="0" collapsed="false">
      <c r="A141" s="561"/>
    </row>
    <row r="142" customFormat="false" ht="12.75" hidden="false" customHeight="false" outlineLevel="0" collapsed="false">
      <c r="A142" s="561"/>
    </row>
    <row r="143" customFormat="false" ht="12.75" hidden="false" customHeight="false" outlineLevel="0" collapsed="false">
      <c r="A143" s="561"/>
    </row>
    <row r="144" customFormat="false" ht="12.75" hidden="false" customHeight="false" outlineLevel="0" collapsed="false">
      <c r="A144" s="561"/>
    </row>
    <row r="145" customFormat="false" ht="12.75" hidden="false" customHeight="false" outlineLevel="0" collapsed="false">
      <c r="A145" s="561"/>
    </row>
    <row r="146" customFormat="false" ht="12.75" hidden="false" customHeight="false" outlineLevel="0" collapsed="false">
      <c r="A146" s="561"/>
    </row>
    <row r="147" customFormat="false" ht="12.75" hidden="false" customHeight="false" outlineLevel="0" collapsed="false">
      <c r="A147" s="561"/>
    </row>
    <row r="148" customFormat="false" ht="12.75" hidden="false" customHeight="false" outlineLevel="0" collapsed="false">
      <c r="A148" s="561"/>
    </row>
    <row r="149" customFormat="false" ht="12.75" hidden="false" customHeight="false" outlineLevel="0" collapsed="false">
      <c r="A149" s="561"/>
    </row>
    <row r="150" customFormat="false" ht="12.75" hidden="false" customHeight="false" outlineLevel="0" collapsed="false">
      <c r="A150" s="561"/>
    </row>
    <row r="151" customFormat="false" ht="12.75" hidden="false" customHeight="false" outlineLevel="0" collapsed="false">
      <c r="A151" s="561"/>
    </row>
    <row r="152" customFormat="false" ht="12.75" hidden="false" customHeight="false" outlineLevel="0" collapsed="false">
      <c r="A152" s="561"/>
    </row>
    <row r="153" customFormat="false" ht="12.75" hidden="false" customHeight="false" outlineLevel="0" collapsed="false">
      <c r="A153" s="561"/>
    </row>
    <row r="154" customFormat="false" ht="12.75" hidden="false" customHeight="false" outlineLevel="0" collapsed="false">
      <c r="A154" s="561"/>
    </row>
    <row r="155" customFormat="false" ht="12.75" hidden="false" customHeight="false" outlineLevel="0" collapsed="false">
      <c r="A155" s="561"/>
    </row>
    <row r="156" customFormat="false" ht="12.75" hidden="false" customHeight="false" outlineLevel="0" collapsed="false">
      <c r="A156" s="561"/>
    </row>
    <row r="157" customFormat="false" ht="12.75" hidden="false" customHeight="false" outlineLevel="0" collapsed="false">
      <c r="A157" s="561"/>
    </row>
    <row r="158" customFormat="false" ht="12.75" hidden="false" customHeight="false" outlineLevel="0" collapsed="false">
      <c r="A158" s="561"/>
    </row>
    <row r="159" customFormat="false" ht="12.75" hidden="false" customHeight="false" outlineLevel="0" collapsed="false">
      <c r="A159" s="561"/>
    </row>
    <row r="160" customFormat="false" ht="12.75" hidden="false" customHeight="false" outlineLevel="0" collapsed="false">
      <c r="A160" s="561"/>
    </row>
    <row r="161" customFormat="false" ht="12.75" hidden="false" customHeight="false" outlineLevel="0" collapsed="false">
      <c r="A161" s="561"/>
    </row>
    <row r="162" customFormat="false" ht="12.75" hidden="false" customHeight="false" outlineLevel="0" collapsed="false">
      <c r="A162" s="561"/>
    </row>
    <row r="163" customFormat="false" ht="12.75" hidden="false" customHeight="false" outlineLevel="0" collapsed="false">
      <c r="A163" s="561"/>
    </row>
    <row r="164" customFormat="false" ht="12.75" hidden="false" customHeight="false" outlineLevel="0" collapsed="false">
      <c r="A164" s="561"/>
    </row>
    <row r="165" customFormat="false" ht="12.75" hidden="false" customHeight="false" outlineLevel="0" collapsed="false">
      <c r="A165" s="561"/>
    </row>
    <row r="166" customFormat="false" ht="12.75" hidden="false" customHeight="false" outlineLevel="0" collapsed="false">
      <c r="A166" s="561"/>
    </row>
    <row r="167" customFormat="false" ht="12.75" hidden="false" customHeight="false" outlineLevel="0" collapsed="false">
      <c r="A167" s="561"/>
    </row>
    <row r="168" customFormat="false" ht="12.75" hidden="false" customHeight="false" outlineLevel="0" collapsed="false">
      <c r="A168" s="561"/>
    </row>
    <row r="169" customFormat="false" ht="12.75" hidden="false" customHeight="false" outlineLevel="0" collapsed="false">
      <c r="A169" s="561"/>
    </row>
    <row r="170" customFormat="false" ht="12.75" hidden="false" customHeight="false" outlineLevel="0" collapsed="false">
      <c r="A170" s="561"/>
    </row>
    <row r="171" customFormat="false" ht="12.75" hidden="false" customHeight="false" outlineLevel="0" collapsed="false">
      <c r="A171" s="561"/>
    </row>
    <row r="172" customFormat="false" ht="12.75" hidden="false" customHeight="false" outlineLevel="0" collapsed="false">
      <c r="A172" s="561"/>
    </row>
    <row r="173" customFormat="false" ht="12.75" hidden="false" customHeight="false" outlineLevel="0" collapsed="false">
      <c r="A173" s="561"/>
    </row>
    <row r="174" customFormat="false" ht="12.75" hidden="false" customHeight="false" outlineLevel="0" collapsed="false">
      <c r="A174" s="561"/>
    </row>
    <row r="175" customFormat="false" ht="12.75" hidden="false" customHeight="false" outlineLevel="0" collapsed="false">
      <c r="A175" s="561"/>
    </row>
    <row r="176" customFormat="false" ht="12.75" hidden="false" customHeight="false" outlineLevel="0" collapsed="false">
      <c r="A176" s="561"/>
    </row>
    <row r="177" customFormat="false" ht="12.75" hidden="false" customHeight="false" outlineLevel="0" collapsed="false">
      <c r="A177" s="561"/>
    </row>
    <row r="178" customFormat="false" ht="12.75" hidden="false" customHeight="false" outlineLevel="0" collapsed="false">
      <c r="A178" s="561"/>
    </row>
    <row r="179" customFormat="false" ht="12.75" hidden="false" customHeight="false" outlineLevel="0" collapsed="false">
      <c r="A179" s="561"/>
    </row>
    <row r="180" customFormat="false" ht="12.75" hidden="false" customHeight="false" outlineLevel="0" collapsed="false">
      <c r="A180" s="561"/>
    </row>
    <row r="181" customFormat="false" ht="12.75" hidden="false" customHeight="false" outlineLevel="0" collapsed="false">
      <c r="A181" s="561"/>
    </row>
    <row r="182" customFormat="false" ht="12.75" hidden="false" customHeight="false" outlineLevel="0" collapsed="false">
      <c r="A182" s="561"/>
    </row>
    <row r="183" customFormat="false" ht="12.75" hidden="false" customHeight="false" outlineLevel="0" collapsed="false">
      <c r="A183" s="561"/>
    </row>
    <row r="184" customFormat="false" ht="12.75" hidden="false" customHeight="false" outlineLevel="0" collapsed="false">
      <c r="A184" s="561"/>
    </row>
    <row r="185" customFormat="false" ht="12.75" hidden="false" customHeight="false" outlineLevel="0" collapsed="false">
      <c r="A185" s="561"/>
    </row>
    <row r="186" customFormat="false" ht="12.75" hidden="false" customHeight="false" outlineLevel="0" collapsed="false">
      <c r="A186" s="561"/>
    </row>
    <row r="187" customFormat="false" ht="12.75" hidden="false" customHeight="false" outlineLevel="0" collapsed="false">
      <c r="A187" s="561"/>
    </row>
    <row r="188" customFormat="false" ht="12.75" hidden="false" customHeight="false" outlineLevel="0" collapsed="false">
      <c r="A188" s="561"/>
    </row>
    <row r="189" customFormat="false" ht="12.75" hidden="false" customHeight="false" outlineLevel="0" collapsed="false">
      <c r="A189" s="561"/>
    </row>
    <row r="190" customFormat="false" ht="12.75" hidden="false" customHeight="false" outlineLevel="0" collapsed="false">
      <c r="A190" s="561"/>
    </row>
    <row r="191" customFormat="false" ht="12.75" hidden="false" customHeight="false" outlineLevel="0" collapsed="false">
      <c r="A191" s="561"/>
    </row>
    <row r="192" customFormat="false" ht="12.75" hidden="false" customHeight="false" outlineLevel="0" collapsed="false">
      <c r="A192" s="561"/>
    </row>
    <row r="193" customFormat="false" ht="12.75" hidden="false" customHeight="false" outlineLevel="0" collapsed="false">
      <c r="A193" s="561"/>
    </row>
    <row r="194" customFormat="false" ht="12.75" hidden="false" customHeight="false" outlineLevel="0" collapsed="false">
      <c r="A194" s="561"/>
    </row>
    <row r="195" customFormat="false" ht="12.75" hidden="false" customHeight="false" outlineLevel="0" collapsed="false">
      <c r="A195" s="561"/>
    </row>
    <row r="196" customFormat="false" ht="12.75" hidden="false" customHeight="false" outlineLevel="0" collapsed="false">
      <c r="A196" s="561"/>
    </row>
    <row r="197" customFormat="false" ht="12.75" hidden="false" customHeight="false" outlineLevel="0" collapsed="false">
      <c r="A197" s="561"/>
    </row>
    <row r="198" customFormat="false" ht="12.75" hidden="false" customHeight="false" outlineLevel="0" collapsed="false">
      <c r="A198" s="561"/>
    </row>
    <row r="199" customFormat="false" ht="12.75" hidden="false" customHeight="false" outlineLevel="0" collapsed="false">
      <c r="A199" s="561"/>
    </row>
    <row r="200" customFormat="false" ht="12.75" hidden="false" customHeight="false" outlineLevel="0" collapsed="false">
      <c r="A200" s="561"/>
    </row>
    <row r="201" customFormat="false" ht="12.75" hidden="false" customHeight="false" outlineLevel="0" collapsed="false">
      <c r="A201" s="561"/>
    </row>
    <row r="202" customFormat="false" ht="12.75" hidden="false" customHeight="false" outlineLevel="0" collapsed="false">
      <c r="A202" s="561"/>
    </row>
    <row r="203" customFormat="false" ht="12.75" hidden="false" customHeight="false" outlineLevel="0" collapsed="false">
      <c r="A203" s="561"/>
    </row>
    <row r="204" customFormat="false" ht="12.75" hidden="false" customHeight="false" outlineLevel="0" collapsed="false">
      <c r="A204" s="561"/>
    </row>
    <row r="205" customFormat="false" ht="12.75" hidden="false" customHeight="false" outlineLevel="0" collapsed="false">
      <c r="A205" s="561"/>
    </row>
    <row r="206" customFormat="false" ht="12.75" hidden="false" customHeight="false" outlineLevel="0" collapsed="false">
      <c r="A206" s="561"/>
    </row>
    <row r="207" customFormat="false" ht="12.75" hidden="false" customHeight="false" outlineLevel="0" collapsed="false">
      <c r="A207" s="561"/>
    </row>
    <row r="208" customFormat="false" ht="12.75" hidden="false" customHeight="false" outlineLevel="0" collapsed="false">
      <c r="A208" s="561"/>
    </row>
    <row r="209" customFormat="false" ht="12.75" hidden="false" customHeight="false" outlineLevel="0" collapsed="false">
      <c r="A209" s="561"/>
    </row>
    <row r="210" customFormat="false" ht="12.75" hidden="false" customHeight="false" outlineLevel="0" collapsed="false">
      <c r="A210" s="561"/>
    </row>
    <row r="211" customFormat="false" ht="12.75" hidden="false" customHeight="false" outlineLevel="0" collapsed="false">
      <c r="A211" s="561"/>
    </row>
    <row r="212" customFormat="false" ht="12.75" hidden="false" customHeight="false" outlineLevel="0" collapsed="false">
      <c r="A212" s="561"/>
    </row>
    <row r="213" customFormat="false" ht="12.75" hidden="false" customHeight="false" outlineLevel="0" collapsed="false">
      <c r="A213" s="561"/>
    </row>
    <row r="214" customFormat="false" ht="12.75" hidden="false" customHeight="false" outlineLevel="0" collapsed="false">
      <c r="A214" s="561"/>
    </row>
    <row r="215" customFormat="false" ht="12.75" hidden="false" customHeight="false" outlineLevel="0" collapsed="false">
      <c r="A215" s="561"/>
    </row>
    <row r="216" customFormat="false" ht="12.75" hidden="false" customHeight="false" outlineLevel="0" collapsed="false">
      <c r="A216" s="561"/>
    </row>
    <row r="217" customFormat="false" ht="12.75" hidden="false" customHeight="false" outlineLevel="0" collapsed="false">
      <c r="A217" s="561"/>
    </row>
    <row r="218" customFormat="false" ht="12.75" hidden="false" customHeight="false" outlineLevel="0" collapsed="false">
      <c r="A218" s="561"/>
    </row>
    <row r="219" customFormat="false" ht="12.75" hidden="false" customHeight="false" outlineLevel="0" collapsed="false">
      <c r="A219" s="561"/>
    </row>
    <row r="220" customFormat="false" ht="12.75" hidden="false" customHeight="false" outlineLevel="0" collapsed="false">
      <c r="A220" s="561"/>
    </row>
    <row r="221" customFormat="false" ht="12.75" hidden="false" customHeight="false" outlineLevel="0" collapsed="false">
      <c r="A221" s="561"/>
    </row>
    <row r="222" customFormat="false" ht="12.75" hidden="false" customHeight="false" outlineLevel="0" collapsed="false">
      <c r="A222" s="561"/>
    </row>
    <row r="223" customFormat="false" ht="12.75" hidden="false" customHeight="false" outlineLevel="0" collapsed="false">
      <c r="A223" s="561"/>
    </row>
    <row r="224" customFormat="false" ht="12.75" hidden="false" customHeight="false" outlineLevel="0" collapsed="false">
      <c r="A224" s="561"/>
    </row>
    <row r="225" customFormat="false" ht="12.75" hidden="false" customHeight="false" outlineLevel="0" collapsed="false">
      <c r="A225" s="561"/>
    </row>
    <row r="226" customFormat="false" ht="12.75" hidden="false" customHeight="false" outlineLevel="0" collapsed="false">
      <c r="A226" s="561"/>
    </row>
    <row r="227" customFormat="false" ht="12.75" hidden="false" customHeight="false" outlineLevel="0" collapsed="false">
      <c r="A227" s="561"/>
    </row>
    <row r="228" customFormat="false" ht="12.75" hidden="false" customHeight="false" outlineLevel="0" collapsed="false">
      <c r="A228" s="561"/>
    </row>
    <row r="229" customFormat="false" ht="12.75" hidden="false" customHeight="false" outlineLevel="0" collapsed="false">
      <c r="A229" s="561"/>
    </row>
    <row r="230" customFormat="false" ht="12.75" hidden="false" customHeight="false" outlineLevel="0" collapsed="false">
      <c r="A230" s="561"/>
    </row>
    <row r="231" customFormat="false" ht="12.75" hidden="false" customHeight="false" outlineLevel="0" collapsed="false">
      <c r="A231" s="561"/>
    </row>
    <row r="232" customFormat="false" ht="12.75" hidden="false" customHeight="false" outlineLevel="0" collapsed="false">
      <c r="A232" s="561"/>
    </row>
    <row r="233" customFormat="false" ht="12.75" hidden="false" customHeight="false" outlineLevel="0" collapsed="false">
      <c r="A233" s="561"/>
    </row>
    <row r="234" customFormat="false" ht="12.75" hidden="false" customHeight="false" outlineLevel="0" collapsed="false">
      <c r="A234" s="561"/>
    </row>
    <row r="235" customFormat="false" ht="12.75" hidden="false" customHeight="false" outlineLevel="0" collapsed="false">
      <c r="A235" s="561"/>
    </row>
    <row r="236" customFormat="false" ht="12.75" hidden="false" customHeight="false" outlineLevel="0" collapsed="false">
      <c r="A236" s="561"/>
    </row>
    <row r="237" customFormat="false" ht="12.75" hidden="false" customHeight="false" outlineLevel="0" collapsed="false">
      <c r="A237" s="561"/>
    </row>
    <row r="238" customFormat="false" ht="12.75" hidden="false" customHeight="false" outlineLevel="0" collapsed="false">
      <c r="A238" s="561"/>
    </row>
    <row r="239" customFormat="false" ht="12.75" hidden="false" customHeight="false" outlineLevel="0" collapsed="false">
      <c r="A239" s="561"/>
    </row>
    <row r="240" customFormat="false" ht="12.75" hidden="false" customHeight="false" outlineLevel="0" collapsed="false">
      <c r="A240" s="561"/>
    </row>
    <row r="241" customFormat="false" ht="12.75" hidden="false" customHeight="false" outlineLevel="0" collapsed="false">
      <c r="A241" s="561"/>
    </row>
    <row r="242" customFormat="false" ht="12.75" hidden="false" customHeight="false" outlineLevel="0" collapsed="false">
      <c r="A242" s="561"/>
    </row>
    <row r="243" customFormat="false" ht="12.75" hidden="false" customHeight="false" outlineLevel="0" collapsed="false">
      <c r="A243" s="561"/>
    </row>
    <row r="244" customFormat="false" ht="12.75" hidden="false" customHeight="false" outlineLevel="0" collapsed="false">
      <c r="A244" s="561"/>
    </row>
    <row r="245" customFormat="false" ht="12.75" hidden="false" customHeight="false" outlineLevel="0" collapsed="false">
      <c r="A245" s="561"/>
    </row>
    <row r="246" customFormat="false" ht="12.75" hidden="false" customHeight="false" outlineLevel="0" collapsed="false">
      <c r="A246" s="561"/>
    </row>
    <row r="247" customFormat="false" ht="12.75" hidden="false" customHeight="false" outlineLevel="0" collapsed="false">
      <c r="A247" s="561"/>
    </row>
    <row r="248" customFormat="false" ht="12.75" hidden="false" customHeight="false" outlineLevel="0" collapsed="false">
      <c r="A248" s="561"/>
    </row>
    <row r="249" customFormat="false" ht="12.75" hidden="false" customHeight="false" outlineLevel="0" collapsed="false">
      <c r="A249" s="561"/>
    </row>
    <row r="250" customFormat="false" ht="12.75" hidden="false" customHeight="false" outlineLevel="0" collapsed="false">
      <c r="A250" s="561"/>
    </row>
    <row r="251" customFormat="false" ht="12.75" hidden="false" customHeight="false" outlineLevel="0" collapsed="false">
      <c r="A251" s="561"/>
    </row>
    <row r="252" customFormat="false" ht="12.75" hidden="false" customHeight="false" outlineLevel="0" collapsed="false">
      <c r="A252" s="561"/>
    </row>
    <row r="253" customFormat="false" ht="12.75" hidden="false" customHeight="false" outlineLevel="0" collapsed="false">
      <c r="A253" s="561"/>
    </row>
    <row r="254" customFormat="false" ht="12.75" hidden="false" customHeight="false" outlineLevel="0" collapsed="false">
      <c r="A254" s="561"/>
    </row>
    <row r="255" customFormat="false" ht="12.75" hidden="false" customHeight="false" outlineLevel="0" collapsed="false">
      <c r="A255" s="561"/>
    </row>
    <row r="256" customFormat="false" ht="12.75" hidden="false" customHeight="false" outlineLevel="0" collapsed="false">
      <c r="A256" s="561"/>
    </row>
    <row r="257" customFormat="false" ht="12.75" hidden="false" customHeight="false" outlineLevel="0" collapsed="false">
      <c r="A257" s="561"/>
    </row>
    <row r="258" customFormat="false" ht="12.75" hidden="false" customHeight="false" outlineLevel="0" collapsed="false">
      <c r="A258" s="561"/>
    </row>
    <row r="259" customFormat="false" ht="12.75" hidden="false" customHeight="false" outlineLevel="0" collapsed="false">
      <c r="A259" s="561"/>
    </row>
    <row r="260" customFormat="false" ht="12.75" hidden="false" customHeight="false" outlineLevel="0" collapsed="false">
      <c r="A260" s="561"/>
    </row>
    <row r="261" customFormat="false" ht="12.75" hidden="false" customHeight="false" outlineLevel="0" collapsed="false">
      <c r="A261" s="561"/>
    </row>
    <row r="262" customFormat="false" ht="12.75" hidden="false" customHeight="false" outlineLevel="0" collapsed="false">
      <c r="A262" s="561"/>
    </row>
    <row r="263" customFormat="false" ht="12.75" hidden="false" customHeight="false" outlineLevel="0" collapsed="false">
      <c r="A263" s="561"/>
    </row>
    <row r="264" customFormat="false" ht="12.75" hidden="false" customHeight="false" outlineLevel="0" collapsed="false">
      <c r="A264" s="561"/>
    </row>
    <row r="265" customFormat="false" ht="12.75" hidden="false" customHeight="false" outlineLevel="0" collapsed="false">
      <c r="A265" s="561"/>
    </row>
    <row r="266" customFormat="false" ht="12.75" hidden="false" customHeight="false" outlineLevel="0" collapsed="false">
      <c r="A266" s="561"/>
    </row>
    <row r="267" customFormat="false" ht="12.75" hidden="false" customHeight="false" outlineLevel="0" collapsed="false">
      <c r="A267" s="561"/>
    </row>
    <row r="268" customFormat="false" ht="12.75" hidden="false" customHeight="false" outlineLevel="0" collapsed="false">
      <c r="A268" s="561"/>
    </row>
    <row r="269" customFormat="false" ht="12.75" hidden="false" customHeight="false" outlineLevel="0" collapsed="false">
      <c r="A269" s="561"/>
    </row>
    <row r="270" customFormat="false" ht="12.75" hidden="false" customHeight="false" outlineLevel="0" collapsed="false">
      <c r="A270" s="561"/>
    </row>
    <row r="271" customFormat="false" ht="12.75" hidden="false" customHeight="false" outlineLevel="0" collapsed="false">
      <c r="A271" s="561"/>
    </row>
    <row r="272" customFormat="false" ht="12.75" hidden="false" customHeight="false" outlineLevel="0" collapsed="false">
      <c r="A272" s="561"/>
    </row>
    <row r="273" customFormat="false" ht="12.75" hidden="false" customHeight="false" outlineLevel="0" collapsed="false">
      <c r="A273" s="561"/>
    </row>
    <row r="274" customFormat="false" ht="12.75" hidden="false" customHeight="false" outlineLevel="0" collapsed="false">
      <c r="A274" s="561"/>
    </row>
    <row r="275" customFormat="false" ht="12.75" hidden="false" customHeight="false" outlineLevel="0" collapsed="false">
      <c r="A275" s="561"/>
    </row>
    <row r="276" customFormat="false" ht="12.75" hidden="false" customHeight="false" outlineLevel="0" collapsed="false">
      <c r="A276" s="561"/>
    </row>
    <row r="277" customFormat="false" ht="12.75" hidden="false" customHeight="false" outlineLevel="0" collapsed="false">
      <c r="A277" s="561"/>
    </row>
    <row r="278" customFormat="false" ht="12.75" hidden="false" customHeight="false" outlineLevel="0" collapsed="false">
      <c r="A278" s="561"/>
    </row>
    <row r="279" customFormat="false" ht="12.75" hidden="false" customHeight="false" outlineLevel="0" collapsed="false">
      <c r="A279" s="561"/>
    </row>
    <row r="280" customFormat="false" ht="12.75" hidden="false" customHeight="false" outlineLevel="0" collapsed="false">
      <c r="A280" s="561"/>
    </row>
    <row r="281" customFormat="false" ht="12.75" hidden="false" customHeight="false" outlineLevel="0" collapsed="false">
      <c r="A281" s="561"/>
    </row>
    <row r="282" customFormat="false" ht="12.75" hidden="false" customHeight="false" outlineLevel="0" collapsed="false">
      <c r="A282" s="561"/>
    </row>
    <row r="283" customFormat="false" ht="12.75" hidden="false" customHeight="false" outlineLevel="0" collapsed="false">
      <c r="A283" s="561"/>
    </row>
    <row r="284" customFormat="false" ht="12.75" hidden="false" customHeight="false" outlineLevel="0" collapsed="false">
      <c r="A284" s="561"/>
    </row>
    <row r="285" customFormat="false" ht="12.75" hidden="false" customHeight="false" outlineLevel="0" collapsed="false">
      <c r="A285" s="561"/>
    </row>
    <row r="286" customFormat="false" ht="12.75" hidden="false" customHeight="false" outlineLevel="0" collapsed="false">
      <c r="A286" s="561"/>
    </row>
    <row r="287" customFormat="false" ht="12.75" hidden="false" customHeight="false" outlineLevel="0" collapsed="false">
      <c r="A287" s="561"/>
    </row>
    <row r="288" customFormat="false" ht="12.75" hidden="false" customHeight="false" outlineLevel="0" collapsed="false">
      <c r="A288" s="561"/>
    </row>
    <row r="289" customFormat="false" ht="12.75" hidden="false" customHeight="false" outlineLevel="0" collapsed="false">
      <c r="A289" s="561"/>
    </row>
    <row r="290" customFormat="false" ht="12.75" hidden="false" customHeight="false" outlineLevel="0" collapsed="false">
      <c r="A290" s="561"/>
    </row>
    <row r="291" customFormat="false" ht="12.75" hidden="false" customHeight="false" outlineLevel="0" collapsed="false">
      <c r="A291" s="561"/>
    </row>
    <row r="292" customFormat="false" ht="12.75" hidden="false" customHeight="false" outlineLevel="0" collapsed="false">
      <c r="A292" s="561"/>
    </row>
    <row r="293" customFormat="false" ht="12.75" hidden="false" customHeight="false" outlineLevel="0" collapsed="false">
      <c r="A293" s="561"/>
    </row>
    <row r="294" customFormat="false" ht="12.75" hidden="false" customHeight="false" outlineLevel="0" collapsed="false">
      <c r="A294" s="561"/>
    </row>
    <row r="295" customFormat="false" ht="12.75" hidden="false" customHeight="false" outlineLevel="0" collapsed="false">
      <c r="A295" s="561"/>
    </row>
    <row r="296" customFormat="false" ht="12.75" hidden="false" customHeight="false" outlineLevel="0" collapsed="false">
      <c r="A296" s="561"/>
    </row>
    <row r="297" customFormat="false" ht="12.75" hidden="false" customHeight="false" outlineLevel="0" collapsed="false">
      <c r="A297" s="561"/>
    </row>
    <row r="298" customFormat="false" ht="12.75" hidden="false" customHeight="false" outlineLevel="0" collapsed="false">
      <c r="A298" s="561"/>
    </row>
    <row r="299" customFormat="false" ht="12.75" hidden="false" customHeight="false" outlineLevel="0" collapsed="false">
      <c r="A299" s="561"/>
    </row>
    <row r="300" customFormat="false" ht="12.75" hidden="false" customHeight="false" outlineLevel="0" collapsed="false">
      <c r="A300" s="561"/>
    </row>
    <row r="301" customFormat="false" ht="12.75" hidden="false" customHeight="false" outlineLevel="0" collapsed="false">
      <c r="A301" s="561"/>
    </row>
    <row r="302" customFormat="false" ht="12.75" hidden="false" customHeight="false" outlineLevel="0" collapsed="false">
      <c r="A302" s="561"/>
    </row>
    <row r="303" customFormat="false" ht="12.75" hidden="false" customHeight="false" outlineLevel="0" collapsed="false">
      <c r="A303" s="561"/>
    </row>
    <row r="304" customFormat="false" ht="12.75" hidden="false" customHeight="false" outlineLevel="0" collapsed="false">
      <c r="A304" s="561"/>
    </row>
    <row r="305" customFormat="false" ht="12.75" hidden="false" customHeight="false" outlineLevel="0" collapsed="false">
      <c r="A305" s="561"/>
    </row>
    <row r="306" customFormat="false" ht="12.75" hidden="false" customHeight="false" outlineLevel="0" collapsed="false">
      <c r="A306" s="561"/>
    </row>
    <row r="307" customFormat="false" ht="12.75" hidden="false" customHeight="false" outlineLevel="0" collapsed="false">
      <c r="A307" s="561"/>
    </row>
    <row r="308" customFormat="false" ht="12.75" hidden="false" customHeight="false" outlineLevel="0" collapsed="false">
      <c r="A308" s="561"/>
    </row>
    <row r="309" customFormat="false" ht="12.75" hidden="false" customHeight="false" outlineLevel="0" collapsed="false">
      <c r="A309" s="561"/>
    </row>
    <row r="310" customFormat="false" ht="12.75" hidden="false" customHeight="false" outlineLevel="0" collapsed="false">
      <c r="A310" s="561"/>
    </row>
    <row r="311" customFormat="false" ht="12.75" hidden="false" customHeight="false" outlineLevel="0" collapsed="false">
      <c r="A311" s="561"/>
    </row>
    <row r="312" customFormat="false" ht="12.75" hidden="false" customHeight="false" outlineLevel="0" collapsed="false">
      <c r="A312" s="561"/>
    </row>
    <row r="313" customFormat="false" ht="12.75" hidden="false" customHeight="false" outlineLevel="0" collapsed="false">
      <c r="A313" s="561"/>
    </row>
    <row r="314" customFormat="false" ht="12.75" hidden="false" customHeight="false" outlineLevel="0" collapsed="false">
      <c r="A314" s="561"/>
    </row>
    <row r="315" customFormat="false" ht="12.75" hidden="false" customHeight="false" outlineLevel="0" collapsed="false">
      <c r="A315" s="561"/>
    </row>
    <row r="316" customFormat="false" ht="12.75" hidden="false" customHeight="false" outlineLevel="0" collapsed="false">
      <c r="A316" s="561"/>
    </row>
    <row r="317" customFormat="false" ht="12.75" hidden="false" customHeight="false" outlineLevel="0" collapsed="false">
      <c r="A317" s="561"/>
    </row>
    <row r="318" customFormat="false" ht="12.75" hidden="false" customHeight="false" outlineLevel="0" collapsed="false">
      <c r="A318" s="561"/>
    </row>
    <row r="319" customFormat="false" ht="12.75" hidden="false" customHeight="false" outlineLevel="0" collapsed="false">
      <c r="A319" s="561"/>
    </row>
    <row r="320" customFormat="false" ht="12.75" hidden="false" customHeight="false" outlineLevel="0" collapsed="false">
      <c r="A320" s="561"/>
    </row>
    <row r="321" customFormat="false" ht="12.75" hidden="false" customHeight="false" outlineLevel="0" collapsed="false">
      <c r="A321" s="561"/>
    </row>
    <row r="322" customFormat="false" ht="12.75" hidden="false" customHeight="false" outlineLevel="0" collapsed="false">
      <c r="A322" s="561"/>
    </row>
    <row r="323" customFormat="false" ht="12.75" hidden="false" customHeight="false" outlineLevel="0" collapsed="false">
      <c r="A323" s="561"/>
    </row>
    <row r="324" customFormat="false" ht="12.75" hidden="false" customHeight="false" outlineLevel="0" collapsed="false">
      <c r="A324" s="561"/>
    </row>
    <row r="325" customFormat="false" ht="12.75" hidden="false" customHeight="false" outlineLevel="0" collapsed="false">
      <c r="A325" s="561"/>
    </row>
    <row r="326" customFormat="false" ht="12.75" hidden="false" customHeight="false" outlineLevel="0" collapsed="false">
      <c r="A326" s="561"/>
    </row>
    <row r="327" customFormat="false" ht="12.75" hidden="false" customHeight="false" outlineLevel="0" collapsed="false">
      <c r="A327" s="561"/>
    </row>
    <row r="328" customFormat="false" ht="12.75" hidden="false" customHeight="false" outlineLevel="0" collapsed="false">
      <c r="A328" s="561"/>
    </row>
    <row r="329" customFormat="false" ht="12.75" hidden="false" customHeight="false" outlineLevel="0" collapsed="false">
      <c r="A329" s="561"/>
    </row>
    <row r="330" customFormat="false" ht="12.75" hidden="false" customHeight="false" outlineLevel="0" collapsed="false">
      <c r="A330" s="561"/>
    </row>
    <row r="331" customFormat="false" ht="12.75" hidden="false" customHeight="false" outlineLevel="0" collapsed="false">
      <c r="A331" s="561"/>
    </row>
    <row r="332" customFormat="false" ht="12.75" hidden="false" customHeight="false" outlineLevel="0" collapsed="false">
      <c r="A332" s="561"/>
    </row>
  </sheetData>
  <mergeCells count="5">
    <mergeCell ref="B7:C7"/>
    <mergeCell ref="D7:H7"/>
    <mergeCell ref="B43:C43"/>
    <mergeCell ref="D43:H43"/>
    <mergeCell ref="B66:C6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1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I16" activeCellId="0" sqref="I1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.7"/>
    <col collapsed="false" customWidth="true" hidden="false" outlineLevel="0" max="2" min="2" style="39" width="45.7"/>
    <col collapsed="false" customWidth="true" hidden="false" outlineLevel="0" max="4" min="3" style="1" width="9.7"/>
    <col collapsed="false" customWidth="true" hidden="false" outlineLevel="0" max="26" min="5" style="576" width="9.7"/>
    <col collapsed="false" customWidth="true" hidden="false" outlineLevel="0" max="27" min="27" style="47" width="11.7"/>
    <col collapsed="false" customWidth="false" hidden="false" outlineLevel="0" max="257" min="28" style="1" width="9.14"/>
  </cols>
  <sheetData>
    <row r="1" customFormat="false" ht="15.75" hidden="false" customHeight="false" outlineLevel="0" collapsed="false">
      <c r="A1" s="413" t="str">
        <f aca="false">Assm!A1</f>
        <v>GAS ORIENTE BOLIVIANO S.A. (GASBOL) *** DRAFT COPY ***</v>
      </c>
      <c r="B1" s="414"/>
      <c r="C1" s="15"/>
      <c r="D1" s="67"/>
      <c r="E1" s="415"/>
      <c r="F1" s="415"/>
      <c r="G1" s="415"/>
      <c r="H1" s="416"/>
      <c r="I1" s="415"/>
      <c r="J1" s="415"/>
      <c r="K1" s="417"/>
      <c r="L1" s="415"/>
      <c r="M1" s="415"/>
      <c r="N1" s="415"/>
      <c r="O1" s="415"/>
      <c r="P1" s="415"/>
      <c r="Q1" s="415"/>
      <c r="R1" s="415"/>
      <c r="S1" s="418"/>
      <c r="T1" s="415"/>
      <c r="U1" s="415"/>
      <c r="V1" s="415"/>
      <c r="W1" s="415"/>
      <c r="X1" s="415"/>
      <c r="Y1" s="415"/>
      <c r="Z1" s="415"/>
      <c r="AA1" s="116"/>
      <c r="AB1" s="67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  <c r="IO1" s="419"/>
      <c r="IP1" s="419"/>
      <c r="IQ1" s="419"/>
      <c r="IR1" s="419"/>
      <c r="IS1" s="419"/>
      <c r="IT1" s="419"/>
      <c r="IU1" s="419"/>
      <c r="IV1" s="419"/>
      <c r="IW1" s="419"/>
    </row>
    <row r="2" customFormat="false" ht="15.75" hidden="false" customHeight="false" outlineLevel="0" collapsed="false">
      <c r="A2" s="413" t="str">
        <f aca="false">Assm!A2</f>
        <v>369 KM PIPELINE SPUR FOR CUIABA POWER PLANT (BOLIVIA)</v>
      </c>
      <c r="B2" s="414"/>
      <c r="C2" s="15"/>
      <c r="D2" s="67"/>
      <c r="E2" s="415"/>
      <c r="F2" s="415"/>
      <c r="G2" s="415"/>
      <c r="H2" s="416"/>
      <c r="I2" s="415"/>
      <c r="J2" s="415"/>
      <c r="K2" s="417"/>
      <c r="L2" s="415"/>
      <c r="M2" s="415"/>
      <c r="N2" s="415"/>
      <c r="O2" s="415"/>
      <c r="P2" s="415"/>
      <c r="Q2" s="415"/>
      <c r="R2" s="415"/>
      <c r="S2" s="418"/>
      <c r="T2" s="415"/>
      <c r="U2" s="415"/>
      <c r="V2" s="415"/>
      <c r="W2" s="415"/>
      <c r="X2" s="415"/>
      <c r="Y2" s="415"/>
      <c r="Z2" s="415"/>
      <c r="AA2" s="116"/>
      <c r="AB2" s="67"/>
      <c r="AC2" s="419"/>
      <c r="AD2" s="419"/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19"/>
      <c r="AX2" s="419"/>
      <c r="AY2" s="419"/>
      <c r="AZ2" s="419"/>
      <c r="BA2" s="419"/>
      <c r="BB2" s="419"/>
      <c r="BC2" s="419"/>
      <c r="BD2" s="419"/>
      <c r="BE2" s="419"/>
      <c r="BF2" s="419"/>
      <c r="BG2" s="419"/>
      <c r="BH2" s="419"/>
      <c r="BI2" s="419"/>
      <c r="BJ2" s="419"/>
      <c r="BK2" s="419"/>
      <c r="BL2" s="419"/>
      <c r="BM2" s="419"/>
      <c r="BN2" s="419"/>
      <c r="BO2" s="419"/>
      <c r="BP2" s="419"/>
      <c r="BQ2" s="419"/>
      <c r="BR2" s="419"/>
      <c r="BS2" s="419"/>
      <c r="BT2" s="419"/>
      <c r="BU2" s="419"/>
      <c r="BV2" s="419"/>
      <c r="BW2" s="419"/>
      <c r="BX2" s="419"/>
      <c r="BY2" s="419"/>
      <c r="BZ2" s="419"/>
      <c r="CA2" s="419"/>
      <c r="CB2" s="419"/>
      <c r="CC2" s="419"/>
      <c r="CD2" s="419"/>
      <c r="CE2" s="419"/>
      <c r="CF2" s="419"/>
      <c r="CG2" s="419"/>
      <c r="CH2" s="419"/>
      <c r="CI2" s="419"/>
      <c r="CJ2" s="419"/>
      <c r="CK2" s="419"/>
      <c r="CL2" s="419"/>
      <c r="CM2" s="419"/>
      <c r="CN2" s="419"/>
      <c r="CO2" s="419"/>
      <c r="CP2" s="419"/>
      <c r="CQ2" s="419"/>
      <c r="CR2" s="419"/>
      <c r="CS2" s="419"/>
      <c r="CT2" s="419"/>
      <c r="CU2" s="419"/>
      <c r="CV2" s="419"/>
      <c r="CW2" s="419"/>
      <c r="CX2" s="419"/>
      <c r="CY2" s="419"/>
      <c r="CZ2" s="419"/>
      <c r="DA2" s="419"/>
      <c r="DB2" s="419"/>
      <c r="DC2" s="419"/>
      <c r="DD2" s="419"/>
      <c r="DE2" s="419"/>
      <c r="DF2" s="419"/>
      <c r="DG2" s="419"/>
      <c r="DH2" s="419"/>
      <c r="DI2" s="419"/>
      <c r="DJ2" s="419"/>
      <c r="DK2" s="419"/>
      <c r="DL2" s="419"/>
      <c r="DM2" s="419"/>
      <c r="DN2" s="419"/>
      <c r="DO2" s="419"/>
      <c r="DP2" s="419"/>
      <c r="DQ2" s="419"/>
      <c r="DR2" s="419"/>
      <c r="DS2" s="419"/>
      <c r="DT2" s="419"/>
      <c r="DU2" s="419"/>
      <c r="DV2" s="419"/>
      <c r="DW2" s="419"/>
      <c r="DX2" s="419"/>
      <c r="DY2" s="419"/>
      <c r="DZ2" s="419"/>
      <c r="EA2" s="419"/>
      <c r="EB2" s="419"/>
      <c r="EC2" s="419"/>
      <c r="ED2" s="419"/>
      <c r="EE2" s="419"/>
      <c r="EF2" s="419"/>
      <c r="EG2" s="419"/>
      <c r="EH2" s="419"/>
      <c r="EI2" s="419"/>
      <c r="EJ2" s="419"/>
      <c r="EK2" s="419"/>
      <c r="EL2" s="419"/>
      <c r="EM2" s="419"/>
      <c r="EN2" s="419"/>
      <c r="EO2" s="419"/>
      <c r="EP2" s="419"/>
      <c r="EQ2" s="419"/>
      <c r="ER2" s="419"/>
      <c r="ES2" s="419"/>
      <c r="ET2" s="419"/>
      <c r="EU2" s="419"/>
      <c r="EV2" s="419"/>
      <c r="EW2" s="419"/>
      <c r="EX2" s="419"/>
      <c r="EY2" s="419"/>
      <c r="EZ2" s="419"/>
      <c r="FA2" s="419"/>
      <c r="FB2" s="419"/>
      <c r="FC2" s="419"/>
      <c r="FD2" s="419"/>
      <c r="FE2" s="419"/>
      <c r="FF2" s="419"/>
      <c r="FG2" s="419"/>
      <c r="FH2" s="419"/>
      <c r="FI2" s="419"/>
      <c r="FJ2" s="419"/>
      <c r="FK2" s="419"/>
      <c r="FL2" s="419"/>
      <c r="FM2" s="419"/>
      <c r="FN2" s="419"/>
      <c r="FO2" s="419"/>
      <c r="FP2" s="419"/>
      <c r="FQ2" s="419"/>
      <c r="FR2" s="419"/>
      <c r="FS2" s="419"/>
      <c r="FT2" s="419"/>
      <c r="FU2" s="419"/>
      <c r="FV2" s="419"/>
      <c r="FW2" s="419"/>
      <c r="FX2" s="419"/>
      <c r="FY2" s="419"/>
      <c r="FZ2" s="419"/>
      <c r="GA2" s="419"/>
      <c r="GB2" s="419"/>
      <c r="GC2" s="419"/>
      <c r="GD2" s="419"/>
      <c r="GE2" s="419"/>
      <c r="GF2" s="419"/>
      <c r="GG2" s="419"/>
      <c r="GH2" s="419"/>
      <c r="GI2" s="419"/>
      <c r="GJ2" s="419"/>
      <c r="GK2" s="419"/>
      <c r="GL2" s="419"/>
      <c r="GM2" s="419"/>
      <c r="GN2" s="419"/>
      <c r="GO2" s="419"/>
      <c r="GP2" s="419"/>
      <c r="GQ2" s="419"/>
      <c r="GR2" s="419"/>
      <c r="GS2" s="419"/>
      <c r="GT2" s="419"/>
      <c r="GU2" s="419"/>
      <c r="GV2" s="419"/>
      <c r="GW2" s="419"/>
      <c r="GX2" s="419"/>
      <c r="GY2" s="419"/>
      <c r="GZ2" s="419"/>
      <c r="HA2" s="419"/>
      <c r="HB2" s="419"/>
      <c r="HC2" s="419"/>
      <c r="HD2" s="419"/>
      <c r="HE2" s="419"/>
      <c r="HF2" s="419"/>
      <c r="HG2" s="419"/>
      <c r="HH2" s="419"/>
      <c r="HI2" s="419"/>
      <c r="HJ2" s="419"/>
      <c r="HK2" s="419"/>
      <c r="HL2" s="419"/>
      <c r="HM2" s="419"/>
      <c r="HN2" s="419"/>
      <c r="HO2" s="419"/>
      <c r="HP2" s="419"/>
      <c r="HQ2" s="419"/>
      <c r="HR2" s="419"/>
      <c r="HS2" s="419"/>
      <c r="HT2" s="419"/>
      <c r="HU2" s="419"/>
      <c r="HV2" s="419"/>
      <c r="HW2" s="419"/>
      <c r="HX2" s="419"/>
      <c r="HY2" s="419"/>
      <c r="HZ2" s="419"/>
      <c r="IA2" s="419"/>
      <c r="IB2" s="419"/>
      <c r="IC2" s="419"/>
      <c r="ID2" s="419"/>
      <c r="IE2" s="419"/>
      <c r="IF2" s="419"/>
      <c r="IG2" s="419"/>
      <c r="IH2" s="419"/>
      <c r="II2" s="419"/>
      <c r="IJ2" s="419"/>
      <c r="IK2" s="419"/>
      <c r="IL2" s="419"/>
      <c r="IM2" s="419"/>
      <c r="IN2" s="419"/>
      <c r="IO2" s="419"/>
      <c r="IP2" s="419"/>
      <c r="IQ2" s="419"/>
      <c r="IR2" s="419"/>
      <c r="IS2" s="419"/>
      <c r="IT2" s="419"/>
      <c r="IU2" s="419"/>
      <c r="IV2" s="419"/>
      <c r="IW2" s="419"/>
    </row>
    <row r="3" customFormat="false" ht="15.75" hidden="false" customHeight="false" outlineLevel="0" collapsed="false">
      <c r="A3" s="420" t="str">
        <f aca="false">Assm!A3</f>
        <v>ENRON INTERNATIONAL</v>
      </c>
      <c r="B3" s="420"/>
      <c r="C3" s="15"/>
      <c r="D3" s="67"/>
      <c r="E3" s="415"/>
      <c r="F3" s="421"/>
      <c r="G3" s="415"/>
      <c r="H3" s="416"/>
      <c r="I3" s="415"/>
      <c r="J3" s="415"/>
      <c r="K3" s="417"/>
      <c r="L3" s="415"/>
      <c r="M3" s="415"/>
      <c r="N3" s="415"/>
      <c r="O3" s="415"/>
      <c r="P3" s="415"/>
      <c r="Q3" s="415"/>
      <c r="R3" s="415"/>
      <c r="S3" s="415"/>
      <c r="T3" s="422"/>
      <c r="U3" s="422"/>
      <c r="V3" s="415"/>
      <c r="W3" s="415"/>
      <c r="X3" s="415"/>
      <c r="Y3" s="415"/>
      <c r="Z3" s="415"/>
      <c r="AA3" s="116"/>
      <c r="AB3" s="67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  <c r="IO3" s="419"/>
      <c r="IP3" s="419"/>
      <c r="IQ3" s="419"/>
      <c r="IR3" s="419"/>
      <c r="IS3" s="419"/>
      <c r="IT3" s="419"/>
      <c r="IU3" s="419"/>
      <c r="IV3" s="419"/>
      <c r="IW3" s="419"/>
    </row>
    <row r="4" customFormat="false" ht="15.75" hidden="false" customHeight="false" outlineLevel="0" collapsed="false">
      <c r="A4" s="21" t="s">
        <v>608</v>
      </c>
      <c r="B4" s="21"/>
      <c r="C4" s="15"/>
      <c r="D4" s="67"/>
      <c r="E4" s="415"/>
      <c r="F4" s="421"/>
      <c r="G4" s="415"/>
      <c r="H4" s="416"/>
      <c r="I4" s="415"/>
      <c r="J4" s="415"/>
      <c r="K4" s="417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116"/>
      <c r="AB4" s="67"/>
      <c r="AC4" s="419"/>
      <c r="AD4" s="419"/>
      <c r="AE4" s="419"/>
      <c r="AF4" s="419"/>
      <c r="AG4" s="419"/>
      <c r="AH4" s="419"/>
      <c r="AI4" s="419"/>
      <c r="AJ4" s="419"/>
      <c r="AK4" s="419"/>
      <c r="AL4" s="419"/>
      <c r="AM4" s="419"/>
      <c r="AN4" s="419"/>
      <c r="AO4" s="419"/>
      <c r="AP4" s="419"/>
      <c r="AQ4" s="419"/>
      <c r="AR4" s="419"/>
      <c r="AS4" s="419"/>
      <c r="AT4" s="419"/>
      <c r="AU4" s="419"/>
      <c r="AV4" s="419"/>
      <c r="AW4" s="419"/>
      <c r="AX4" s="419"/>
      <c r="AY4" s="419"/>
      <c r="AZ4" s="419"/>
      <c r="BA4" s="419"/>
      <c r="BB4" s="419"/>
      <c r="BC4" s="419"/>
      <c r="BD4" s="419"/>
      <c r="BE4" s="419"/>
      <c r="BF4" s="419"/>
      <c r="BG4" s="419"/>
      <c r="BH4" s="419"/>
      <c r="BI4" s="419"/>
      <c r="BJ4" s="419"/>
      <c r="BK4" s="419"/>
      <c r="BL4" s="419"/>
      <c r="BM4" s="419"/>
      <c r="BN4" s="419"/>
      <c r="BO4" s="419"/>
      <c r="BP4" s="419"/>
      <c r="BQ4" s="419"/>
      <c r="BR4" s="419"/>
      <c r="BS4" s="419"/>
      <c r="BT4" s="419"/>
      <c r="BU4" s="419"/>
      <c r="BV4" s="419"/>
      <c r="BW4" s="419"/>
      <c r="BX4" s="419"/>
      <c r="BY4" s="419"/>
      <c r="BZ4" s="419"/>
      <c r="CA4" s="419"/>
      <c r="CB4" s="419"/>
      <c r="CC4" s="419"/>
      <c r="CD4" s="419"/>
      <c r="CE4" s="419"/>
      <c r="CF4" s="419"/>
      <c r="CG4" s="419"/>
      <c r="CH4" s="419"/>
      <c r="CI4" s="419"/>
      <c r="CJ4" s="419"/>
      <c r="CK4" s="419"/>
      <c r="CL4" s="419"/>
      <c r="CM4" s="419"/>
      <c r="CN4" s="419"/>
      <c r="CO4" s="419"/>
      <c r="CP4" s="419"/>
      <c r="CQ4" s="419"/>
      <c r="CR4" s="419"/>
      <c r="CS4" s="419"/>
      <c r="CT4" s="419"/>
      <c r="CU4" s="419"/>
      <c r="CV4" s="419"/>
      <c r="CW4" s="419"/>
      <c r="CX4" s="419"/>
      <c r="CY4" s="419"/>
      <c r="CZ4" s="419"/>
      <c r="DA4" s="419"/>
      <c r="DB4" s="419"/>
      <c r="DC4" s="419"/>
      <c r="DD4" s="419"/>
      <c r="DE4" s="419"/>
      <c r="DF4" s="419"/>
      <c r="DG4" s="419"/>
      <c r="DH4" s="419"/>
      <c r="DI4" s="419"/>
      <c r="DJ4" s="419"/>
      <c r="DK4" s="419"/>
      <c r="DL4" s="419"/>
      <c r="DM4" s="419"/>
      <c r="DN4" s="419"/>
      <c r="DO4" s="419"/>
      <c r="DP4" s="419"/>
      <c r="DQ4" s="419"/>
      <c r="DR4" s="419"/>
      <c r="DS4" s="419"/>
      <c r="DT4" s="419"/>
      <c r="DU4" s="419"/>
      <c r="DV4" s="419"/>
      <c r="DW4" s="419"/>
      <c r="DX4" s="419"/>
      <c r="DY4" s="419"/>
      <c r="DZ4" s="419"/>
      <c r="EA4" s="419"/>
      <c r="EB4" s="419"/>
      <c r="EC4" s="419"/>
      <c r="ED4" s="419"/>
      <c r="EE4" s="419"/>
      <c r="EF4" s="419"/>
      <c r="EG4" s="419"/>
      <c r="EH4" s="419"/>
      <c r="EI4" s="419"/>
      <c r="EJ4" s="419"/>
      <c r="EK4" s="419"/>
      <c r="EL4" s="419"/>
      <c r="EM4" s="419"/>
      <c r="EN4" s="419"/>
      <c r="EO4" s="419"/>
      <c r="EP4" s="419"/>
      <c r="EQ4" s="419"/>
      <c r="ER4" s="419"/>
      <c r="ES4" s="419"/>
      <c r="ET4" s="419"/>
      <c r="EU4" s="419"/>
      <c r="EV4" s="419"/>
      <c r="EW4" s="419"/>
      <c r="EX4" s="419"/>
      <c r="EY4" s="419"/>
      <c r="EZ4" s="419"/>
      <c r="FA4" s="419"/>
      <c r="FB4" s="419"/>
      <c r="FC4" s="419"/>
      <c r="FD4" s="419"/>
      <c r="FE4" s="419"/>
      <c r="FF4" s="419"/>
      <c r="FG4" s="419"/>
      <c r="FH4" s="419"/>
      <c r="FI4" s="419"/>
      <c r="FJ4" s="419"/>
      <c r="FK4" s="419"/>
      <c r="FL4" s="419"/>
      <c r="FM4" s="419"/>
      <c r="FN4" s="419"/>
      <c r="FO4" s="419"/>
      <c r="FP4" s="419"/>
      <c r="FQ4" s="419"/>
      <c r="FR4" s="419"/>
      <c r="FS4" s="419"/>
      <c r="FT4" s="419"/>
      <c r="FU4" s="419"/>
      <c r="FV4" s="419"/>
      <c r="FW4" s="419"/>
      <c r="FX4" s="419"/>
      <c r="FY4" s="419"/>
      <c r="FZ4" s="419"/>
      <c r="GA4" s="419"/>
      <c r="GB4" s="419"/>
      <c r="GC4" s="419"/>
      <c r="GD4" s="419"/>
      <c r="GE4" s="419"/>
      <c r="GF4" s="419"/>
      <c r="GG4" s="419"/>
      <c r="GH4" s="419"/>
      <c r="GI4" s="419"/>
      <c r="GJ4" s="419"/>
      <c r="GK4" s="419"/>
      <c r="GL4" s="419"/>
      <c r="GM4" s="419"/>
      <c r="GN4" s="419"/>
      <c r="GO4" s="419"/>
      <c r="GP4" s="419"/>
      <c r="GQ4" s="419"/>
      <c r="GR4" s="419"/>
      <c r="GS4" s="419"/>
      <c r="GT4" s="419"/>
      <c r="GU4" s="419"/>
      <c r="GV4" s="419"/>
      <c r="GW4" s="419"/>
      <c r="GX4" s="419"/>
      <c r="GY4" s="419"/>
      <c r="GZ4" s="419"/>
      <c r="HA4" s="419"/>
      <c r="HB4" s="419"/>
      <c r="HC4" s="419"/>
      <c r="HD4" s="419"/>
      <c r="HE4" s="419"/>
      <c r="HF4" s="419"/>
      <c r="HG4" s="419"/>
      <c r="HH4" s="419"/>
      <c r="HI4" s="419"/>
      <c r="HJ4" s="419"/>
      <c r="HK4" s="419"/>
      <c r="HL4" s="419"/>
      <c r="HM4" s="419"/>
      <c r="HN4" s="419"/>
      <c r="HO4" s="419"/>
      <c r="HP4" s="419"/>
      <c r="HQ4" s="419"/>
      <c r="HR4" s="419"/>
      <c r="HS4" s="419"/>
      <c r="HT4" s="419"/>
      <c r="HU4" s="419"/>
      <c r="HV4" s="419"/>
      <c r="HW4" s="419"/>
      <c r="HX4" s="419"/>
      <c r="HY4" s="419"/>
      <c r="HZ4" s="419"/>
      <c r="IA4" s="419"/>
      <c r="IB4" s="419"/>
      <c r="IC4" s="419"/>
      <c r="ID4" s="419"/>
      <c r="IE4" s="419"/>
      <c r="IF4" s="419"/>
      <c r="IG4" s="419"/>
      <c r="IH4" s="419"/>
      <c r="II4" s="419"/>
      <c r="IJ4" s="419"/>
      <c r="IK4" s="419"/>
      <c r="IL4" s="419"/>
      <c r="IM4" s="419"/>
      <c r="IN4" s="419"/>
      <c r="IO4" s="419"/>
      <c r="IP4" s="419"/>
      <c r="IQ4" s="419"/>
      <c r="IR4" s="419"/>
      <c r="IS4" s="419"/>
      <c r="IT4" s="419"/>
      <c r="IU4" s="419"/>
      <c r="IV4" s="419"/>
      <c r="IW4" s="419"/>
    </row>
    <row r="5" customFormat="false" ht="13.5" hidden="false" customHeight="false" outlineLevel="0" collapsed="false">
      <c r="A5" s="67"/>
      <c r="B5" s="67"/>
      <c r="C5" s="67"/>
      <c r="D5" s="67"/>
      <c r="E5" s="116"/>
      <c r="F5" s="116"/>
      <c r="G5" s="116"/>
      <c r="H5" s="116"/>
      <c r="I5" s="116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116"/>
      <c r="AB5" s="67"/>
      <c r="AC5" s="419"/>
      <c r="AD5" s="419"/>
      <c r="AE5" s="419"/>
      <c r="AF5" s="419"/>
      <c r="AG5" s="419"/>
      <c r="AH5" s="419"/>
      <c r="AI5" s="419"/>
      <c r="AJ5" s="419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419"/>
      <c r="BK5" s="419"/>
      <c r="BL5" s="419"/>
      <c r="BM5" s="419"/>
      <c r="BN5" s="419"/>
      <c r="BO5" s="419"/>
      <c r="BP5" s="419"/>
      <c r="BQ5" s="419"/>
      <c r="BR5" s="419"/>
      <c r="BS5" s="419"/>
      <c r="BT5" s="419"/>
      <c r="BU5" s="419"/>
      <c r="BV5" s="419"/>
      <c r="BW5" s="419"/>
      <c r="BX5" s="419"/>
      <c r="BY5" s="419"/>
      <c r="BZ5" s="419"/>
      <c r="CA5" s="419"/>
      <c r="CB5" s="419"/>
      <c r="CC5" s="419"/>
      <c r="CD5" s="419"/>
      <c r="CE5" s="419"/>
      <c r="CF5" s="419"/>
      <c r="CG5" s="419"/>
      <c r="CH5" s="419"/>
      <c r="CI5" s="419"/>
      <c r="CJ5" s="419"/>
      <c r="CK5" s="419"/>
      <c r="CL5" s="419"/>
      <c r="CM5" s="419"/>
      <c r="CN5" s="419"/>
      <c r="CO5" s="419"/>
      <c r="CP5" s="419"/>
      <c r="CQ5" s="419"/>
      <c r="CR5" s="419"/>
      <c r="CS5" s="419"/>
      <c r="CT5" s="419"/>
      <c r="CU5" s="419"/>
      <c r="CV5" s="419"/>
      <c r="CW5" s="419"/>
      <c r="CX5" s="419"/>
      <c r="CY5" s="419"/>
      <c r="CZ5" s="419"/>
      <c r="DA5" s="419"/>
      <c r="DB5" s="419"/>
      <c r="DC5" s="419"/>
      <c r="DD5" s="419"/>
      <c r="DE5" s="419"/>
      <c r="DF5" s="419"/>
      <c r="DG5" s="419"/>
      <c r="DH5" s="419"/>
      <c r="DI5" s="419"/>
      <c r="DJ5" s="419"/>
      <c r="DK5" s="419"/>
      <c r="DL5" s="419"/>
      <c r="DM5" s="419"/>
      <c r="DN5" s="419"/>
      <c r="DO5" s="419"/>
      <c r="DP5" s="419"/>
      <c r="DQ5" s="419"/>
      <c r="DR5" s="419"/>
      <c r="DS5" s="419"/>
      <c r="DT5" s="419"/>
      <c r="DU5" s="419"/>
      <c r="DV5" s="419"/>
      <c r="DW5" s="419"/>
      <c r="DX5" s="419"/>
      <c r="DY5" s="419"/>
      <c r="DZ5" s="419"/>
      <c r="EA5" s="419"/>
      <c r="EB5" s="419"/>
      <c r="EC5" s="419"/>
      <c r="ED5" s="419"/>
      <c r="EE5" s="419"/>
      <c r="EF5" s="419"/>
      <c r="EG5" s="419"/>
      <c r="EH5" s="419"/>
      <c r="EI5" s="419"/>
      <c r="EJ5" s="419"/>
      <c r="EK5" s="419"/>
      <c r="EL5" s="419"/>
      <c r="EM5" s="419"/>
      <c r="EN5" s="419"/>
      <c r="EO5" s="419"/>
      <c r="EP5" s="419"/>
      <c r="EQ5" s="419"/>
      <c r="ER5" s="419"/>
      <c r="ES5" s="419"/>
      <c r="ET5" s="419"/>
      <c r="EU5" s="419"/>
      <c r="EV5" s="419"/>
      <c r="EW5" s="419"/>
      <c r="EX5" s="419"/>
      <c r="EY5" s="419"/>
      <c r="EZ5" s="419"/>
      <c r="FA5" s="419"/>
      <c r="FB5" s="419"/>
      <c r="FC5" s="419"/>
      <c r="FD5" s="419"/>
      <c r="FE5" s="419"/>
      <c r="FF5" s="419"/>
      <c r="FG5" s="419"/>
      <c r="FH5" s="419"/>
      <c r="FI5" s="419"/>
      <c r="FJ5" s="419"/>
      <c r="FK5" s="419"/>
      <c r="FL5" s="419"/>
      <c r="FM5" s="419"/>
      <c r="FN5" s="419"/>
      <c r="FO5" s="419"/>
      <c r="FP5" s="419"/>
      <c r="FQ5" s="419"/>
      <c r="FR5" s="419"/>
      <c r="FS5" s="419"/>
      <c r="FT5" s="419"/>
      <c r="FU5" s="419"/>
      <c r="FV5" s="419"/>
      <c r="FW5" s="419"/>
      <c r="FX5" s="419"/>
      <c r="FY5" s="419"/>
      <c r="FZ5" s="419"/>
      <c r="GA5" s="419"/>
      <c r="GB5" s="419"/>
      <c r="GC5" s="419"/>
      <c r="GD5" s="419"/>
      <c r="GE5" s="419"/>
      <c r="GF5" s="419"/>
      <c r="GG5" s="419"/>
      <c r="GH5" s="419"/>
      <c r="GI5" s="419"/>
      <c r="GJ5" s="419"/>
      <c r="GK5" s="419"/>
      <c r="GL5" s="419"/>
      <c r="GM5" s="419"/>
      <c r="GN5" s="419"/>
      <c r="GO5" s="419"/>
      <c r="GP5" s="419"/>
      <c r="GQ5" s="419"/>
      <c r="GR5" s="419"/>
      <c r="GS5" s="419"/>
      <c r="GT5" s="419"/>
      <c r="GU5" s="419"/>
      <c r="GV5" s="419"/>
      <c r="GW5" s="419"/>
      <c r="GX5" s="419"/>
      <c r="GY5" s="419"/>
      <c r="GZ5" s="419"/>
      <c r="HA5" s="419"/>
      <c r="HB5" s="419"/>
      <c r="HC5" s="419"/>
      <c r="HD5" s="419"/>
      <c r="HE5" s="419"/>
      <c r="HF5" s="419"/>
      <c r="HG5" s="419"/>
      <c r="HH5" s="419"/>
      <c r="HI5" s="419"/>
      <c r="HJ5" s="419"/>
      <c r="HK5" s="419"/>
      <c r="HL5" s="419"/>
      <c r="HM5" s="419"/>
      <c r="HN5" s="419"/>
      <c r="HO5" s="419"/>
      <c r="HP5" s="419"/>
      <c r="HQ5" s="419"/>
      <c r="HR5" s="419"/>
      <c r="HS5" s="419"/>
      <c r="HT5" s="419"/>
      <c r="HU5" s="419"/>
      <c r="HV5" s="419"/>
      <c r="HW5" s="419"/>
      <c r="HX5" s="419"/>
      <c r="HY5" s="419"/>
      <c r="HZ5" s="419"/>
      <c r="IA5" s="419"/>
      <c r="IB5" s="419"/>
      <c r="IC5" s="419"/>
      <c r="ID5" s="419"/>
      <c r="IE5" s="419"/>
      <c r="IF5" s="419"/>
      <c r="IG5" s="419"/>
      <c r="IH5" s="419"/>
      <c r="II5" s="419"/>
      <c r="IJ5" s="419"/>
      <c r="IK5" s="419"/>
      <c r="IL5" s="419"/>
      <c r="IM5" s="419"/>
      <c r="IN5" s="419"/>
      <c r="IO5" s="419"/>
      <c r="IP5" s="419"/>
      <c r="IQ5" s="419"/>
      <c r="IR5" s="419"/>
      <c r="IS5" s="419"/>
      <c r="IT5" s="419"/>
      <c r="IU5" s="419"/>
      <c r="IV5" s="419"/>
      <c r="IW5" s="419"/>
    </row>
    <row r="6" customFormat="false" ht="12.75" hidden="false" customHeight="false" outlineLevel="0" collapsed="false">
      <c r="A6" s="285" t="s">
        <v>609</v>
      </c>
      <c r="B6" s="26"/>
      <c r="C6" s="26"/>
      <c r="D6" s="26"/>
      <c r="E6" s="577" t="n">
        <f aca="false">Returns!E6</f>
        <v>0</v>
      </c>
      <c r="F6" s="577" t="n">
        <f aca="false">Returns!F6</f>
        <v>0</v>
      </c>
      <c r="G6" s="577" t="n">
        <f aca="false">Returns!G6</f>
        <v>0</v>
      </c>
      <c r="H6" s="577" t="n">
        <f aca="false">Returns!H6</f>
        <v>1</v>
      </c>
      <c r="I6" s="577" t="n">
        <f aca="false">Returns!I6</f>
        <v>2</v>
      </c>
      <c r="J6" s="577" t="n">
        <f aca="false">Returns!J6</f>
        <v>3</v>
      </c>
      <c r="K6" s="577" t="n">
        <f aca="false">Returns!K6</f>
        <v>4</v>
      </c>
      <c r="L6" s="577" t="n">
        <f aca="false">Returns!L6</f>
        <v>5</v>
      </c>
      <c r="M6" s="577" t="n">
        <f aca="false">Returns!M6</f>
        <v>6</v>
      </c>
      <c r="N6" s="577" t="n">
        <f aca="false">Returns!N6</f>
        <v>7</v>
      </c>
      <c r="O6" s="577" t="n">
        <f aca="false">Returns!O6</f>
        <v>8</v>
      </c>
      <c r="P6" s="577" t="n">
        <f aca="false">Returns!P6</f>
        <v>9</v>
      </c>
      <c r="Q6" s="577" t="n">
        <f aca="false">Returns!Q6</f>
        <v>10</v>
      </c>
      <c r="R6" s="577" t="n">
        <f aca="false">Returns!R6</f>
        <v>11</v>
      </c>
      <c r="S6" s="577" t="n">
        <f aca="false">Returns!S6</f>
        <v>12</v>
      </c>
      <c r="T6" s="577" t="n">
        <f aca="false">Returns!T6</f>
        <v>13</v>
      </c>
      <c r="U6" s="577" t="n">
        <f aca="false">Returns!U6</f>
        <v>14</v>
      </c>
      <c r="V6" s="577" t="n">
        <f aca="false">Returns!V6</f>
        <v>15</v>
      </c>
      <c r="W6" s="577" t="n">
        <f aca="false">Returns!W6</f>
        <v>16</v>
      </c>
      <c r="X6" s="577" t="n">
        <f aca="false">Returns!X6</f>
        <v>17</v>
      </c>
      <c r="Y6" s="577" t="n">
        <f aca="false">Returns!Y6</f>
        <v>18</v>
      </c>
      <c r="Z6" s="577" t="n">
        <f aca="false">Returns!Z6</f>
        <v>19</v>
      </c>
      <c r="AA6" s="578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13.5" hidden="false" customHeight="false" outlineLevel="0" collapsed="false">
      <c r="A7" s="179" t="s">
        <v>315</v>
      </c>
      <c r="B7" s="22"/>
      <c r="C7" s="22"/>
      <c r="D7" s="22"/>
      <c r="E7" s="579" t="n">
        <f aca="false">Returns!E7</f>
        <v>1998</v>
      </c>
      <c r="F7" s="579" t="n">
        <f aca="false">Returns!F7</f>
        <v>1999</v>
      </c>
      <c r="G7" s="579" t="n">
        <f aca="false">Returns!G7</f>
        <v>2000</v>
      </c>
      <c r="H7" s="579" t="n">
        <f aca="false">Returns!H7</f>
        <v>2001</v>
      </c>
      <c r="I7" s="579" t="n">
        <f aca="false">Returns!I7</f>
        <v>2002</v>
      </c>
      <c r="J7" s="579" t="n">
        <f aca="false">Returns!J7</f>
        <v>2003</v>
      </c>
      <c r="K7" s="579" t="n">
        <f aca="false">Returns!K7</f>
        <v>2004</v>
      </c>
      <c r="L7" s="579" t="n">
        <f aca="false">Returns!L7</f>
        <v>2005</v>
      </c>
      <c r="M7" s="579" t="n">
        <f aca="false">Returns!M7</f>
        <v>2006</v>
      </c>
      <c r="N7" s="579" t="n">
        <f aca="false">Returns!N7</f>
        <v>2007</v>
      </c>
      <c r="O7" s="579" t="n">
        <f aca="false">Returns!O7</f>
        <v>2008</v>
      </c>
      <c r="P7" s="579" t="n">
        <f aca="false">Returns!P7</f>
        <v>2009</v>
      </c>
      <c r="Q7" s="579" t="n">
        <f aca="false">Returns!Q7</f>
        <v>2010</v>
      </c>
      <c r="R7" s="579" t="n">
        <f aca="false">Returns!R7</f>
        <v>2011</v>
      </c>
      <c r="S7" s="579" t="n">
        <f aca="false">Returns!S7</f>
        <v>2012</v>
      </c>
      <c r="T7" s="579" t="n">
        <f aca="false">Returns!T7</f>
        <v>2013</v>
      </c>
      <c r="U7" s="579" t="n">
        <f aca="false">Returns!U7</f>
        <v>2014</v>
      </c>
      <c r="V7" s="579" t="n">
        <f aca="false">Returns!V7</f>
        <v>2015</v>
      </c>
      <c r="W7" s="579" t="n">
        <f aca="false">Returns!W7</f>
        <v>2016</v>
      </c>
      <c r="X7" s="579" t="n">
        <f aca="false">Returns!X7</f>
        <v>2017</v>
      </c>
      <c r="Y7" s="579" t="n">
        <f aca="false">Returns!Y7</f>
        <v>2018</v>
      </c>
      <c r="Z7" s="579" t="n">
        <f aca="false">Returns!Z7</f>
        <v>2019</v>
      </c>
      <c r="AA7" s="294" t="str">
        <f aca="false">Returns!AA7</f>
        <v>Totals</v>
      </c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12.75" hidden="false" customHeight="false" outlineLevel="0" collapsed="false">
      <c r="A8" s="580"/>
      <c r="C8" s="39"/>
      <c r="D8" s="39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  <c r="P8" s="581"/>
      <c r="Q8" s="581"/>
      <c r="R8" s="581"/>
      <c r="S8" s="581"/>
      <c r="T8" s="581"/>
      <c r="U8" s="581"/>
      <c r="V8" s="581"/>
      <c r="W8" s="581"/>
      <c r="X8" s="581"/>
      <c r="Y8" s="581"/>
      <c r="Z8" s="581"/>
      <c r="AA8" s="582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12.75" hidden="false" customHeight="false" outlineLevel="0" collapsed="false">
      <c r="A9" s="37" t="s">
        <v>610</v>
      </c>
      <c r="C9" s="39"/>
      <c r="D9" s="39"/>
      <c r="E9" s="47" t="n">
        <f aca="false">IF(E$7&lt;YEAR(Startops1),0,HLOOKUP(E$7,CF_Table,CF!$AB$9))</f>
        <v>0</v>
      </c>
      <c r="F9" s="47" t="n">
        <f aca="false">IF(F$7&lt;YEAR(Startops1),0,HLOOKUP(F$7,CF_Table,CF!$AB$9))</f>
        <v>0</v>
      </c>
      <c r="G9" s="47" t="n">
        <f aca="false">IF(G$7&lt;YEAR(Startops1),0,HLOOKUP(G$7,CF_Table,CF!$AB$9))</f>
        <v>0</v>
      </c>
      <c r="H9" s="47" t="n">
        <f aca="false">IF(H$7&lt;YEAR(Startops1),0,HLOOKUP(H$7,CF_Table,CF!$AB$9))</f>
        <v>10</v>
      </c>
      <c r="I9" s="47" t="n">
        <f aca="false">IF(I$7&lt;YEAR(Startops1),0,HLOOKUP(I$7,CF_Table,CF!$AB$9))</f>
        <v>12</v>
      </c>
      <c r="J9" s="47" t="n">
        <f aca="false">IF(J$7&lt;YEAR(Startops1),0,HLOOKUP(J$7,CF_Table,CF!$AB$9))</f>
        <v>12</v>
      </c>
      <c r="K9" s="47" t="n">
        <f aca="false">IF(K$7&lt;YEAR(Startops1),0,HLOOKUP(K$7,CF_Table,CF!$AB$9))</f>
        <v>12</v>
      </c>
      <c r="L9" s="47" t="n">
        <f aca="false">IF(L$7&lt;YEAR(Startops1),0,HLOOKUP(L$7,CF_Table,CF!$AB$9))</f>
        <v>12</v>
      </c>
      <c r="M9" s="47" t="n">
        <f aca="false">IF(M$7&lt;YEAR(Startops1),0,HLOOKUP(M$7,CF_Table,CF!$AB$9))</f>
        <v>12</v>
      </c>
      <c r="N9" s="47" t="n">
        <f aca="false">IF(N$7&lt;YEAR(Startops1),0,HLOOKUP(N$7,CF_Table,CF!$AB$9))</f>
        <v>12</v>
      </c>
      <c r="O9" s="47" t="n">
        <f aca="false">IF(O$7&lt;YEAR(Startops1),0,HLOOKUP(O$7,CF_Table,CF!$AB$9))</f>
        <v>12</v>
      </c>
      <c r="P9" s="47" t="n">
        <f aca="false">IF(P$7&lt;YEAR(Startops1),0,HLOOKUP(P$7,CF_Table,CF!$AB$9))</f>
        <v>12</v>
      </c>
      <c r="Q9" s="47" t="n">
        <f aca="false">IF(Q$7&lt;YEAR(Startops1),0,HLOOKUP(Q$7,CF_Table,CF!$AB$9))</f>
        <v>12</v>
      </c>
      <c r="R9" s="47" t="n">
        <f aca="false">IF(R$7&lt;YEAR(Startops1),0,HLOOKUP(R$7,CF_Table,CF!$AB$9))</f>
        <v>12</v>
      </c>
      <c r="S9" s="47" t="n">
        <f aca="false">IF(S$7&lt;YEAR(Startops1),0,HLOOKUP(S$7,CF_Table,CF!$AB$9))</f>
        <v>12</v>
      </c>
      <c r="T9" s="47" t="n">
        <f aca="false">IF(T$7&lt;YEAR(Startops1),0,HLOOKUP(T$7,CF_Table,CF!$AB$9))</f>
        <v>12</v>
      </c>
      <c r="U9" s="47" t="n">
        <f aca="false">IF(U$7&lt;YEAR(Startops1),0,HLOOKUP(U$7,CF_Table,CF!$AB$9))</f>
        <v>12</v>
      </c>
      <c r="V9" s="47" t="n">
        <f aca="false">IF(V$7&lt;YEAR(Startops1),0,HLOOKUP(V$7,CF_Table,CF!$AB$9))</f>
        <v>12</v>
      </c>
      <c r="W9" s="47" t="n">
        <f aca="false">IF(W$7&lt;YEAR(Startops1),0,HLOOKUP(W$7,CF_Table,CF!$AB$9))</f>
        <v>12</v>
      </c>
      <c r="X9" s="47" t="n">
        <f aca="false">IF(X$7&lt;YEAR(Startops1),0,HLOOKUP(X$7,CF_Table,CF!$AB$9))</f>
        <v>12</v>
      </c>
      <c r="Y9" s="47" t="n">
        <f aca="false">IF(Y$7&lt;YEAR(Startops1),0,HLOOKUP(Y$7,CF_Table,CF!$AB$9))</f>
        <v>12</v>
      </c>
      <c r="Z9" s="47" t="n">
        <f aca="false">IF(Z$7&lt;YEAR(Startops1),0,HLOOKUP(Z$7,CF_Table,CF!$AB$9))</f>
        <v>4</v>
      </c>
      <c r="AA9" s="583" t="n">
        <f aca="false">SUM(E9:Z9)</f>
        <v>218</v>
      </c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12.75" hidden="false" customHeight="false" outlineLevel="0" collapsed="false">
      <c r="A10" s="37"/>
      <c r="C10" s="39"/>
      <c r="D10" s="39"/>
      <c r="E10" s="47"/>
      <c r="F10" s="47"/>
      <c r="G10" s="47"/>
      <c r="H10" s="584"/>
      <c r="I10" s="584"/>
      <c r="J10" s="584"/>
      <c r="K10" s="584"/>
      <c r="L10" s="584"/>
      <c r="M10" s="584"/>
      <c r="N10" s="584"/>
      <c r="O10" s="584"/>
      <c r="P10" s="584"/>
      <c r="Q10" s="584"/>
      <c r="R10" s="584"/>
      <c r="S10" s="584"/>
      <c r="T10" s="584"/>
      <c r="U10" s="584"/>
      <c r="V10" s="584"/>
      <c r="W10" s="584"/>
      <c r="X10" s="584"/>
      <c r="Y10" s="584"/>
      <c r="Z10" s="584"/>
      <c r="AA10" s="585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12.75" hidden="false" customHeight="false" outlineLevel="0" collapsed="false">
      <c r="A11" s="97" t="s">
        <v>611</v>
      </c>
      <c r="C11" s="39"/>
      <c r="D11" s="39"/>
      <c r="E11" s="47"/>
      <c r="F11" s="47"/>
      <c r="G11" s="47"/>
      <c r="H11" s="584"/>
      <c r="I11" s="584"/>
      <c r="J11" s="584"/>
      <c r="K11" s="584"/>
      <c r="L11" s="584"/>
      <c r="M11" s="584"/>
      <c r="N11" s="584"/>
      <c r="O11" s="584"/>
      <c r="P11" s="584"/>
      <c r="Q11" s="584"/>
      <c r="R11" s="584"/>
      <c r="S11" s="584"/>
      <c r="T11" s="584"/>
      <c r="U11" s="584"/>
      <c r="V11" s="584"/>
      <c r="W11" s="584"/>
      <c r="X11" s="584"/>
      <c r="Y11" s="584"/>
      <c r="Z11" s="584"/>
      <c r="AA11" s="585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12.75" hidden="false" customHeight="false" outlineLevel="0" collapsed="false">
      <c r="A12" s="37" t="s">
        <v>612</v>
      </c>
      <c r="C12" s="39"/>
      <c r="D12" s="39"/>
      <c r="E12" s="176" t="n">
        <f aca="false">IF(E$7&lt;YEAR(Startops1),0,HLOOKUP(E$7,CF_Table,CF!$AB$46))</f>
        <v>0</v>
      </c>
      <c r="F12" s="176" t="n">
        <f aca="false">IF(F$7&lt;YEAR(Startops1),0,HLOOKUP(F$7,CF_Table,CF!$AB$46))</f>
        <v>0</v>
      </c>
      <c r="G12" s="176" t="n">
        <f aca="false">IF(G$7&lt;YEAR(Startops1),0,HLOOKUP(G$7,CF_Table,CF!$AB$46))</f>
        <v>0</v>
      </c>
      <c r="H12" s="176" t="n">
        <f aca="false">IF(H$7&lt;YEAR(Startops1),0,HLOOKUP(H$7,CF_Table,CF!$AB$46))</f>
        <v>8604.19629805644</v>
      </c>
      <c r="I12" s="176" t="n">
        <f aca="false">IF(I$7&lt;YEAR(Startops1),0,HLOOKUP(I$7,CF_Table,CF!$AB$46))</f>
        <v>14220.938045162</v>
      </c>
      <c r="J12" s="176" t="n">
        <f aca="false">IF(J$7&lt;YEAR(Startops1),0,HLOOKUP(J$7,CF_Table,CF!$AB$46))</f>
        <v>13565.6409996427</v>
      </c>
      <c r="K12" s="176" t="n">
        <f aca="false">IF(K$7&lt;YEAR(Startops1),0,HLOOKUP(K$7,CF_Table,CF!$AB$46))</f>
        <v>19099.4312530243</v>
      </c>
      <c r="L12" s="176" t="n">
        <f aca="false">IF(L$7&lt;YEAR(Startops1),0,HLOOKUP(L$7,CF_Table,CF!$AB$46))</f>
        <v>19379.6148479407</v>
      </c>
      <c r="M12" s="176" t="n">
        <f aca="false">IF(M$7&lt;YEAR(Startops1),0,HLOOKUP(M$7,CF_Table,CF!$AB$46))</f>
        <v>23437.1491854552</v>
      </c>
      <c r="N12" s="176" t="n">
        <f aca="false">IF(N$7&lt;YEAR(Startops1),0,HLOOKUP(N$7,CF_Table,CF!$AB$46))</f>
        <v>24344.7076671009</v>
      </c>
      <c r="O12" s="176" t="n">
        <f aca="false">IF(O$7&lt;YEAR(Startops1),0,HLOOKUP(O$7,CF_Table,CF!$AB$46))</f>
        <v>24485.4880924593</v>
      </c>
      <c r="P12" s="176" t="n">
        <f aca="false">IF(P$7&lt;YEAR(Startops1),0,HLOOKUP(P$7,CF_Table,CF!$AB$46))</f>
        <v>25830.1534150317</v>
      </c>
      <c r="Q12" s="176" t="n">
        <f aca="false">IF(Q$7&lt;YEAR(Startops1),0,HLOOKUP(Q$7,CF_Table,CF!$AB$46))</f>
        <v>26597.1556216309</v>
      </c>
      <c r="R12" s="176" t="n">
        <f aca="false">IF(R$7&lt;YEAR(Startops1),0,HLOOKUP(R$7,CF_Table,CF!$AB$46))</f>
        <v>27679.4585347262</v>
      </c>
      <c r="S12" s="176" t="n">
        <f aca="false">IF(S$7&lt;YEAR(Startops1),0,HLOOKUP(S$7,CF_Table,CF!$AB$46))</f>
        <v>29538.859488661</v>
      </c>
      <c r="T12" s="176" t="n">
        <f aca="false">IF(T$7&lt;YEAR(Startops1),0,HLOOKUP(T$7,CF_Table,CF!$AB$46))</f>
        <v>28010.2309087519</v>
      </c>
      <c r="U12" s="176" t="n">
        <f aca="false">IF(U$7&lt;YEAR(Startops1),0,HLOOKUP(U$7,CF_Table,CF!$AB$46))</f>
        <v>30595.1178173838</v>
      </c>
      <c r="V12" s="176" t="n">
        <f aca="false">IF(V$7&lt;YEAR(Startops1),0,HLOOKUP(V$7,CF_Table,CF!$AB$46))</f>
        <v>31458.5672626128</v>
      </c>
      <c r="W12" s="176" t="n">
        <f aca="false">IF(W$7&lt;YEAR(Startops1),0,HLOOKUP(W$7,CF_Table,CF!$AB$46))</f>
        <v>32306.0828797343</v>
      </c>
      <c r="X12" s="176" t="n">
        <f aca="false">IF(X$7&lt;YEAR(Startops1),0,HLOOKUP(X$7,CF_Table,CF!$AB$46))</f>
        <v>33381.8136103011</v>
      </c>
      <c r="Y12" s="176" t="n">
        <f aca="false">IF(Y$7&lt;YEAR(Startops1),0,HLOOKUP(Y$7,CF_Table,CF!$AB$46))</f>
        <v>34547.7040372276</v>
      </c>
      <c r="Z12" s="176" t="n">
        <f aca="false">IF(Z$7&lt;YEAR(Startops1),0,HLOOKUP(Z$7,CF_Table,CF!$AB$46))</f>
        <v>11528.7919548953</v>
      </c>
      <c r="AA12" s="586" t="n">
        <f aca="false">SUM(E12:Z12)</f>
        <v>458611.101919798</v>
      </c>
      <c r="AB12" s="587" t="str">
        <f aca="false">IF(SUM(AA12-CF!Z46)=0," ","Check")</f>
        <v>Check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2.75" hidden="false" customHeight="false" outlineLevel="0" collapsed="false">
      <c r="A13" s="37" t="s">
        <v>345</v>
      </c>
      <c r="C13" s="39"/>
      <c r="D13" s="39"/>
      <c r="E13" s="176" t="n">
        <f aca="false">IF(E$7&lt;YEAR(Startops1),0,HLOOKUP(E$7,CF_Table,CF!$AB$50))</f>
        <v>0</v>
      </c>
      <c r="F13" s="176" t="n">
        <f aca="false">IF(F$7&lt;YEAR(Startops1),0,HLOOKUP(F$7,CF_Table,CF!$AB$50))</f>
        <v>0</v>
      </c>
      <c r="G13" s="176" t="n">
        <f aca="false">IF(G$7&lt;YEAR(Startops1),0,HLOOKUP(G$7,CF_Table,CF!$AB$50))</f>
        <v>0</v>
      </c>
      <c r="H13" s="176" t="n">
        <f aca="false">IF(H$7&lt;YEAR(Startops1),0,HLOOKUP(H$7,CF_Table,CF!$AB$50))</f>
        <v>-4298.96714648815</v>
      </c>
      <c r="I13" s="176" t="n">
        <f aca="false">IF(I$7&lt;YEAR(Startops1),0,HLOOKUP(I$7,CF_Table,CF!$AB$50))</f>
        <v>-10278.8341320822</v>
      </c>
      <c r="J13" s="176" t="n">
        <f aca="false">IF(J$7&lt;YEAR(Startops1),0,HLOOKUP(J$7,CF_Table,CF!$AB$50))</f>
        <v>-10097.1831177218</v>
      </c>
      <c r="K13" s="176" t="n">
        <f aca="false">IF(K$7&lt;YEAR(Startops1),0,HLOOKUP(K$7,CF_Table,CF!$AB$50))</f>
        <v>-9716.17180091018</v>
      </c>
      <c r="L13" s="176" t="n">
        <f aca="false">IF(L$7&lt;YEAR(Startops1),0,HLOOKUP(L$7,CF_Table,CF!$AB$50))</f>
        <v>-8941.28665758468</v>
      </c>
      <c r="M13" s="176" t="n">
        <f aca="false">IF(M$7&lt;YEAR(Startops1),0,HLOOKUP(M$7,CF_Table,CF!$AB$50))</f>
        <v>-7982.22639204565</v>
      </c>
      <c r="N13" s="176" t="n">
        <f aca="false">IF(N$7&lt;YEAR(Startops1),0,HLOOKUP(N$7,CF_Table,CF!$AB$50))</f>
        <v>-6883.62165293162</v>
      </c>
      <c r="O13" s="176" t="n">
        <f aca="false">IF(O$7&lt;YEAR(Startops1),0,HLOOKUP(O$7,CF_Table,CF!$AB$50))</f>
        <v>-5746.3262094992</v>
      </c>
      <c r="P13" s="176" t="n">
        <f aca="false">IF(P$7&lt;YEAR(Startops1),0,HLOOKUP(P$7,CF_Table,CF!$AB$50))</f>
        <v>-5020.69986001448</v>
      </c>
      <c r="Q13" s="176" t="n">
        <f aca="false">IF(Q$7&lt;YEAR(Startops1),0,HLOOKUP(Q$7,CF_Table,CF!$AB$50))</f>
        <v>-4432.29654184567</v>
      </c>
      <c r="R13" s="176" t="n">
        <f aca="false">IF(R$7&lt;YEAR(Startops1),0,HLOOKUP(R$7,CF_Table,CF!$AB$50))</f>
        <v>-3843.89322367685</v>
      </c>
      <c r="S13" s="176" t="n">
        <f aca="false">IF(S$7&lt;YEAR(Startops1),0,HLOOKUP(S$7,CF_Table,CF!$AB$50))</f>
        <v>-3049.65535853418</v>
      </c>
      <c r="T13" s="176" t="n">
        <f aca="false">IF(T$7&lt;YEAR(Startops1),0,HLOOKUP(T$7,CF_Table,CF!$AB$50))</f>
        <v>-2186.80597773356</v>
      </c>
      <c r="U13" s="176" t="n">
        <f aca="false">IF(U$7&lt;YEAR(Startops1),0,HLOOKUP(U$7,CF_Table,CF!$AB$50))</f>
        <v>-1323.95659693294</v>
      </c>
      <c r="V13" s="176" t="n">
        <f aca="false">IF(V$7&lt;YEAR(Startops1),0,HLOOKUP(V$7,CF_Table,CF!$AB$50))</f>
        <v>-403.071159654731</v>
      </c>
      <c r="W13" s="176" t="n">
        <f aca="false">IF(W$7&lt;YEAR(Startops1),0,HLOOKUP(W$7,CF_Table,CF!$AB$50))</f>
        <v>-0</v>
      </c>
      <c r="X13" s="176" t="n">
        <f aca="false">IF(X$7&lt;YEAR(Startops1),0,HLOOKUP(X$7,CF_Table,CF!$AB$50))</f>
        <v>-0</v>
      </c>
      <c r="Y13" s="176" t="n">
        <f aca="false">IF(Y$7&lt;YEAR(Startops1),0,HLOOKUP(Y$7,CF_Table,CF!$AB$50))</f>
        <v>-0</v>
      </c>
      <c r="Z13" s="176" t="n">
        <f aca="false">IF(Z$7&lt;YEAR(Startops1),0,HLOOKUP(Z$7,CF_Table,CF!$AB$50))</f>
        <v>-0</v>
      </c>
      <c r="AA13" s="586" t="n">
        <f aca="false">SUM(E13:Z13)</f>
        <v>-84204.9958276558</v>
      </c>
      <c r="AB13" s="587" t="str">
        <f aca="false">IF(SUM(AA13+'Debt Amort'!AD12)=0," ","Check")</f>
        <v> </v>
      </c>
    </row>
    <row r="14" customFormat="false" ht="12.75" hidden="false" customHeight="false" outlineLevel="0" collapsed="false">
      <c r="A14" s="37" t="s">
        <v>346</v>
      </c>
      <c r="C14" s="39"/>
      <c r="D14" s="39"/>
      <c r="E14" s="176" t="n">
        <f aca="false">IF(E$7&lt;YEAR(Startops1),0,HLOOKUP(E$7,CF_Table,CF!$AB$51))</f>
        <v>0</v>
      </c>
      <c r="F14" s="176" t="n">
        <f aca="false">IF(F$7&lt;YEAR(Startops1),0,HLOOKUP(F$7,CF_Table,CF!$AB$51))</f>
        <v>0</v>
      </c>
      <c r="G14" s="176" t="n">
        <f aca="false">IF(G$7&lt;YEAR(Startops1),0,HLOOKUP(G$7,CF_Table,CF!$AB$51))</f>
        <v>0</v>
      </c>
      <c r="H14" s="176" t="n">
        <f aca="false">IF(H$7&lt;YEAR(Startops1),0,HLOOKUP(H$7,CF_Table,CF!$AB$51))</f>
        <v>-133.988670626725</v>
      </c>
      <c r="I14" s="176" t="n">
        <f aca="false">IF(I$7&lt;YEAR(Startops1),0,HLOOKUP(I$7,CF_Table,CF!$AB$51))</f>
        <v>-318.085158746824</v>
      </c>
      <c r="J14" s="176" t="n">
        <f aca="false">IF(J$7&lt;YEAR(Startops1),0,HLOOKUP(J$7,CF_Table,CF!$AB$51))</f>
        <v>-303.213031196215</v>
      </c>
      <c r="K14" s="176" t="n">
        <f aca="false">IF(K$7&lt;YEAR(Startops1),0,HLOOKUP(K$7,CF_Table,CF!$AB$51))</f>
        <v>-286.344692325125</v>
      </c>
      <c r="L14" s="176" t="n">
        <f aca="false">IF(L$7&lt;YEAR(Startops1),0,HLOOKUP(L$7,CF_Table,CF!$AB$51))</f>
        <v>-267.212200669063</v>
      </c>
      <c r="M14" s="176" t="n">
        <f aca="false">IF(M$7&lt;YEAR(Startops1),0,HLOOKUP(M$7,CF_Table,CF!$AB$51))</f>
        <v>-245.511650320467</v>
      </c>
      <c r="N14" s="176" t="n">
        <f aca="false">IF(N$7&lt;YEAR(Startops1),0,HLOOKUP(N$7,CF_Table,CF!$AB$51))</f>
        <v>-220.89834360133</v>
      </c>
      <c r="O14" s="176" t="n">
        <f aca="false">IF(O$7&lt;YEAR(Startops1),0,HLOOKUP(O$7,CF_Table,CF!$AB$51))</f>
        <v>-192.981315787816</v>
      </c>
      <c r="P14" s="176" t="n">
        <f aca="false">IF(P$7&lt;YEAR(Startops1),0,HLOOKUP(P$7,CF_Table,CF!$AB$51))</f>
        <v>-161.317124916034</v>
      </c>
      <c r="Q14" s="176" t="n">
        <f aca="false">IF(Q$7&lt;YEAR(Startops1),0,HLOOKUP(Q$7,CF_Table,CF!$AB$51))</f>
        <v>-125.402808024487</v>
      </c>
      <c r="R14" s="176" t="n">
        <f aca="false">IF(R$7&lt;YEAR(Startops1),0,HLOOKUP(R$7,CF_Table,CF!$AB$51))</f>
        <v>-84.667891948172</v>
      </c>
      <c r="S14" s="176" t="n">
        <f aca="false">IF(S$7&lt;YEAR(Startops1),0,HLOOKUP(S$7,CF_Table,CF!$AB$51))</f>
        <v>-38.4653317615136</v>
      </c>
      <c r="T14" s="176" t="n">
        <f aca="false">IF(T$7&lt;YEAR(Startops1),0,HLOOKUP(T$7,CF_Table,CF!$AB$51))</f>
        <v>-0</v>
      </c>
      <c r="U14" s="176" t="n">
        <f aca="false">IF(U$7&lt;YEAR(Startops1),0,HLOOKUP(U$7,CF_Table,CF!$AB$51))</f>
        <v>-0</v>
      </c>
      <c r="V14" s="176" t="n">
        <f aca="false">IF(V$7&lt;YEAR(Startops1),0,HLOOKUP(V$7,CF_Table,CF!$AB$51))</f>
        <v>-0</v>
      </c>
      <c r="W14" s="176" t="n">
        <f aca="false">IF(W$7&lt;YEAR(Startops1),0,HLOOKUP(W$7,CF_Table,CF!$AB$51))</f>
        <v>-0</v>
      </c>
      <c r="X14" s="176" t="n">
        <f aca="false">IF(X$7&lt;YEAR(Startops1),0,HLOOKUP(X$7,CF_Table,CF!$AB$51))</f>
        <v>-0</v>
      </c>
      <c r="Y14" s="176" t="n">
        <f aca="false">IF(Y$7&lt;YEAR(Startops1),0,HLOOKUP(Y$7,CF_Table,CF!$AB$51))</f>
        <v>-0</v>
      </c>
      <c r="Z14" s="176" t="n">
        <f aca="false">IF(Z$7&lt;YEAR(Startops1),0,HLOOKUP(Z$7,CF_Table,CF!$AB$51))</f>
        <v>-0</v>
      </c>
      <c r="AA14" s="586" t="n">
        <f aca="false">SUM(E14:Z14)</f>
        <v>-2378.08821992377</v>
      </c>
      <c r="AB14" s="587" t="str">
        <f aca="false">IF(SUM(AA14+'Debt Amort'!AD20)=0," ","Check")</f>
        <v> </v>
      </c>
    </row>
    <row r="15" customFormat="false" ht="12.75" hidden="false" customHeight="false" outlineLevel="0" collapsed="false">
      <c r="A15" s="37" t="s">
        <v>613</v>
      </c>
      <c r="C15" s="39"/>
      <c r="D15" s="39"/>
      <c r="E15" s="588" t="n">
        <f aca="false">IF(E$7&lt;YEAR(Startops1),0,-HLOOKUP(E$7,Depr_Table,Depr!$AE$44))</f>
        <v>0</v>
      </c>
      <c r="F15" s="588" t="n">
        <f aca="false">IF(F$7&lt;YEAR(Startops1),0,-HLOOKUP(F$7,Depr_Table,Depr!$AE$44))</f>
        <v>0</v>
      </c>
      <c r="G15" s="588" t="n">
        <f aca="false">IF(G$7&lt;YEAR(Startops1),0,-HLOOKUP(G$7,Depr_Table,Depr!$AE$44))</f>
        <v>0</v>
      </c>
      <c r="H15" s="588" t="n">
        <f aca="false">IF(H$7&lt;YEAR(Startops1),0,-HLOOKUP(H$7,Depr_Table,Depr!$AE$44))</f>
        <v>-6008.74946235871</v>
      </c>
      <c r="I15" s="588" t="n">
        <f aca="false">IF(I$7&lt;YEAR(Startops1),0,-HLOOKUP(I$7,Depr_Table,Depr!$AE$44))</f>
        <v>-7210.49935483045</v>
      </c>
      <c r="J15" s="588" t="n">
        <f aca="false">IF(J$7&lt;YEAR(Startops1),0,-HLOOKUP(J$7,Depr_Table,Depr!$AE$44))</f>
        <v>-7210.49935483045</v>
      </c>
      <c r="K15" s="588" t="n">
        <f aca="false">IF(K$7&lt;YEAR(Startops1),0,-HLOOKUP(K$7,Depr_Table,Depr!$AE$44))</f>
        <v>-7210.49935483045</v>
      </c>
      <c r="L15" s="588" t="n">
        <f aca="false">IF(L$7&lt;YEAR(Startops1),0,-HLOOKUP(L$7,Depr_Table,Depr!$AE$44))</f>
        <v>-7210.49935483045</v>
      </c>
      <c r="M15" s="588" t="n">
        <f aca="false">IF(M$7&lt;YEAR(Startops1),0,-HLOOKUP(M$7,Depr_Table,Depr!$AE$44))</f>
        <v>-7210.49935483045</v>
      </c>
      <c r="N15" s="588" t="n">
        <f aca="false">IF(N$7&lt;YEAR(Startops1),0,-HLOOKUP(N$7,Depr_Table,Depr!$AE$44))</f>
        <v>-7210.49935483045</v>
      </c>
      <c r="O15" s="588" t="n">
        <f aca="false">IF(O$7&lt;YEAR(Startops1),0,-HLOOKUP(O$7,Depr_Table,Depr!$AE$44))</f>
        <v>-7210.49935483045</v>
      </c>
      <c r="P15" s="588" t="n">
        <f aca="false">IF(P$7&lt;YEAR(Startops1),0,-HLOOKUP(P$7,Depr_Table,Depr!$AE$44))</f>
        <v>-7210.49935483045</v>
      </c>
      <c r="Q15" s="588" t="n">
        <f aca="false">IF(Q$7&lt;YEAR(Startops1),0,-HLOOKUP(Q$7,Depr_Table,Depr!$AE$44))</f>
        <v>-7210.49935483045</v>
      </c>
      <c r="R15" s="588" t="n">
        <f aca="false">IF(R$7&lt;YEAR(Startops1),0,-HLOOKUP(R$7,Depr_Table,Depr!$AE$44))</f>
        <v>-7210.49935483045</v>
      </c>
      <c r="S15" s="588" t="n">
        <f aca="false">IF(S$7&lt;YEAR(Startops1),0,-HLOOKUP(S$7,Depr_Table,Depr!$AE$44))</f>
        <v>-7210.49935483045</v>
      </c>
      <c r="T15" s="588" t="n">
        <f aca="false">IF(T$7&lt;YEAR(Startops1),0,-HLOOKUP(T$7,Depr_Table,Depr!$AE$44))</f>
        <v>-7210.49935483045</v>
      </c>
      <c r="U15" s="588" t="n">
        <f aca="false">IF(U$7&lt;YEAR(Startops1),0,-HLOOKUP(U$7,Depr_Table,Depr!$AE$44))</f>
        <v>-7210.49935483045</v>
      </c>
      <c r="V15" s="588" t="n">
        <f aca="false">IF(V$7&lt;YEAR(Startops1),0,-HLOOKUP(V$7,Depr_Table,Depr!$AE$44))</f>
        <v>-7210.49935483045</v>
      </c>
      <c r="W15" s="588" t="n">
        <f aca="false">IF(W$7&lt;YEAR(Startops1),0,-HLOOKUP(W$7,Depr_Table,Depr!$AE$44))</f>
        <v>-7210.49935483045</v>
      </c>
      <c r="X15" s="588" t="n">
        <f aca="false">IF(X$7&lt;YEAR(Startops1),0,-HLOOKUP(X$7,Depr_Table,Depr!$AE$44))</f>
        <v>-7210.49935483045</v>
      </c>
      <c r="Y15" s="588" t="n">
        <f aca="false">IF(Y$7&lt;YEAR(Startops1),0,-HLOOKUP(Y$7,Depr_Table,Depr!$AE$44))</f>
        <v>-7210.49935483045</v>
      </c>
      <c r="Z15" s="588" t="n">
        <f aca="false">IF(Z$7&lt;YEAR(Startops1),0,-HLOOKUP(Z$7,Depr_Table,Depr!$AE$44))</f>
        <v>-2403.49978494348</v>
      </c>
      <c r="AA15" s="589" t="n">
        <f aca="false">SUM(E15:Z15)</f>
        <v>-130990.73827942</v>
      </c>
      <c r="AB15" s="587" t="str">
        <f aca="false">IF(SUM(AA15+Depr!AC44)=0," ","Check")</f>
        <v> </v>
      </c>
    </row>
    <row r="16" customFormat="false" ht="12.75" hidden="false" customHeight="false" outlineLevel="0" collapsed="false">
      <c r="A16" s="37" t="s">
        <v>614</v>
      </c>
      <c r="C16" s="39"/>
      <c r="D16" s="39"/>
      <c r="E16" s="590" t="n">
        <f aca="false">SUM(E11:E15)</f>
        <v>0</v>
      </c>
      <c r="F16" s="590" t="n">
        <f aca="false">SUM(F11:F15)</f>
        <v>0</v>
      </c>
      <c r="G16" s="590" t="n">
        <f aca="false">SUM(G11:G15)</f>
        <v>0</v>
      </c>
      <c r="H16" s="590" t="n">
        <f aca="false">SUM(H11:H15)</f>
        <v>-1837.50898141714</v>
      </c>
      <c r="I16" s="590" t="n">
        <f aca="false">SUM(I11:I15)</f>
        <v>-3586.48060049747</v>
      </c>
      <c r="J16" s="590" t="n">
        <f aca="false">SUM(J11:J15)</f>
        <v>-4045.25450410579</v>
      </c>
      <c r="K16" s="590" t="n">
        <f aca="false">SUM(K11:K15)</f>
        <v>1886.41540495857</v>
      </c>
      <c r="L16" s="590" t="n">
        <f aca="false">SUM(L11:L15)</f>
        <v>2960.61663485649</v>
      </c>
      <c r="M16" s="590" t="n">
        <f aca="false">SUM(M11:M15)</f>
        <v>7998.91178825863</v>
      </c>
      <c r="N16" s="590" t="n">
        <f aca="false">SUM(N11:N15)</f>
        <v>10029.6883157375</v>
      </c>
      <c r="O16" s="590" t="n">
        <f aca="false">SUM(O11:O15)</f>
        <v>11335.6812123419</v>
      </c>
      <c r="P16" s="590" t="n">
        <f aca="false">SUM(P11:P15)</f>
        <v>13437.6370752707</v>
      </c>
      <c r="Q16" s="590" t="n">
        <f aca="false">SUM(Q11:Q15)</f>
        <v>14828.9569169303</v>
      </c>
      <c r="R16" s="590" t="n">
        <f aca="false">SUM(R11:R15)</f>
        <v>16540.3980642707</v>
      </c>
      <c r="S16" s="590" t="n">
        <f aca="false">SUM(S11:S15)</f>
        <v>19240.2394435349</v>
      </c>
      <c r="T16" s="590" t="n">
        <f aca="false">SUM(T11:T15)</f>
        <v>18612.9255761878</v>
      </c>
      <c r="U16" s="590" t="n">
        <f aca="false">SUM(U11:U15)</f>
        <v>22060.6618656204</v>
      </c>
      <c r="V16" s="590" t="n">
        <f aca="false">SUM(V11:V15)</f>
        <v>23844.9967481276</v>
      </c>
      <c r="W16" s="590" t="n">
        <f aca="false">SUM(W11:W15)</f>
        <v>25095.5835249039</v>
      </c>
      <c r="X16" s="590" t="n">
        <f aca="false">SUM(X11:X15)</f>
        <v>26171.3142554706</v>
      </c>
      <c r="Y16" s="590" t="n">
        <f aca="false">SUM(Y11:Y15)</f>
        <v>27337.2046823972</v>
      </c>
      <c r="Z16" s="590" t="n">
        <f aca="false">SUM(Z11:Z15)</f>
        <v>9125.29216995186</v>
      </c>
      <c r="AA16" s="586" t="n">
        <f aca="false">SUM(E16:Z16)</f>
        <v>241037.279592799</v>
      </c>
    </row>
    <row r="17" customFormat="false" ht="12.75" hidden="false" customHeight="false" outlineLevel="0" collapsed="false">
      <c r="A17" s="37" t="s">
        <v>615</v>
      </c>
      <c r="C17" s="531" t="n">
        <f aca="false">Corp_Tax</f>
        <v>0.25</v>
      </c>
      <c r="D17" s="39"/>
      <c r="E17" s="591" t="n">
        <f aca="false">$C17</f>
        <v>0.25</v>
      </c>
      <c r="F17" s="592" t="n">
        <f aca="false">$C17</f>
        <v>0.25</v>
      </c>
      <c r="G17" s="592" t="n">
        <f aca="false">$C17</f>
        <v>0.25</v>
      </c>
      <c r="H17" s="592" t="n">
        <f aca="false">$C17</f>
        <v>0.25</v>
      </c>
      <c r="I17" s="592" t="n">
        <f aca="false">$C17</f>
        <v>0.25</v>
      </c>
      <c r="J17" s="592" t="n">
        <f aca="false">$C17</f>
        <v>0.25</v>
      </c>
      <c r="K17" s="592" t="n">
        <f aca="false">$C17</f>
        <v>0.25</v>
      </c>
      <c r="L17" s="592" t="n">
        <f aca="false">$C17</f>
        <v>0.25</v>
      </c>
      <c r="M17" s="592" t="n">
        <f aca="false">$C17</f>
        <v>0.25</v>
      </c>
      <c r="N17" s="592" t="n">
        <f aca="false">$C17</f>
        <v>0.25</v>
      </c>
      <c r="O17" s="592" t="n">
        <f aca="false">$C17</f>
        <v>0.25</v>
      </c>
      <c r="P17" s="592" t="n">
        <f aca="false">$C17</f>
        <v>0.25</v>
      </c>
      <c r="Q17" s="592" t="n">
        <f aca="false">$C17</f>
        <v>0.25</v>
      </c>
      <c r="R17" s="592" t="n">
        <f aca="false">$C17</f>
        <v>0.25</v>
      </c>
      <c r="S17" s="592" t="n">
        <f aca="false">$C17</f>
        <v>0.25</v>
      </c>
      <c r="T17" s="592" t="n">
        <f aca="false">$C17</f>
        <v>0.25</v>
      </c>
      <c r="U17" s="592" t="n">
        <f aca="false">$C17</f>
        <v>0.25</v>
      </c>
      <c r="V17" s="592" t="n">
        <f aca="false">$C17</f>
        <v>0.25</v>
      </c>
      <c r="W17" s="592" t="n">
        <f aca="false">$C17</f>
        <v>0.25</v>
      </c>
      <c r="X17" s="592" t="n">
        <f aca="false">$C17</f>
        <v>0.25</v>
      </c>
      <c r="Y17" s="592" t="n">
        <f aca="false">$C17</f>
        <v>0.25</v>
      </c>
      <c r="Z17" s="592" t="n">
        <f aca="false">$C17</f>
        <v>0.25</v>
      </c>
      <c r="AA17" s="593" t="n">
        <f aca="false">$C17</f>
        <v>0.25</v>
      </c>
    </row>
    <row r="18" customFormat="false" ht="12.75" hidden="false" customHeight="false" outlineLevel="0" collapsed="false">
      <c r="A18" s="37" t="s">
        <v>616</v>
      </c>
      <c r="C18" s="39"/>
      <c r="D18" s="39"/>
      <c r="E18" s="594" t="n">
        <f aca="false">-E16*E17</f>
        <v>-0</v>
      </c>
      <c r="F18" s="594" t="n">
        <f aca="false">-F16*F17</f>
        <v>-0</v>
      </c>
      <c r="G18" s="594" t="n">
        <f aca="false">-G16*G17</f>
        <v>-0</v>
      </c>
      <c r="H18" s="594" t="n">
        <f aca="false">-H16*H17</f>
        <v>459.377245354285</v>
      </c>
      <c r="I18" s="594" t="n">
        <f aca="false">-I16*I17</f>
        <v>896.620150124368</v>
      </c>
      <c r="J18" s="594" t="n">
        <f aca="false">-J16*J17</f>
        <v>1011.31362602645</v>
      </c>
      <c r="K18" s="594" t="n">
        <f aca="false">-K16*K17</f>
        <v>-471.603851239643</v>
      </c>
      <c r="L18" s="594" t="n">
        <f aca="false">-L16*L17</f>
        <v>-740.154158714122</v>
      </c>
      <c r="M18" s="594" t="n">
        <f aca="false">-M16*M17</f>
        <v>-1999.72794706466</v>
      </c>
      <c r="N18" s="594" t="n">
        <f aca="false">-N16*N17</f>
        <v>-2507.42207893437</v>
      </c>
      <c r="O18" s="594" t="n">
        <f aca="false">-O16*O17</f>
        <v>-2833.92030308547</v>
      </c>
      <c r="P18" s="594" t="n">
        <f aca="false">-P16*P17</f>
        <v>-3359.40926881768</v>
      </c>
      <c r="Q18" s="594" t="n">
        <f aca="false">-Q16*Q17</f>
        <v>-3707.23922923257</v>
      </c>
      <c r="R18" s="594" t="n">
        <f aca="false">-R16*R17</f>
        <v>-4135.09951606768</v>
      </c>
      <c r="S18" s="594" t="n">
        <f aca="false">-S16*S17</f>
        <v>-4810.05986088372</v>
      </c>
      <c r="T18" s="594" t="n">
        <f aca="false">-T16*T17</f>
        <v>-4653.23139404696</v>
      </c>
      <c r="U18" s="594" t="n">
        <f aca="false">-U16*U17</f>
        <v>-5515.16546640509</v>
      </c>
      <c r="V18" s="594" t="n">
        <f aca="false">-V16*V17</f>
        <v>-5961.24918703191</v>
      </c>
      <c r="W18" s="594" t="n">
        <f aca="false">-W16*W17</f>
        <v>-6273.89588122597</v>
      </c>
      <c r="X18" s="594" t="n">
        <f aca="false">-X16*X17</f>
        <v>-6542.82856386766</v>
      </c>
      <c r="Y18" s="594" t="n">
        <f aca="false">-Y16*Y17</f>
        <v>-6834.3011705993</v>
      </c>
      <c r="Z18" s="594" t="n">
        <f aca="false">-Z16*Z17</f>
        <v>-2281.32304248797</v>
      </c>
      <c r="AA18" s="589" t="n">
        <f aca="false">SUM(E18:Z18)</f>
        <v>-60259.3198981997</v>
      </c>
    </row>
    <row r="19" customFormat="false" ht="12.75" hidden="false" customHeight="false" outlineLevel="0" collapsed="false">
      <c r="A19" s="37" t="s">
        <v>617</v>
      </c>
      <c r="C19" s="39"/>
      <c r="D19" s="39"/>
      <c r="E19" s="176" t="n">
        <f aca="false">SUM(E16,E18)</f>
        <v>0</v>
      </c>
      <c r="F19" s="176" t="n">
        <f aca="false">SUM(F16,F18)</f>
        <v>0</v>
      </c>
      <c r="G19" s="176" t="n">
        <f aca="false">SUM(G16,G18)</f>
        <v>0</v>
      </c>
      <c r="H19" s="176" t="n">
        <f aca="false">SUM(H16,H18)</f>
        <v>-1378.13173606286</v>
      </c>
      <c r="I19" s="176" t="n">
        <f aca="false">SUM(I16,I18)</f>
        <v>-2689.8604503731</v>
      </c>
      <c r="J19" s="176" t="n">
        <f aca="false">SUM(J16,J18)</f>
        <v>-3033.94087807934</v>
      </c>
      <c r="K19" s="176" t="n">
        <f aca="false">SUM(K16,K18)</f>
        <v>1414.81155371893</v>
      </c>
      <c r="L19" s="176" t="n">
        <f aca="false">SUM(L16,L18)</f>
        <v>2220.46247614236</v>
      </c>
      <c r="M19" s="176" t="n">
        <f aca="false">SUM(M16,M18)</f>
        <v>5999.18384119398</v>
      </c>
      <c r="N19" s="176" t="n">
        <f aca="false">SUM(N16,N18)</f>
        <v>7522.2662368031</v>
      </c>
      <c r="O19" s="176" t="n">
        <f aca="false">SUM(O16,O18)</f>
        <v>8501.76090925641</v>
      </c>
      <c r="P19" s="176" t="n">
        <f aca="false">SUM(P16,P18)</f>
        <v>10078.227806453</v>
      </c>
      <c r="Q19" s="176" t="n">
        <f aca="false">SUM(Q16,Q18)</f>
        <v>11121.7176876977</v>
      </c>
      <c r="R19" s="176" t="n">
        <f aca="false">SUM(R16,R18)</f>
        <v>12405.298548203</v>
      </c>
      <c r="S19" s="176" t="n">
        <f aca="false">SUM(S16,S18)</f>
        <v>14430.1795826512</v>
      </c>
      <c r="T19" s="176" t="n">
        <f aca="false">SUM(T16,T18)</f>
        <v>13959.6941821409</v>
      </c>
      <c r="U19" s="176" t="n">
        <f aca="false">SUM(U16,U18)</f>
        <v>16545.4963992153</v>
      </c>
      <c r="V19" s="176" t="n">
        <f aca="false">SUM(V16,V18)</f>
        <v>17883.7475610957</v>
      </c>
      <c r="W19" s="176" t="n">
        <f aca="false">SUM(W16,W18)</f>
        <v>18821.6876436779</v>
      </c>
      <c r="X19" s="176" t="n">
        <f aca="false">SUM(X16,X18)</f>
        <v>19628.485691603</v>
      </c>
      <c r="Y19" s="176" t="n">
        <f aca="false">SUM(Y16,Y18)</f>
        <v>20502.9035117979</v>
      </c>
      <c r="Z19" s="176" t="n">
        <f aca="false">SUM(Z16,Z18)</f>
        <v>6843.9691274639</v>
      </c>
      <c r="AA19" s="586" t="n">
        <f aca="false">SUM(E19:Z19)</f>
        <v>180777.959694599</v>
      </c>
    </row>
    <row r="20" customFormat="false" ht="12.75" hidden="false" customHeight="false" outlineLevel="0" collapsed="false">
      <c r="A20" s="37" t="s">
        <v>618</v>
      </c>
      <c r="C20" s="39"/>
      <c r="D20" s="39"/>
      <c r="E20" s="595" t="n">
        <f aca="false">Assm!$L$61</f>
        <v>0.3</v>
      </c>
      <c r="F20" s="595" t="n">
        <f aca="false">Assm!$L$61</f>
        <v>0.3</v>
      </c>
      <c r="G20" s="595" t="n">
        <f aca="false">Assm!$L$61</f>
        <v>0.3</v>
      </c>
      <c r="H20" s="595" t="n">
        <f aca="false">Assm!$L$61</f>
        <v>0.3</v>
      </c>
      <c r="I20" s="595" t="n">
        <f aca="false">Assm!$L$61</f>
        <v>0.3</v>
      </c>
      <c r="J20" s="595" t="n">
        <f aca="false">Assm!$L$61</f>
        <v>0.3</v>
      </c>
      <c r="K20" s="595" t="n">
        <f aca="false">Assm!$L$61</f>
        <v>0.3</v>
      </c>
      <c r="L20" s="595" t="n">
        <f aca="false">Assm!$L$61</f>
        <v>0.3</v>
      </c>
      <c r="M20" s="595" t="n">
        <f aca="false">Assm!$L$61</f>
        <v>0.3</v>
      </c>
      <c r="N20" s="595" t="n">
        <f aca="false">Assm!$L$61</f>
        <v>0.3</v>
      </c>
      <c r="O20" s="595" t="n">
        <f aca="false">Assm!$L$61</f>
        <v>0.3</v>
      </c>
      <c r="P20" s="595" t="n">
        <f aca="false">Assm!$L$61</f>
        <v>0.3</v>
      </c>
      <c r="Q20" s="595" t="n">
        <f aca="false">Assm!$L$61</f>
        <v>0.3</v>
      </c>
      <c r="R20" s="595" t="n">
        <f aca="false">Assm!$L$61</f>
        <v>0.3</v>
      </c>
      <c r="S20" s="595" t="n">
        <f aca="false">Assm!$L$61</f>
        <v>0.3</v>
      </c>
      <c r="T20" s="595" t="n">
        <f aca="false">Assm!$L$61</f>
        <v>0.3</v>
      </c>
      <c r="U20" s="595" t="n">
        <f aca="false">Assm!$L$61</f>
        <v>0.3</v>
      </c>
      <c r="V20" s="595" t="n">
        <f aca="false">Assm!$L$61</f>
        <v>0.3</v>
      </c>
      <c r="W20" s="595" t="n">
        <f aca="false">Assm!$L$61</f>
        <v>0.3</v>
      </c>
      <c r="X20" s="595" t="n">
        <f aca="false">Assm!$L$61</f>
        <v>0.3</v>
      </c>
      <c r="Y20" s="595" t="n">
        <f aca="false">Assm!$L$61</f>
        <v>0.3</v>
      </c>
      <c r="Z20" s="595" t="n">
        <f aca="false">Assm!$L$61</f>
        <v>0.3</v>
      </c>
      <c r="AA20" s="596"/>
    </row>
    <row r="21" customFormat="false" ht="12.75" hidden="false" customHeight="false" outlineLevel="0" collapsed="false">
      <c r="A21" s="597"/>
      <c r="B21" s="39" t="s">
        <v>619</v>
      </c>
      <c r="C21" s="39"/>
      <c r="D21" s="39"/>
      <c r="E21" s="590" t="n">
        <f aca="false">E19*E20</f>
        <v>0</v>
      </c>
      <c r="F21" s="590" t="n">
        <f aca="false">F19*F20</f>
        <v>0</v>
      </c>
      <c r="G21" s="590" t="n">
        <f aca="false">G19*G20</f>
        <v>0</v>
      </c>
      <c r="H21" s="590" t="n">
        <f aca="false">H19*H20</f>
        <v>-413.439520818857</v>
      </c>
      <c r="I21" s="590" t="n">
        <f aca="false">I19*I20</f>
        <v>-806.958135111931</v>
      </c>
      <c r="J21" s="590" t="n">
        <f aca="false">J19*J20</f>
        <v>-910.182263423802</v>
      </c>
      <c r="K21" s="590" t="n">
        <f aca="false">K19*K20</f>
        <v>424.443466115679</v>
      </c>
      <c r="L21" s="590" t="n">
        <f aca="false">L19*L20</f>
        <v>666.138742842709</v>
      </c>
      <c r="M21" s="590" t="n">
        <f aca="false">M19*M20</f>
        <v>1799.75515235819</v>
      </c>
      <c r="N21" s="590" t="n">
        <f aca="false">N19*N20</f>
        <v>2256.67987104093</v>
      </c>
      <c r="O21" s="590" t="n">
        <f aca="false">O19*O20</f>
        <v>2550.52827277692</v>
      </c>
      <c r="P21" s="590" t="n">
        <f aca="false">P19*P20</f>
        <v>3023.46834193591</v>
      </c>
      <c r="Q21" s="590" t="n">
        <f aca="false">Q19*Q20</f>
        <v>3336.51530630931</v>
      </c>
      <c r="R21" s="590" t="n">
        <f aca="false">R19*R20</f>
        <v>3721.58956446091</v>
      </c>
      <c r="S21" s="590" t="n">
        <f aca="false">S19*S20</f>
        <v>4329.05387479535</v>
      </c>
      <c r="T21" s="590" t="n">
        <f aca="false">T19*T20</f>
        <v>4187.90825464226</v>
      </c>
      <c r="U21" s="590" t="n">
        <f aca="false">U19*U20</f>
        <v>4963.64891976458</v>
      </c>
      <c r="V21" s="590" t="n">
        <f aca="false">V19*V20</f>
        <v>5365.12426832872</v>
      </c>
      <c r="W21" s="590" t="n">
        <f aca="false">W19*W20</f>
        <v>5646.50629310337</v>
      </c>
      <c r="X21" s="590" t="n">
        <f aca="false">X19*X20</f>
        <v>5888.5457074809</v>
      </c>
      <c r="Y21" s="590" t="n">
        <f aca="false">Y19*Y20</f>
        <v>6150.87105353937</v>
      </c>
      <c r="Z21" s="590" t="n">
        <f aca="false">Z19*Z20</f>
        <v>2053.19073823917</v>
      </c>
      <c r="AA21" s="586" t="n">
        <f aca="false">SUM(E21:Z21)</f>
        <v>54233.3879083797</v>
      </c>
    </row>
    <row r="22" customFormat="false" ht="12.75" hidden="false" customHeight="false" outlineLevel="0" collapsed="false">
      <c r="A22" s="597"/>
      <c r="C22" s="39"/>
      <c r="D22" s="39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  <c r="P22" s="598"/>
      <c r="Q22" s="598"/>
      <c r="R22" s="598"/>
      <c r="S22" s="598"/>
      <c r="T22" s="598"/>
      <c r="U22" s="598"/>
      <c r="V22" s="598"/>
      <c r="W22" s="598"/>
      <c r="X22" s="598"/>
      <c r="Y22" s="598"/>
      <c r="Z22" s="598"/>
      <c r="AA22" s="596"/>
    </row>
    <row r="23" customFormat="false" ht="12.75" hidden="false" customHeight="false" outlineLevel="0" collapsed="false">
      <c r="A23" s="97" t="s">
        <v>620</v>
      </c>
      <c r="C23" s="39"/>
      <c r="D23" s="39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596"/>
    </row>
    <row r="24" customFormat="false" ht="12.75" hidden="false" customHeight="false" outlineLevel="0" collapsed="false">
      <c r="A24" s="37" t="s">
        <v>508</v>
      </c>
      <c r="C24" s="39"/>
      <c r="D24" s="533" t="s">
        <v>236</v>
      </c>
      <c r="E24" s="590" t="n">
        <f aca="false">Returns!E26</f>
        <v>-0</v>
      </c>
      <c r="F24" s="590" t="n">
        <f aca="false">Returns!F26</f>
        <v>-0</v>
      </c>
      <c r="G24" s="590" t="n">
        <f aca="false">Returns!G26</f>
        <v>-0</v>
      </c>
      <c r="H24" s="590" t="n">
        <f aca="false">Returns!H26</f>
        <v>-0</v>
      </c>
      <c r="I24" s="590" t="n">
        <f aca="false">Returns!I26</f>
        <v>-0</v>
      </c>
      <c r="J24" s="590" t="n">
        <f aca="false">Returns!J26</f>
        <v>-0</v>
      </c>
      <c r="K24" s="590" t="n">
        <f aca="false">Returns!K26</f>
        <v>-0</v>
      </c>
      <c r="L24" s="590" t="n">
        <f aca="false">Returns!L26</f>
        <v>-0</v>
      </c>
      <c r="M24" s="590" t="n">
        <f aca="false">Returns!M26</f>
        <v>-72.0867529484731</v>
      </c>
      <c r="N24" s="590" t="n">
        <f aca="false">Returns!N26</f>
        <v>-267.98073468611</v>
      </c>
      <c r="O24" s="590" t="n">
        <f aca="false">Returns!O26</f>
        <v>-302.87523239226</v>
      </c>
      <c r="P24" s="590" t="n">
        <f aca="false">Returns!P26</f>
        <v>-359.03686560489</v>
      </c>
      <c r="Q24" s="590" t="n">
        <f aca="false">Returns!Q26</f>
        <v>-396.211192624231</v>
      </c>
      <c r="R24" s="590" t="n">
        <f aca="false">Returns!R26</f>
        <v>-441.938760779733</v>
      </c>
      <c r="S24" s="590" t="n">
        <f aca="false">Returns!S26</f>
        <v>-514.075147631948</v>
      </c>
      <c r="T24" s="590" t="n">
        <f aca="false">Returns!T26</f>
        <v>-497.314105238769</v>
      </c>
      <c r="U24" s="590" t="n">
        <f aca="false">Returns!U26</f>
        <v>-589.433309222044</v>
      </c>
      <c r="V24" s="590" t="n">
        <f aca="false">Returns!V26</f>
        <v>-637.108506864036</v>
      </c>
      <c r="W24" s="590" t="n">
        <f aca="false">Returns!W26</f>
        <v>-670.522622306026</v>
      </c>
      <c r="X24" s="590" t="n">
        <f aca="false">Returns!X26</f>
        <v>-699.264802763356</v>
      </c>
      <c r="Y24" s="590" t="n">
        <f aca="false">Returns!Y26</f>
        <v>-730.4159376078</v>
      </c>
      <c r="Z24" s="590" t="n">
        <f aca="false">Returns!Z26</f>
        <v>-2448.2001807093</v>
      </c>
      <c r="AA24" s="586" t="n">
        <f aca="false">SUM(E24:Z24)</f>
        <v>-8626.46415137898</v>
      </c>
      <c r="AB24" s="587" t="str">
        <f aca="false">IF(SUM(AA24-Returns!AA26)=0," ","Check")</f>
        <v> </v>
      </c>
    </row>
    <row r="25" customFormat="false" ht="12.75" hidden="false" customHeight="false" outlineLevel="0" collapsed="false">
      <c r="A25" s="37" t="s">
        <v>621</v>
      </c>
      <c r="C25" s="39"/>
      <c r="D25" s="533" t="s">
        <v>236</v>
      </c>
      <c r="E25" s="590" t="n">
        <f aca="false">IF(E$7&lt;YEAR(Startops1),0,Returns!E30)*E$9/12</f>
        <v>0</v>
      </c>
      <c r="F25" s="590" t="n">
        <f aca="false">IF(F$7&lt;YEAR(Startops1),0,Returns!F30)*F$9/12</f>
        <v>0</v>
      </c>
      <c r="G25" s="590" t="n">
        <f aca="false">IF(G$7&lt;YEAR(Startops1),0,Returns!G30)*G$9/12</f>
        <v>0</v>
      </c>
      <c r="H25" s="590" t="n">
        <f aca="false">IF(H$7&lt;YEAR(Startops1),0,Returns!H30)*H$9/12</f>
        <v>-148.468742540486</v>
      </c>
      <c r="I25" s="590" t="n">
        <f aca="false">IF(I$7&lt;YEAR(Startops1),0,Returns!I30)*I$9/12</f>
        <v>-170.900992485251</v>
      </c>
      <c r="J25" s="590" t="n">
        <f aca="false">IF(J$7&lt;YEAR(Startops1),0,Returns!J30)*J$9/12</f>
        <v>-159.68277678015</v>
      </c>
      <c r="K25" s="590" t="n">
        <f aca="false">IF(K$7&lt;YEAR(Startops1),0,Returns!K30)*K$9/12</f>
        <v>-155.365098581856</v>
      </c>
      <c r="L25" s="590" t="n">
        <f aca="false">IF(L$7&lt;YEAR(Startops1),0,Returns!L30)*L$9/12</f>
        <v>-163.172747256528</v>
      </c>
      <c r="M25" s="590" t="n">
        <f aca="false">IF(M$7&lt;YEAR(Startops1),0,Returns!M30)*M$9/12</f>
        <v>-176.604848772925</v>
      </c>
      <c r="N25" s="590" t="n">
        <f aca="false">IF(N$7&lt;YEAR(Startops1),0,Returns!N30)*N$9/12</f>
        <v>-182.592817837376</v>
      </c>
      <c r="O25" s="590" t="n">
        <f aca="false">IF(O$7&lt;YEAR(Startops1),0,Returns!O30)*O$9/12</f>
        <v>-183.819107240142</v>
      </c>
      <c r="P25" s="590" t="n">
        <f aca="false">IF(P$7&lt;YEAR(Startops1),0,Returns!P30)*P$9/12</f>
        <v>-185.25201806625</v>
      </c>
      <c r="Q25" s="590" t="n">
        <f aca="false">IF(Q$7&lt;YEAR(Startops1),0,Returns!Q30)*Q$9/12</f>
        <v>-186.868101225342</v>
      </c>
      <c r="R25" s="590" t="n">
        <f aca="false">IF(R$7&lt;YEAR(Startops1),0,Returns!R30)*R$9/12</f>
        <v>-188.664716964547</v>
      </c>
      <c r="S25" s="590" t="n">
        <f aca="false">IF(S$7&lt;YEAR(Startops1),0,Returns!S30)*S$9/12</f>
        <v>-190.727999850223</v>
      </c>
      <c r="T25" s="590" t="n">
        <f aca="false">IF(T$7&lt;YEAR(Startops1),0,Returns!T30)*T$9/12</f>
        <v>-192.845478247569</v>
      </c>
      <c r="U25" s="590" t="n">
        <f aca="false">IF(U$7&lt;YEAR(Startops1),0,Returns!U30)*U$9/12</f>
        <v>-195.198012596598</v>
      </c>
      <c r="V25" s="590" t="n">
        <f aca="false">IF(V$7&lt;YEAR(Startops1),0,Returns!V30)*V$9/12</f>
        <v>-197.813662172668</v>
      </c>
      <c r="W25" s="590" t="n">
        <f aca="false">IF(W$7&lt;YEAR(Startops1),0,Returns!W30)*W$9/12</f>
        <v>-200.590018315091</v>
      </c>
      <c r="X25" s="590" t="n">
        <f aca="false">IF(X$7&lt;YEAR(Startops1),0,Returns!X30)*X$9/12</f>
        <v>-203.493951266435</v>
      </c>
      <c r="Y25" s="590" t="n">
        <f aca="false">IF(Y$7&lt;YEAR(Startops1),0,Returns!Y30)*Y$9/12</f>
        <v>-206.525665902195</v>
      </c>
      <c r="Z25" s="590" t="n">
        <f aca="false">IF(Z$7&lt;YEAR(Startops1),0,Returns!Z30)*Z$9/12</f>
        <v>-49.7031473510002</v>
      </c>
      <c r="AA25" s="586" t="n">
        <f aca="false">SUM(E25:Z25)</f>
        <v>-3338.28990345263</v>
      </c>
    </row>
    <row r="26" customFormat="false" ht="12.75" hidden="false" customHeight="false" outlineLevel="0" collapsed="false">
      <c r="A26" s="37" t="s">
        <v>622</v>
      </c>
      <c r="C26" s="39"/>
      <c r="D26" s="533" t="s">
        <v>236</v>
      </c>
      <c r="E26" s="590" t="n">
        <f aca="false">IF(E$7&lt;YEAR(Startops1),0,(Returns!$AA$30-$AA25)*E$9/$AA$9)</f>
        <v>0</v>
      </c>
      <c r="F26" s="590" t="n">
        <f aca="false">IF(F$7&lt;YEAR(Startops1),0,(Returns!$AA$30-$AA25)*F$9/$AA$9)</f>
        <v>0</v>
      </c>
      <c r="G26" s="590" t="n">
        <f aca="false">IF(G$7&lt;YEAR(Startops1),0,(Returns!$AA$30-$AA25)*G$9/$AA$9)</f>
        <v>0</v>
      </c>
      <c r="H26" s="590" t="n">
        <f aca="false">IF(H$7&lt;YEAR(Startops1),0,(Returns!$AA$30-$AA25)*H$9/$AA$9)</f>
        <v>-18.3585803839494</v>
      </c>
      <c r="I26" s="590" t="n">
        <f aca="false">IF(I$7&lt;YEAR(Startops1),0,(Returns!$AA$30-$AA25)*I$9/$AA$9)</f>
        <v>-22.0302964607393</v>
      </c>
      <c r="J26" s="590" t="n">
        <f aca="false">IF(J$7&lt;YEAR(Startops1),0,(Returns!$AA$30-$AA25)*J$9/$AA$9)</f>
        <v>-22.0302964607393</v>
      </c>
      <c r="K26" s="590" t="n">
        <f aca="false">IF(K$7&lt;YEAR(Startops1),0,(Returns!$AA$30-$AA25)*K$9/$AA$9)</f>
        <v>-22.0302964607393</v>
      </c>
      <c r="L26" s="590" t="n">
        <f aca="false">IF(L$7&lt;YEAR(Startops1),0,(Returns!$AA$30-$AA25)*L$9/$AA$9)</f>
        <v>-22.0302964607393</v>
      </c>
      <c r="M26" s="590" t="n">
        <f aca="false">IF(M$7&lt;YEAR(Startops1),0,(Returns!$AA$30-$AA25)*M$9/$AA$9)</f>
        <v>-22.0302964607393</v>
      </c>
      <c r="N26" s="590" t="n">
        <f aca="false">IF(N$7&lt;YEAR(Startops1),0,(Returns!$AA$30-$AA25)*N$9/$AA$9)</f>
        <v>-22.0302964607393</v>
      </c>
      <c r="O26" s="590" t="n">
        <f aca="false">IF(O$7&lt;YEAR(Startops1),0,(Returns!$AA$30-$AA25)*O$9/$AA$9)</f>
        <v>-22.0302964607393</v>
      </c>
      <c r="P26" s="590" t="n">
        <f aca="false">IF(P$7&lt;YEAR(Startops1),0,(Returns!$AA$30-$AA25)*P$9/$AA$9)</f>
        <v>-22.0302964607393</v>
      </c>
      <c r="Q26" s="590" t="n">
        <f aca="false">IF(Q$7&lt;YEAR(Startops1),0,(Returns!$AA$30-$AA25)*Q$9/$AA$9)</f>
        <v>-22.0302964607393</v>
      </c>
      <c r="R26" s="590" t="n">
        <f aca="false">IF(R$7&lt;YEAR(Startops1),0,(Returns!$AA$30-$AA25)*R$9/$AA$9)</f>
        <v>-22.0302964607393</v>
      </c>
      <c r="S26" s="590" t="n">
        <f aca="false">IF(S$7&lt;YEAR(Startops1),0,(Returns!$AA$30-$AA25)*S$9/$AA$9)</f>
        <v>-22.0302964607393</v>
      </c>
      <c r="T26" s="590" t="n">
        <f aca="false">IF(T$7&lt;YEAR(Startops1),0,(Returns!$AA$30-$AA25)*T$9/$AA$9)</f>
        <v>-22.0302964607393</v>
      </c>
      <c r="U26" s="590" t="n">
        <f aca="false">IF(U$7&lt;YEAR(Startops1),0,(Returns!$AA$30-$AA25)*U$9/$AA$9)</f>
        <v>-22.0302964607393</v>
      </c>
      <c r="V26" s="590" t="n">
        <f aca="false">IF(V$7&lt;YEAR(Startops1),0,(Returns!$AA$30-$AA25)*V$9/$AA$9)</f>
        <v>-22.0302964607393</v>
      </c>
      <c r="W26" s="590" t="n">
        <f aca="false">IF(W$7&lt;YEAR(Startops1),0,(Returns!$AA$30-$AA25)*W$9/$AA$9)</f>
        <v>-22.0302964607393</v>
      </c>
      <c r="X26" s="590" t="n">
        <f aca="false">IF(X$7&lt;YEAR(Startops1),0,(Returns!$AA$30-$AA25)*X$9/$AA$9)</f>
        <v>-22.0302964607393</v>
      </c>
      <c r="Y26" s="590" t="n">
        <f aca="false">IF(Y$7&lt;YEAR(Startops1),0,(Returns!$AA$30-$AA25)*Y$9/$AA$9)</f>
        <v>-22.0302964607393</v>
      </c>
      <c r="Z26" s="590" t="n">
        <f aca="false">IF(Z$7&lt;YEAR(Startops1),0,(Returns!$AA$30-$AA25)*Z$9/$AA$9)</f>
        <v>-7.34343215357977</v>
      </c>
      <c r="AA26" s="599" t="n">
        <f aca="false">SUM(E26:Z26)</f>
        <v>-400.217052370098</v>
      </c>
      <c r="AB26" s="587" t="str">
        <f aca="false">IF(SUM(AA26+AA25-Returns!AA30)=0," ","Check")</f>
        <v> </v>
      </c>
    </row>
    <row r="27" customFormat="false" ht="12.75" hidden="false" customHeight="false" outlineLevel="0" collapsed="false">
      <c r="A27" s="37" t="s">
        <v>623</v>
      </c>
      <c r="C27" s="39"/>
      <c r="D27" s="533" t="s">
        <v>236</v>
      </c>
      <c r="E27" s="176" t="n">
        <f aca="false">Returns!E31*(1-Returns!$A$25)</f>
        <v>748.712231875809</v>
      </c>
      <c r="F27" s="176" t="n">
        <f aca="false">Returns!F31*(1-Returns!$A$25)</f>
        <v>3165.08754637109</v>
      </c>
      <c r="G27" s="176" t="n">
        <f aca="false">Returns!G31*(1-Returns!$A$25)</f>
        <v>447.663621753098</v>
      </c>
      <c r="H27" s="176" t="n">
        <f aca="false">Returns!H31*(1-Returns!$A$25)</f>
        <v>0</v>
      </c>
      <c r="I27" s="176" t="n">
        <f aca="false">Returns!I31*(1-Returns!$A$25)</f>
        <v>0</v>
      </c>
      <c r="J27" s="176" t="n">
        <f aca="false">Returns!J31*(1-Returns!$A$25)</f>
        <v>0</v>
      </c>
      <c r="K27" s="176" t="n">
        <f aca="false">Returns!K31*(1-Returns!$A$25)</f>
        <v>0</v>
      </c>
      <c r="L27" s="176" t="n">
        <f aca="false">Returns!L31*(1-Returns!$A$25)</f>
        <v>0</v>
      </c>
      <c r="M27" s="176" t="n">
        <f aca="false">Returns!M31*(1-Returns!$A$25)</f>
        <v>0</v>
      </c>
      <c r="N27" s="176" t="n">
        <f aca="false">Returns!N31*(1-Returns!$A$25)</f>
        <v>0</v>
      </c>
      <c r="O27" s="176" t="n">
        <f aca="false">Returns!O31*(1-Returns!$A$25)</f>
        <v>0</v>
      </c>
      <c r="P27" s="176" t="n">
        <f aca="false">Returns!P31*(1-Returns!$A$25)</f>
        <v>0</v>
      </c>
      <c r="Q27" s="176" t="n">
        <f aca="false">Returns!Q31*(1-Returns!$A$25)</f>
        <v>0</v>
      </c>
      <c r="R27" s="176" t="n">
        <f aca="false">Returns!R31*(1-Returns!$A$25)</f>
        <v>0</v>
      </c>
      <c r="S27" s="176" t="n">
        <f aca="false">Returns!S31*(1-Returns!$A$25)</f>
        <v>0</v>
      </c>
      <c r="T27" s="176" t="n">
        <f aca="false">Returns!T31*(1-Returns!$A$25)</f>
        <v>0</v>
      </c>
      <c r="U27" s="176" t="n">
        <f aca="false">Returns!U31*(1-Returns!$A$25)</f>
        <v>0</v>
      </c>
      <c r="V27" s="176" t="n">
        <f aca="false">Returns!V31*(1-Returns!$A$25)</f>
        <v>0</v>
      </c>
      <c r="W27" s="176" t="n">
        <f aca="false">Returns!W31*(1-Returns!$A$25)</f>
        <v>0</v>
      </c>
      <c r="X27" s="176" t="n">
        <f aca="false">Returns!X31*(1-Returns!$A$25)</f>
        <v>0</v>
      </c>
      <c r="Y27" s="176" t="n">
        <f aca="false">Returns!Y31*(1-Returns!$A$25)</f>
        <v>0</v>
      </c>
      <c r="Z27" s="176" t="n">
        <f aca="false">Returns!Z31*(1-Returns!$A$25)</f>
        <v>0</v>
      </c>
      <c r="AA27" s="586" t="n">
        <f aca="false">SUM(E27:Z27)</f>
        <v>4361.4634</v>
      </c>
      <c r="AB27" s="587" t="str">
        <f aca="false">IF(ROUND(AA27+AA28-Returns!AA31,2)=0," ","Check")</f>
        <v> </v>
      </c>
    </row>
    <row r="28" customFormat="false" ht="12.75" hidden="false" customHeight="false" outlineLevel="0" collapsed="false">
      <c r="A28" s="37" t="s">
        <v>624</v>
      </c>
      <c r="C28" s="39"/>
      <c r="D28" s="533" t="s">
        <v>236</v>
      </c>
      <c r="E28" s="176" t="n">
        <f aca="false">(Returns!$AA$31-$AA27)*E$9/$AA$9</f>
        <v>0</v>
      </c>
      <c r="F28" s="176" t="n">
        <f aca="false">(Returns!$AA$31-$AA27)*F$9/$AA$9</f>
        <v>0</v>
      </c>
      <c r="G28" s="176" t="n">
        <f aca="false">(Returns!$AA$31-$AA27)*G$9/$AA$9</f>
        <v>0</v>
      </c>
      <c r="H28" s="176" t="n">
        <f aca="false">(Returns!$AA$31-$AA27)*H$9/$AA$9</f>
        <v>85.7430550458716</v>
      </c>
      <c r="I28" s="176" t="n">
        <f aca="false">(Returns!$AA$31-$AA27)*I$9/$AA$9</f>
        <v>102.891666055046</v>
      </c>
      <c r="J28" s="176" t="n">
        <f aca="false">(Returns!$AA$31-$AA27)*J$9/$AA$9</f>
        <v>102.891666055046</v>
      </c>
      <c r="K28" s="176" t="n">
        <f aca="false">(Returns!$AA$31-$AA27)*K$9/$AA$9</f>
        <v>102.891666055046</v>
      </c>
      <c r="L28" s="176" t="n">
        <f aca="false">(Returns!$AA$31-$AA27)*L$9/$AA$9</f>
        <v>102.891666055046</v>
      </c>
      <c r="M28" s="176" t="n">
        <f aca="false">(Returns!$AA$31-$AA27)*M$9/$AA$9</f>
        <v>102.891666055046</v>
      </c>
      <c r="N28" s="176" t="n">
        <f aca="false">(Returns!$AA$31-$AA27)*N$9/$AA$9</f>
        <v>102.891666055046</v>
      </c>
      <c r="O28" s="176" t="n">
        <f aca="false">(Returns!$AA$31-$AA27)*O$9/$AA$9</f>
        <v>102.891666055046</v>
      </c>
      <c r="P28" s="176" t="n">
        <f aca="false">(Returns!$AA$31-$AA27)*P$9/$AA$9</f>
        <v>102.891666055046</v>
      </c>
      <c r="Q28" s="176" t="n">
        <f aca="false">(Returns!$AA$31-$AA27)*Q$9/$AA$9</f>
        <v>102.891666055046</v>
      </c>
      <c r="R28" s="176" t="n">
        <f aca="false">(Returns!$AA$31-$AA27)*R$9/$AA$9</f>
        <v>102.891666055046</v>
      </c>
      <c r="S28" s="176" t="n">
        <f aca="false">(Returns!$AA$31-$AA27)*S$9/$AA$9</f>
        <v>102.891666055046</v>
      </c>
      <c r="T28" s="176" t="n">
        <f aca="false">(Returns!$AA$31-$AA27)*T$9/$AA$9</f>
        <v>102.891666055046</v>
      </c>
      <c r="U28" s="176" t="n">
        <f aca="false">(Returns!$AA$31-$AA27)*U$9/$AA$9</f>
        <v>102.891666055046</v>
      </c>
      <c r="V28" s="176" t="n">
        <f aca="false">(Returns!$AA$31-$AA27)*V$9/$AA$9</f>
        <v>102.891666055046</v>
      </c>
      <c r="W28" s="176" t="n">
        <f aca="false">(Returns!$AA$31-$AA27)*W$9/$AA$9</f>
        <v>102.891666055046</v>
      </c>
      <c r="X28" s="176" t="n">
        <f aca="false">(Returns!$AA$31-$AA27)*X$9/$AA$9</f>
        <v>102.891666055046</v>
      </c>
      <c r="Y28" s="176" t="n">
        <f aca="false">(Returns!$AA$31-$AA27)*Y$9/$AA$9</f>
        <v>102.891666055046</v>
      </c>
      <c r="Z28" s="176" t="n">
        <f aca="false">(Returns!$AA$31-$AA27)*Z$9/$AA$9</f>
        <v>34.2972220183486</v>
      </c>
      <c r="AA28" s="586" t="n">
        <f aca="false">SUM(E28:Z28)</f>
        <v>1869.1986</v>
      </c>
      <c r="AB28" s="20"/>
    </row>
    <row r="29" customFormat="false" ht="12.75" hidden="false" customHeight="false" outlineLevel="0" collapsed="false">
      <c r="A29" s="37" t="s">
        <v>625</v>
      </c>
      <c r="C29" s="39"/>
      <c r="D29" s="533" t="s">
        <v>236</v>
      </c>
      <c r="E29" s="600" t="n">
        <f aca="false">-SUM(E27:E28)*Wh_Serv</f>
        <v>-93.5890289844761</v>
      </c>
      <c r="F29" s="600" t="n">
        <f aca="false">-SUM(F27:F28)*Wh_Serv</f>
        <v>-395.635943296387</v>
      </c>
      <c r="G29" s="600" t="n">
        <f aca="false">-SUM(G27:G28)*Wh_Serv</f>
        <v>-55.9579527191373</v>
      </c>
      <c r="H29" s="600" t="n">
        <f aca="false">-SUM(H27:H28)*Wh_Serv</f>
        <v>-10.7178818807339</v>
      </c>
      <c r="I29" s="600" t="n">
        <f aca="false">-SUM(I27:I28)*Wh_Serv</f>
        <v>-12.8614582568807</v>
      </c>
      <c r="J29" s="600" t="n">
        <f aca="false">-SUM(J27:J28)*Wh_Serv</f>
        <v>-12.8614582568807</v>
      </c>
      <c r="K29" s="600" t="n">
        <f aca="false">-SUM(K27:K28)*Wh_Serv</f>
        <v>-12.8614582568807</v>
      </c>
      <c r="L29" s="600" t="n">
        <f aca="false">-SUM(L27:L28)*Wh_Serv</f>
        <v>-12.8614582568807</v>
      </c>
      <c r="M29" s="600" t="n">
        <f aca="false">-SUM(M27:M28)*Wh_Serv</f>
        <v>-12.8614582568807</v>
      </c>
      <c r="N29" s="600" t="n">
        <f aca="false">-SUM(N27:N28)*Wh_Serv</f>
        <v>-12.8614582568807</v>
      </c>
      <c r="O29" s="600" t="n">
        <f aca="false">-SUM(O27:O28)*Wh_Serv</f>
        <v>-12.8614582568807</v>
      </c>
      <c r="P29" s="600" t="n">
        <f aca="false">-SUM(P27:P28)*Wh_Serv</f>
        <v>-12.8614582568807</v>
      </c>
      <c r="Q29" s="600" t="n">
        <f aca="false">-SUM(Q27:Q28)*Wh_Serv</f>
        <v>-12.8614582568807</v>
      </c>
      <c r="R29" s="600" t="n">
        <f aca="false">-SUM(R27:R28)*Wh_Serv</f>
        <v>-12.8614582568807</v>
      </c>
      <c r="S29" s="600" t="n">
        <f aca="false">-SUM(S27:S28)*Wh_Serv</f>
        <v>-12.8614582568807</v>
      </c>
      <c r="T29" s="600" t="n">
        <f aca="false">-SUM(T27:T28)*Wh_Serv</f>
        <v>-12.8614582568807</v>
      </c>
      <c r="U29" s="600" t="n">
        <f aca="false">-SUM(U27:U28)*Wh_Serv</f>
        <v>-12.8614582568807</v>
      </c>
      <c r="V29" s="600" t="n">
        <f aca="false">-SUM(V27:V28)*Wh_Serv</f>
        <v>-12.8614582568807</v>
      </c>
      <c r="W29" s="600" t="n">
        <f aca="false">-SUM(W27:W28)*Wh_Serv</f>
        <v>-12.8614582568807</v>
      </c>
      <c r="X29" s="600" t="n">
        <f aca="false">-SUM(X27:X28)*Wh_Serv</f>
        <v>-12.8614582568807</v>
      </c>
      <c r="Y29" s="600" t="n">
        <f aca="false">-SUM(Y27:Y28)*Wh_Serv</f>
        <v>-12.8614582568807</v>
      </c>
      <c r="Z29" s="600" t="n">
        <f aca="false">-SUM(Z27:Z28)*Wh_Serv</f>
        <v>-4.28715275229358</v>
      </c>
      <c r="AA29" s="601" t="n">
        <f aca="false">SUM(E29:Z29)</f>
        <v>-778.83275</v>
      </c>
      <c r="AB29" s="587" t="str">
        <f aca="false">IF(ROUND(AA29-Returns!AA32,5)=0," ","Check")</f>
        <v> </v>
      </c>
    </row>
    <row r="30" customFormat="false" ht="12.75" hidden="false" customHeight="false" outlineLevel="0" collapsed="false">
      <c r="A30" s="109" t="s">
        <v>255</v>
      </c>
      <c r="B30" s="67"/>
      <c r="C30" s="67"/>
      <c r="D30" s="602" t="s">
        <v>236</v>
      </c>
      <c r="E30" s="600" t="n">
        <f aca="false">IF(E$7&gt;=YEAR(Startops1),-Assm!$R$80/$AA$9*E9,0)</f>
        <v>0</v>
      </c>
      <c r="F30" s="600" t="n">
        <f aca="false">IF(F$7&gt;=YEAR(Startops1),-Assm!$R$80/$AA$9*F9,0)</f>
        <v>0</v>
      </c>
      <c r="G30" s="600" t="n">
        <f aca="false">IF(G$7&gt;=YEAR(Startops1),-Assm!$R$80/$AA$9*G9,0)</f>
        <v>0</v>
      </c>
      <c r="H30" s="600" t="n">
        <f aca="false">IF(H$7&gt;=YEAR(Startops1),-Assm!$R$80/$AA$9*H9,0)</f>
        <v>-7.71368072862465</v>
      </c>
      <c r="I30" s="600" t="n">
        <f aca="false">IF(I$7&gt;=YEAR(Startops1),-Assm!$R$80/$AA$9*I9,0)</f>
        <v>-9.25641687434958</v>
      </c>
      <c r="J30" s="600" t="n">
        <f aca="false">IF(J$7&gt;=YEAR(Startops1),-Assm!$R$80/$AA$9*J9,0)</f>
        <v>-9.25641687434958</v>
      </c>
      <c r="K30" s="600" t="n">
        <f aca="false">IF(K$7&gt;=YEAR(Startops1),-Assm!$R$80/$AA$9*K9,0)</f>
        <v>-9.25641687434958</v>
      </c>
      <c r="L30" s="600" t="n">
        <f aca="false">IF(L$7&gt;=YEAR(Startops1),-Assm!$R$80/$AA$9*L9,0)</f>
        <v>-9.25641687434958</v>
      </c>
      <c r="M30" s="600" t="n">
        <f aca="false">IF(M$7&gt;=YEAR(Startops1),-Assm!$R$80/$AA$9*M9,0)</f>
        <v>-9.25641687434958</v>
      </c>
      <c r="N30" s="600" t="n">
        <f aca="false">IF(N$7&gt;=YEAR(Startops1),-Assm!$R$80/$AA$9*N9,0)</f>
        <v>-9.25641687434958</v>
      </c>
      <c r="O30" s="600" t="n">
        <f aca="false">IF(O$7&gt;=YEAR(Startops1),-Assm!$R$80/$AA$9*O9,0)</f>
        <v>-9.25641687434958</v>
      </c>
      <c r="P30" s="600" t="n">
        <f aca="false">IF(P$7&gt;=YEAR(Startops1),-Assm!$R$80/$AA$9*P9,0)</f>
        <v>-9.25641687434958</v>
      </c>
      <c r="Q30" s="600" t="n">
        <f aca="false">IF(Q$7&gt;=YEAR(Startops1),-Assm!$R$80/$AA$9*Q9,0)</f>
        <v>-9.25641687434958</v>
      </c>
      <c r="R30" s="600" t="n">
        <f aca="false">IF(R$7&gt;=YEAR(Startops1),-Assm!$R$80/$AA$9*R9,0)</f>
        <v>-9.25641687434958</v>
      </c>
      <c r="S30" s="600" t="n">
        <f aca="false">IF(S$7&gt;=YEAR(Startops1),-Assm!$R$80/$AA$9*S9,0)</f>
        <v>-9.25641687434958</v>
      </c>
      <c r="T30" s="600" t="n">
        <f aca="false">IF(T$7&gt;=YEAR(Startops1),-Assm!$R$80/$AA$9*T9,0)</f>
        <v>-9.25641687434958</v>
      </c>
      <c r="U30" s="600" t="n">
        <f aca="false">IF(U$7&gt;=YEAR(Startops1),-Assm!$R$80/$AA$9*U9,0)</f>
        <v>-9.25641687434958</v>
      </c>
      <c r="V30" s="600" t="n">
        <f aca="false">IF(V$7&gt;=YEAR(Startops1),-Assm!$R$80/$AA$9*V9,0)</f>
        <v>-9.25641687434958</v>
      </c>
      <c r="W30" s="600" t="n">
        <f aca="false">IF(W$7&gt;=YEAR(Startops1),-Assm!$R$80/$AA$9*W9,0)</f>
        <v>-9.25641687434958</v>
      </c>
      <c r="X30" s="600" t="n">
        <f aca="false">IF(X$7&gt;=YEAR(Startops1),-Assm!$R$80/$AA$9*X9,0)</f>
        <v>-9.25641687434958</v>
      </c>
      <c r="Y30" s="600" t="n">
        <f aca="false">IF(Y$7&gt;=YEAR(Startops1),-Assm!$R$80/$AA$9*Y9,0)</f>
        <v>-9.25641687434958</v>
      </c>
      <c r="Z30" s="600" t="n">
        <f aca="false">IF(Z$7&gt;=YEAR(Startops1),-Assm!$R$80/$AA$9*Z9,0)</f>
        <v>-3.08547229144986</v>
      </c>
      <c r="AA30" s="601" t="n">
        <f aca="false">SUM(E30:Z30)</f>
        <v>-168.158239884017</v>
      </c>
      <c r="AB30" s="587"/>
      <c r="AC30" s="419"/>
      <c r="AD30" s="419"/>
      <c r="AE30" s="419"/>
      <c r="AF30" s="419"/>
      <c r="AG30" s="419"/>
      <c r="AH30" s="419"/>
      <c r="AI30" s="419"/>
      <c r="AJ30" s="419"/>
      <c r="AK30" s="419"/>
      <c r="AL30" s="419"/>
      <c r="AM30" s="419"/>
      <c r="AN30" s="419"/>
      <c r="AO30" s="419"/>
      <c r="AP30" s="419"/>
      <c r="AQ30" s="419"/>
      <c r="AR30" s="419"/>
      <c r="AS30" s="419"/>
      <c r="AT30" s="419"/>
      <c r="AU30" s="419"/>
      <c r="AV30" s="419"/>
      <c r="AW30" s="419"/>
      <c r="AX30" s="419"/>
      <c r="AY30" s="419"/>
      <c r="AZ30" s="419"/>
      <c r="BA30" s="419"/>
      <c r="BB30" s="419"/>
      <c r="BC30" s="419"/>
      <c r="BD30" s="419"/>
      <c r="BE30" s="419"/>
      <c r="BF30" s="419"/>
      <c r="BG30" s="419"/>
      <c r="BH30" s="419"/>
      <c r="BI30" s="419"/>
      <c r="BJ30" s="419"/>
      <c r="BK30" s="419"/>
      <c r="BL30" s="419"/>
      <c r="BM30" s="419"/>
      <c r="BN30" s="419"/>
      <c r="BO30" s="419"/>
      <c r="BP30" s="419"/>
      <c r="BQ30" s="419"/>
      <c r="BR30" s="419"/>
      <c r="BS30" s="419"/>
      <c r="BT30" s="419"/>
      <c r="BU30" s="419"/>
      <c r="BV30" s="419"/>
      <c r="BW30" s="419"/>
      <c r="BX30" s="419"/>
      <c r="BY30" s="419"/>
      <c r="BZ30" s="419"/>
      <c r="CA30" s="419"/>
      <c r="CB30" s="419"/>
      <c r="CC30" s="419"/>
      <c r="CD30" s="419"/>
      <c r="CE30" s="419"/>
      <c r="CF30" s="419"/>
      <c r="CG30" s="419"/>
      <c r="CH30" s="419"/>
      <c r="CI30" s="419"/>
      <c r="CJ30" s="419"/>
      <c r="CK30" s="419"/>
      <c r="CL30" s="419"/>
      <c r="CM30" s="419"/>
      <c r="CN30" s="419"/>
      <c r="CO30" s="419"/>
      <c r="CP30" s="419"/>
      <c r="CQ30" s="419"/>
      <c r="CR30" s="419"/>
      <c r="CS30" s="419"/>
      <c r="CT30" s="419"/>
      <c r="CU30" s="419"/>
      <c r="CV30" s="419"/>
      <c r="CW30" s="419"/>
      <c r="CX30" s="419"/>
      <c r="CY30" s="419"/>
      <c r="CZ30" s="419"/>
      <c r="DA30" s="419"/>
      <c r="DB30" s="419"/>
      <c r="DC30" s="419"/>
      <c r="DD30" s="419"/>
      <c r="DE30" s="419"/>
      <c r="DF30" s="419"/>
      <c r="DG30" s="419"/>
      <c r="DH30" s="419"/>
      <c r="DI30" s="419"/>
      <c r="DJ30" s="419"/>
      <c r="DK30" s="419"/>
      <c r="DL30" s="419"/>
      <c r="DM30" s="419"/>
      <c r="DN30" s="419"/>
      <c r="DO30" s="419"/>
      <c r="DP30" s="419"/>
      <c r="DQ30" s="419"/>
      <c r="DR30" s="419"/>
      <c r="DS30" s="419"/>
      <c r="DT30" s="419"/>
      <c r="DU30" s="419"/>
      <c r="DV30" s="419"/>
      <c r="DW30" s="419"/>
      <c r="DX30" s="419"/>
      <c r="DY30" s="419"/>
      <c r="DZ30" s="419"/>
      <c r="EA30" s="419"/>
      <c r="EB30" s="419"/>
      <c r="EC30" s="419"/>
      <c r="ED30" s="419"/>
      <c r="EE30" s="419"/>
      <c r="EF30" s="419"/>
      <c r="EG30" s="419"/>
      <c r="EH30" s="419"/>
      <c r="EI30" s="419"/>
      <c r="EJ30" s="419"/>
      <c r="EK30" s="419"/>
      <c r="EL30" s="419"/>
      <c r="EM30" s="419"/>
      <c r="EN30" s="419"/>
      <c r="EO30" s="419"/>
      <c r="EP30" s="419"/>
      <c r="EQ30" s="419"/>
      <c r="ER30" s="419"/>
      <c r="ES30" s="419"/>
      <c r="ET30" s="419"/>
      <c r="EU30" s="419"/>
      <c r="EV30" s="419"/>
      <c r="EW30" s="419"/>
      <c r="EX30" s="419"/>
      <c r="EY30" s="419"/>
      <c r="EZ30" s="419"/>
      <c r="FA30" s="419"/>
      <c r="FB30" s="419"/>
      <c r="FC30" s="419"/>
      <c r="FD30" s="419"/>
      <c r="FE30" s="419"/>
      <c r="FF30" s="419"/>
      <c r="FG30" s="419"/>
      <c r="FH30" s="419"/>
      <c r="FI30" s="419"/>
      <c r="FJ30" s="419"/>
      <c r="FK30" s="419"/>
      <c r="FL30" s="419"/>
      <c r="FM30" s="419"/>
      <c r="FN30" s="419"/>
      <c r="FO30" s="419"/>
      <c r="FP30" s="419"/>
      <c r="FQ30" s="419"/>
      <c r="FR30" s="419"/>
      <c r="FS30" s="419"/>
      <c r="FT30" s="419"/>
      <c r="FU30" s="419"/>
      <c r="FV30" s="419"/>
      <c r="FW30" s="419"/>
      <c r="FX30" s="419"/>
      <c r="FY30" s="419"/>
      <c r="FZ30" s="419"/>
      <c r="GA30" s="419"/>
      <c r="GB30" s="419"/>
      <c r="GC30" s="419"/>
      <c r="GD30" s="419"/>
      <c r="GE30" s="419"/>
      <c r="GF30" s="419"/>
      <c r="GG30" s="419"/>
      <c r="GH30" s="419"/>
      <c r="GI30" s="419"/>
      <c r="GJ30" s="419"/>
      <c r="GK30" s="419"/>
      <c r="GL30" s="419"/>
      <c r="GM30" s="419"/>
      <c r="GN30" s="419"/>
      <c r="GO30" s="419"/>
      <c r="GP30" s="419"/>
      <c r="GQ30" s="419"/>
      <c r="GR30" s="419"/>
      <c r="GS30" s="419"/>
      <c r="GT30" s="419"/>
      <c r="GU30" s="419"/>
      <c r="GV30" s="419"/>
      <c r="GW30" s="419"/>
      <c r="GX30" s="419"/>
      <c r="GY30" s="419"/>
      <c r="GZ30" s="419"/>
      <c r="HA30" s="419"/>
      <c r="HB30" s="419"/>
      <c r="HC30" s="419"/>
      <c r="HD30" s="419"/>
      <c r="HE30" s="419"/>
      <c r="HF30" s="419"/>
      <c r="HG30" s="419"/>
      <c r="HH30" s="419"/>
      <c r="HI30" s="419"/>
      <c r="HJ30" s="419"/>
      <c r="HK30" s="419"/>
      <c r="HL30" s="419"/>
      <c r="HM30" s="419"/>
      <c r="HN30" s="419"/>
      <c r="HO30" s="419"/>
      <c r="HP30" s="419"/>
      <c r="HQ30" s="419"/>
      <c r="HR30" s="419"/>
      <c r="HS30" s="419"/>
      <c r="HT30" s="419"/>
      <c r="HU30" s="419"/>
      <c r="HV30" s="419"/>
      <c r="HW30" s="419"/>
      <c r="HX30" s="419"/>
      <c r="HY30" s="419"/>
      <c r="HZ30" s="419"/>
      <c r="IA30" s="419"/>
      <c r="IB30" s="419"/>
      <c r="IC30" s="419"/>
      <c r="ID30" s="419"/>
      <c r="IE30" s="419"/>
      <c r="IF30" s="419"/>
      <c r="IG30" s="419"/>
      <c r="IH30" s="419"/>
      <c r="II30" s="419"/>
      <c r="IJ30" s="419"/>
      <c r="IK30" s="419"/>
      <c r="IL30" s="419"/>
      <c r="IM30" s="419"/>
      <c r="IN30" s="419"/>
      <c r="IO30" s="419"/>
      <c r="IP30" s="419"/>
      <c r="IQ30" s="419"/>
      <c r="IR30" s="419"/>
      <c r="IS30" s="419"/>
      <c r="IT30" s="419"/>
      <c r="IU30" s="419"/>
      <c r="IV30" s="419"/>
      <c r="IW30" s="419"/>
    </row>
    <row r="31" customFormat="false" ht="12.75" hidden="false" customHeight="false" outlineLevel="0" collapsed="false">
      <c r="A31" s="109" t="s">
        <v>257</v>
      </c>
      <c r="B31" s="67"/>
      <c r="C31" s="67"/>
      <c r="D31" s="602" t="s">
        <v>236</v>
      </c>
      <c r="E31" s="600" t="n">
        <f aca="false">IF(E$7&gt;=YEAR(Startops1),-Assm!$R$81/$AA$9*E9,0)</f>
        <v>0</v>
      </c>
      <c r="F31" s="600" t="n">
        <f aca="false">IF(F$7&gt;=YEAR(Startops1),-Assm!$R$81/$AA$9*F9,0)</f>
        <v>0</v>
      </c>
      <c r="G31" s="600" t="n">
        <f aca="false">IF(G$7&gt;=YEAR(Startops1),-Assm!$R$81/$AA$9*G9,0)</f>
        <v>0</v>
      </c>
      <c r="H31" s="600" t="n">
        <f aca="false">IF(H$7&gt;=YEAR(Startops1),-Assm!$R$81/$AA$9*H9,0)</f>
        <v>-31.1009174311927</v>
      </c>
      <c r="I31" s="600" t="n">
        <f aca="false">IF(I$7&gt;=YEAR(Startops1),-Assm!$R$81/$AA$9*I9,0)</f>
        <v>-37.3211009174312</v>
      </c>
      <c r="J31" s="600" t="n">
        <f aca="false">IF(J$7&gt;=YEAR(Startops1),-Assm!$R$81/$AA$9*J9,0)</f>
        <v>-37.3211009174312</v>
      </c>
      <c r="K31" s="600" t="n">
        <f aca="false">IF(K$7&gt;=YEAR(Startops1),-Assm!$R$81/$AA$9*K9,0)</f>
        <v>-37.3211009174312</v>
      </c>
      <c r="L31" s="600" t="n">
        <f aca="false">IF(L$7&gt;=YEAR(Startops1),-Assm!$R$81/$AA$9*L9,0)</f>
        <v>-37.3211009174312</v>
      </c>
      <c r="M31" s="600" t="n">
        <f aca="false">IF(M$7&gt;=YEAR(Startops1),-Assm!$R$81/$AA$9*M9,0)</f>
        <v>-37.3211009174312</v>
      </c>
      <c r="N31" s="600" t="n">
        <f aca="false">IF(N$7&gt;=YEAR(Startops1),-Assm!$R$81/$AA$9*N9,0)</f>
        <v>-37.3211009174312</v>
      </c>
      <c r="O31" s="600" t="n">
        <f aca="false">IF(O$7&gt;=YEAR(Startops1),-Assm!$R$81/$AA$9*O9,0)</f>
        <v>-37.3211009174312</v>
      </c>
      <c r="P31" s="600" t="n">
        <f aca="false">IF(P$7&gt;=YEAR(Startops1),-Assm!$R$81/$AA$9*P9,0)</f>
        <v>-37.3211009174312</v>
      </c>
      <c r="Q31" s="600" t="n">
        <f aca="false">IF(Q$7&gt;=YEAR(Startops1),-Assm!$R$81/$AA$9*Q9,0)</f>
        <v>-37.3211009174312</v>
      </c>
      <c r="R31" s="600" t="n">
        <f aca="false">IF(R$7&gt;=YEAR(Startops1),-Assm!$R$81/$AA$9*R9,0)</f>
        <v>-37.3211009174312</v>
      </c>
      <c r="S31" s="600" t="n">
        <f aca="false">IF(S$7&gt;=YEAR(Startops1),-Assm!$R$81/$AA$9*S9,0)</f>
        <v>-37.3211009174312</v>
      </c>
      <c r="T31" s="600" t="n">
        <f aca="false">IF(T$7&gt;=YEAR(Startops1),-Assm!$R$81/$AA$9*T9,0)</f>
        <v>-37.3211009174312</v>
      </c>
      <c r="U31" s="600" t="n">
        <f aca="false">IF(U$7&gt;=YEAR(Startops1),-Assm!$R$81/$AA$9*U9,0)</f>
        <v>-37.3211009174312</v>
      </c>
      <c r="V31" s="600" t="n">
        <f aca="false">IF(V$7&gt;=YEAR(Startops1),-Assm!$R$81/$AA$9*V9,0)</f>
        <v>-37.3211009174312</v>
      </c>
      <c r="W31" s="600" t="n">
        <f aca="false">IF(W$7&gt;=YEAR(Startops1),-Assm!$R$81/$AA$9*W9,0)</f>
        <v>-37.3211009174312</v>
      </c>
      <c r="X31" s="600" t="n">
        <f aca="false">IF(X$7&gt;=YEAR(Startops1),-Assm!$R$81/$AA$9*X9,0)</f>
        <v>-37.3211009174312</v>
      </c>
      <c r="Y31" s="600" t="n">
        <f aca="false">IF(Y$7&gt;=YEAR(Startops1),-Assm!$R$81/$AA$9*Y9,0)</f>
        <v>-37.3211009174312</v>
      </c>
      <c r="Z31" s="600" t="n">
        <f aca="false">IF(Z$7&gt;=YEAR(Startops1),-Assm!$R$81/$AA$9*Z9,0)</f>
        <v>-12.4403669724771</v>
      </c>
      <c r="AA31" s="601" t="n">
        <f aca="false">SUM(E31:Z31)</f>
        <v>-678</v>
      </c>
      <c r="AB31" s="587"/>
      <c r="AC31" s="419"/>
      <c r="AD31" s="419"/>
      <c r="AE31" s="419"/>
      <c r="AF31" s="419"/>
      <c r="AG31" s="419"/>
      <c r="AH31" s="419"/>
      <c r="AI31" s="419"/>
      <c r="AJ31" s="419"/>
      <c r="AK31" s="419"/>
      <c r="AL31" s="419"/>
      <c r="AM31" s="419"/>
      <c r="AN31" s="419"/>
      <c r="AO31" s="419"/>
      <c r="AP31" s="419"/>
      <c r="AQ31" s="419"/>
      <c r="AR31" s="419"/>
      <c r="AS31" s="419"/>
      <c r="AT31" s="419"/>
      <c r="AU31" s="419"/>
      <c r="AV31" s="419"/>
      <c r="AW31" s="419"/>
      <c r="AX31" s="419"/>
      <c r="AY31" s="419"/>
      <c r="AZ31" s="419"/>
      <c r="BA31" s="419"/>
      <c r="BB31" s="419"/>
      <c r="BC31" s="419"/>
      <c r="BD31" s="419"/>
      <c r="BE31" s="419"/>
      <c r="BF31" s="419"/>
      <c r="BG31" s="419"/>
      <c r="BH31" s="419"/>
      <c r="BI31" s="419"/>
      <c r="BJ31" s="419"/>
      <c r="BK31" s="419"/>
      <c r="BL31" s="419"/>
      <c r="BM31" s="419"/>
      <c r="BN31" s="419"/>
      <c r="BO31" s="419"/>
      <c r="BP31" s="419"/>
      <c r="BQ31" s="419"/>
      <c r="BR31" s="419"/>
      <c r="BS31" s="419"/>
      <c r="BT31" s="419"/>
      <c r="BU31" s="419"/>
      <c r="BV31" s="419"/>
      <c r="BW31" s="419"/>
      <c r="BX31" s="419"/>
      <c r="BY31" s="419"/>
      <c r="BZ31" s="419"/>
      <c r="CA31" s="419"/>
      <c r="CB31" s="419"/>
      <c r="CC31" s="419"/>
      <c r="CD31" s="419"/>
      <c r="CE31" s="419"/>
      <c r="CF31" s="419"/>
      <c r="CG31" s="419"/>
      <c r="CH31" s="419"/>
      <c r="CI31" s="419"/>
      <c r="CJ31" s="419"/>
      <c r="CK31" s="419"/>
      <c r="CL31" s="419"/>
      <c r="CM31" s="419"/>
      <c r="CN31" s="419"/>
      <c r="CO31" s="419"/>
      <c r="CP31" s="419"/>
      <c r="CQ31" s="419"/>
      <c r="CR31" s="419"/>
      <c r="CS31" s="419"/>
      <c r="CT31" s="419"/>
      <c r="CU31" s="419"/>
      <c r="CV31" s="419"/>
      <c r="CW31" s="419"/>
      <c r="CX31" s="419"/>
      <c r="CY31" s="419"/>
      <c r="CZ31" s="419"/>
      <c r="DA31" s="419"/>
      <c r="DB31" s="419"/>
      <c r="DC31" s="419"/>
      <c r="DD31" s="419"/>
      <c r="DE31" s="419"/>
      <c r="DF31" s="419"/>
      <c r="DG31" s="419"/>
      <c r="DH31" s="419"/>
      <c r="DI31" s="419"/>
      <c r="DJ31" s="419"/>
      <c r="DK31" s="419"/>
      <c r="DL31" s="419"/>
      <c r="DM31" s="419"/>
      <c r="DN31" s="419"/>
      <c r="DO31" s="419"/>
      <c r="DP31" s="419"/>
      <c r="DQ31" s="419"/>
      <c r="DR31" s="419"/>
      <c r="DS31" s="419"/>
      <c r="DT31" s="419"/>
      <c r="DU31" s="419"/>
      <c r="DV31" s="419"/>
      <c r="DW31" s="419"/>
      <c r="DX31" s="419"/>
      <c r="DY31" s="419"/>
      <c r="DZ31" s="419"/>
      <c r="EA31" s="419"/>
      <c r="EB31" s="419"/>
      <c r="EC31" s="419"/>
      <c r="ED31" s="419"/>
      <c r="EE31" s="419"/>
      <c r="EF31" s="419"/>
      <c r="EG31" s="419"/>
      <c r="EH31" s="419"/>
      <c r="EI31" s="419"/>
      <c r="EJ31" s="419"/>
      <c r="EK31" s="419"/>
      <c r="EL31" s="419"/>
      <c r="EM31" s="419"/>
      <c r="EN31" s="419"/>
      <c r="EO31" s="419"/>
      <c r="EP31" s="419"/>
      <c r="EQ31" s="419"/>
      <c r="ER31" s="419"/>
      <c r="ES31" s="419"/>
      <c r="ET31" s="419"/>
      <c r="EU31" s="419"/>
      <c r="EV31" s="419"/>
      <c r="EW31" s="419"/>
      <c r="EX31" s="419"/>
      <c r="EY31" s="419"/>
      <c r="EZ31" s="419"/>
      <c r="FA31" s="419"/>
      <c r="FB31" s="419"/>
      <c r="FC31" s="419"/>
      <c r="FD31" s="419"/>
      <c r="FE31" s="419"/>
      <c r="FF31" s="419"/>
      <c r="FG31" s="419"/>
      <c r="FH31" s="419"/>
      <c r="FI31" s="419"/>
      <c r="FJ31" s="419"/>
      <c r="FK31" s="419"/>
      <c r="FL31" s="419"/>
      <c r="FM31" s="419"/>
      <c r="FN31" s="419"/>
      <c r="FO31" s="419"/>
      <c r="FP31" s="419"/>
      <c r="FQ31" s="419"/>
      <c r="FR31" s="419"/>
      <c r="FS31" s="419"/>
      <c r="FT31" s="419"/>
      <c r="FU31" s="419"/>
      <c r="FV31" s="419"/>
      <c r="FW31" s="419"/>
      <c r="FX31" s="419"/>
      <c r="FY31" s="419"/>
      <c r="FZ31" s="419"/>
      <c r="GA31" s="419"/>
      <c r="GB31" s="419"/>
      <c r="GC31" s="419"/>
      <c r="GD31" s="419"/>
      <c r="GE31" s="419"/>
      <c r="GF31" s="419"/>
      <c r="GG31" s="419"/>
      <c r="GH31" s="419"/>
      <c r="GI31" s="419"/>
      <c r="GJ31" s="419"/>
      <c r="GK31" s="419"/>
      <c r="GL31" s="419"/>
      <c r="GM31" s="419"/>
      <c r="GN31" s="419"/>
      <c r="GO31" s="419"/>
      <c r="GP31" s="419"/>
      <c r="GQ31" s="419"/>
      <c r="GR31" s="419"/>
      <c r="GS31" s="419"/>
      <c r="GT31" s="419"/>
      <c r="GU31" s="419"/>
      <c r="GV31" s="419"/>
      <c r="GW31" s="419"/>
      <c r="GX31" s="419"/>
      <c r="GY31" s="419"/>
      <c r="GZ31" s="419"/>
      <c r="HA31" s="419"/>
      <c r="HB31" s="419"/>
      <c r="HC31" s="419"/>
      <c r="HD31" s="419"/>
      <c r="HE31" s="419"/>
      <c r="HF31" s="419"/>
      <c r="HG31" s="419"/>
      <c r="HH31" s="419"/>
      <c r="HI31" s="419"/>
      <c r="HJ31" s="419"/>
      <c r="HK31" s="419"/>
      <c r="HL31" s="419"/>
      <c r="HM31" s="419"/>
      <c r="HN31" s="419"/>
      <c r="HO31" s="419"/>
      <c r="HP31" s="419"/>
      <c r="HQ31" s="419"/>
      <c r="HR31" s="419"/>
      <c r="HS31" s="419"/>
      <c r="HT31" s="419"/>
      <c r="HU31" s="419"/>
      <c r="HV31" s="419"/>
      <c r="HW31" s="419"/>
      <c r="HX31" s="419"/>
      <c r="HY31" s="419"/>
      <c r="HZ31" s="419"/>
      <c r="IA31" s="419"/>
      <c r="IB31" s="419"/>
      <c r="IC31" s="419"/>
      <c r="ID31" s="419"/>
      <c r="IE31" s="419"/>
      <c r="IF31" s="419"/>
      <c r="IG31" s="419"/>
      <c r="IH31" s="419"/>
      <c r="II31" s="419"/>
      <c r="IJ31" s="419"/>
      <c r="IK31" s="419"/>
      <c r="IL31" s="419"/>
      <c r="IM31" s="419"/>
      <c r="IN31" s="419"/>
      <c r="IO31" s="419"/>
      <c r="IP31" s="419"/>
      <c r="IQ31" s="419"/>
      <c r="IR31" s="419"/>
      <c r="IS31" s="419"/>
      <c r="IT31" s="419"/>
      <c r="IU31" s="419"/>
      <c r="IV31" s="419"/>
      <c r="IW31" s="419"/>
    </row>
    <row r="32" customFormat="false" ht="12.75" hidden="false" customHeight="false" outlineLevel="0" collapsed="false">
      <c r="A32" s="37" t="s">
        <v>626</v>
      </c>
      <c r="C32" s="39"/>
      <c r="D32" s="533" t="s">
        <v>236</v>
      </c>
      <c r="E32" s="176" t="n">
        <f aca="false">Returns!E35*(1-Returns!$A$25)</f>
        <v>0</v>
      </c>
      <c r="F32" s="176" t="n">
        <f aca="false">Returns!F35*(1-Returns!$A$25)</f>
        <v>0</v>
      </c>
      <c r="G32" s="176" t="n">
        <f aca="false">Returns!G35*(1-Returns!$A$25)</f>
        <v>0</v>
      </c>
      <c r="H32" s="176" t="n">
        <f aca="false">Returns!H35*(1-Returns!$A$25)</f>
        <v>0</v>
      </c>
      <c r="I32" s="176" t="n">
        <f aca="false">Returns!I35*(1-Returns!$A$25)</f>
        <v>0</v>
      </c>
      <c r="J32" s="176" t="n">
        <f aca="false">Returns!J35*(1-Returns!$A$25)</f>
        <v>0</v>
      </c>
      <c r="K32" s="176" t="n">
        <f aca="false">Returns!K35*(1-Returns!$A$25)</f>
        <v>0</v>
      </c>
      <c r="L32" s="176" t="n">
        <f aca="false">Returns!L35*(1-Returns!$A$25)</f>
        <v>0</v>
      </c>
      <c r="M32" s="176" t="n">
        <f aca="false">Returns!M35*(1-Returns!$A$25)</f>
        <v>0</v>
      </c>
      <c r="N32" s="176" t="n">
        <f aca="false">Returns!N35*(1-Returns!$A$25)</f>
        <v>0</v>
      </c>
      <c r="O32" s="176" t="n">
        <f aca="false">Returns!O35*(1-Returns!$A$25)</f>
        <v>0</v>
      </c>
      <c r="P32" s="176" t="n">
        <f aca="false">Returns!P35*(1-Returns!$A$25)</f>
        <v>0</v>
      </c>
      <c r="Q32" s="176" t="n">
        <f aca="false">Returns!Q35*(1-Returns!$A$25)</f>
        <v>0</v>
      </c>
      <c r="R32" s="176" t="n">
        <f aca="false">Returns!R35*(1-Returns!$A$25)</f>
        <v>0</v>
      </c>
      <c r="S32" s="176" t="n">
        <f aca="false">Returns!S35*(1-Returns!$A$25)</f>
        <v>0</v>
      </c>
      <c r="T32" s="176" t="n">
        <f aca="false">Returns!T35*(1-Returns!$A$25)</f>
        <v>0</v>
      </c>
      <c r="U32" s="176" t="n">
        <f aca="false">Returns!U35*(1-Returns!$A$25)</f>
        <v>0</v>
      </c>
      <c r="V32" s="176" t="n">
        <f aca="false">Returns!V35*(1-Returns!$A$25)</f>
        <v>0</v>
      </c>
      <c r="W32" s="176" t="n">
        <f aca="false">Returns!W35*(1-Returns!$A$25)</f>
        <v>0</v>
      </c>
      <c r="X32" s="176" t="n">
        <f aca="false">Returns!X35*(1-Returns!$A$25)</f>
        <v>0</v>
      </c>
      <c r="Y32" s="176" t="n">
        <f aca="false">Returns!Y35*(1-Returns!$A$25)</f>
        <v>0</v>
      </c>
      <c r="Z32" s="176" t="n">
        <f aca="false">Returns!Z35*(1-Returns!$A$25)</f>
        <v>0</v>
      </c>
      <c r="AA32" s="586" t="n">
        <f aca="false">SUM(E32:Z32)</f>
        <v>0</v>
      </c>
      <c r="AB32" s="587" t="str">
        <f aca="false">IF(SUM(AA32+AA33-Returns!AA35)=0," ","Check")</f>
        <v> </v>
      </c>
    </row>
    <row r="33" customFormat="false" ht="12.75" hidden="false" customHeight="false" outlineLevel="0" collapsed="false">
      <c r="A33" s="37" t="s">
        <v>627</v>
      </c>
      <c r="C33" s="39"/>
      <c r="D33" s="533" t="s">
        <v>236</v>
      </c>
      <c r="E33" s="176" t="n">
        <f aca="false">(Returns!$AA$35-$AA32)/Term*E$9/12</f>
        <v>0</v>
      </c>
      <c r="F33" s="176" t="n">
        <f aca="false">(Returns!$AA$35-$AA32)/Term*F$9/12</f>
        <v>0</v>
      </c>
      <c r="G33" s="176" t="n">
        <f aca="false">(Returns!$AA$35-$AA32)/Term*G$9/12</f>
        <v>0</v>
      </c>
      <c r="H33" s="176" t="n">
        <f aca="false">(Returns!$AA$35-$AA32)/Term*H$9/12</f>
        <v>0</v>
      </c>
      <c r="I33" s="176" t="n">
        <f aca="false">(Returns!$AA$35-$AA32)/Term*I$9/12</f>
        <v>0</v>
      </c>
      <c r="J33" s="176" t="n">
        <f aca="false">(Returns!$AA$35-$AA32)/Term*J$9/12</f>
        <v>0</v>
      </c>
      <c r="K33" s="176" t="n">
        <f aca="false">(Returns!$AA$35-$AA32)/Term*K$9/12</f>
        <v>0</v>
      </c>
      <c r="L33" s="176" t="n">
        <f aca="false">(Returns!$AA$35-$AA32)/Term*L$9/12</f>
        <v>0</v>
      </c>
      <c r="M33" s="176" t="n">
        <f aca="false">(Returns!$AA$35-$AA32)/Term*M$9/12</f>
        <v>0</v>
      </c>
      <c r="N33" s="176" t="n">
        <f aca="false">(Returns!$AA$35-$AA32)/Term*N$9/12</f>
        <v>0</v>
      </c>
      <c r="O33" s="176" t="n">
        <f aca="false">(Returns!$AA$35-$AA32)/Term*O$9/12</f>
        <v>0</v>
      </c>
      <c r="P33" s="176" t="n">
        <f aca="false">(Returns!$AA$35-$AA32)/Term*P$9/12</f>
        <v>0</v>
      </c>
      <c r="Q33" s="176" t="n">
        <f aca="false">(Returns!$AA$35-$AA32)/Term*Q$9/12</f>
        <v>0</v>
      </c>
      <c r="R33" s="176" t="n">
        <f aca="false">(Returns!$AA$35-$AA32)/Term*R$9/12</f>
        <v>0</v>
      </c>
      <c r="S33" s="176" t="n">
        <f aca="false">(Returns!$AA$35-$AA32)/Term*S$9/12</f>
        <v>0</v>
      </c>
      <c r="T33" s="176" t="n">
        <f aca="false">(Returns!$AA$35-$AA32)/Term*T$9/12</f>
        <v>0</v>
      </c>
      <c r="U33" s="176" t="n">
        <f aca="false">(Returns!$AA$35-$AA32)/Term*U$9/12</f>
        <v>0</v>
      </c>
      <c r="V33" s="176" t="n">
        <f aca="false">(Returns!$AA$35-$AA32)/Term*V$9/12</f>
        <v>0</v>
      </c>
      <c r="W33" s="176" t="n">
        <f aca="false">(Returns!$AA$35-$AA32)/Term*W$9/12</f>
        <v>0</v>
      </c>
      <c r="X33" s="176" t="n">
        <f aca="false">(Returns!$AA$35-$AA32)/Term*X$9/12</f>
        <v>0</v>
      </c>
      <c r="Y33" s="176" t="n">
        <f aca="false">(Returns!$AA$35-$AA32)/Term*Y$9/12</f>
        <v>0</v>
      </c>
      <c r="Z33" s="176" t="n">
        <f aca="false">(Returns!$AA$35-$AA32)/Term*Z$9/12</f>
        <v>0</v>
      </c>
      <c r="AA33" s="586" t="n">
        <f aca="false">SUM(E33:Z33)</f>
        <v>0</v>
      </c>
      <c r="AB33" s="441"/>
    </row>
    <row r="34" customFormat="false" ht="12.75" hidden="false" customHeight="false" outlineLevel="0" collapsed="false">
      <c r="A34" s="603" t="s">
        <v>514</v>
      </c>
      <c r="C34" s="604"/>
      <c r="D34" s="533" t="s">
        <v>236</v>
      </c>
      <c r="E34" s="590" t="n">
        <f aca="false">Returns!E36</f>
        <v>0</v>
      </c>
      <c r="F34" s="590" t="n">
        <f aca="false">Returns!F36</f>
        <v>0</v>
      </c>
      <c r="G34" s="590" t="n">
        <f aca="false">Returns!G36</f>
        <v>0</v>
      </c>
      <c r="H34" s="590" t="n">
        <f aca="false">Returns!H36</f>
        <v>0</v>
      </c>
      <c r="I34" s="590" t="n">
        <f aca="false">Returns!I36</f>
        <v>0</v>
      </c>
      <c r="J34" s="590" t="n">
        <f aca="false">Returns!J36</f>
        <v>0</v>
      </c>
      <c r="K34" s="590" t="n">
        <f aca="false">Returns!K36</f>
        <v>0</v>
      </c>
      <c r="L34" s="590" t="n">
        <f aca="false">Returns!L36</f>
        <v>0</v>
      </c>
      <c r="M34" s="590" t="n">
        <f aca="false">Returns!M36</f>
        <v>0</v>
      </c>
      <c r="N34" s="590" t="n">
        <f aca="false">Returns!N36</f>
        <v>0</v>
      </c>
      <c r="O34" s="590" t="n">
        <f aca="false">Returns!O36</f>
        <v>0</v>
      </c>
      <c r="P34" s="590" t="n">
        <f aca="false">Returns!P36</f>
        <v>0</v>
      </c>
      <c r="Q34" s="590" t="n">
        <f aca="false">Returns!Q36</f>
        <v>0</v>
      </c>
      <c r="R34" s="590" t="n">
        <f aca="false">Returns!R36</f>
        <v>0</v>
      </c>
      <c r="S34" s="590" t="n">
        <f aca="false">Returns!S36</f>
        <v>0</v>
      </c>
      <c r="T34" s="590" t="n">
        <f aca="false">Returns!T36</f>
        <v>0</v>
      </c>
      <c r="U34" s="590" t="n">
        <f aca="false">Returns!U36</f>
        <v>0</v>
      </c>
      <c r="V34" s="590" t="n">
        <f aca="false">Returns!V36</f>
        <v>0</v>
      </c>
      <c r="W34" s="590" t="n">
        <f aca="false">Returns!W36</f>
        <v>0</v>
      </c>
      <c r="X34" s="590" t="n">
        <f aca="false">Returns!X36</f>
        <v>0</v>
      </c>
      <c r="Y34" s="590" t="n">
        <f aca="false">Returns!Y36</f>
        <v>0</v>
      </c>
      <c r="Z34" s="590" t="n">
        <f aca="false">Returns!Z36</f>
        <v>0</v>
      </c>
      <c r="AA34" s="586" t="n">
        <f aca="false">SUM(E34:Z34)</f>
        <v>0</v>
      </c>
      <c r="AB34" s="587" t="str">
        <f aca="false">IF(SUM(AA34-Returns!AA36)=0," ","Check")</f>
        <v> </v>
      </c>
    </row>
    <row r="35" customFormat="false" ht="12.75" hidden="false" customHeight="false" outlineLevel="0" collapsed="false">
      <c r="A35" s="603" t="s">
        <v>628</v>
      </c>
      <c r="C35" s="604"/>
      <c r="D35" s="533" t="s">
        <v>236</v>
      </c>
      <c r="E35" s="176" t="n">
        <f aca="false">Returns!E29</f>
        <v>0</v>
      </c>
      <c r="F35" s="176" t="n">
        <f aca="false">Returns!F29</f>
        <v>0</v>
      </c>
      <c r="G35" s="176" t="n">
        <f aca="false">Returns!G29</f>
        <v>0</v>
      </c>
      <c r="H35" s="176" t="n">
        <f aca="false">Returns!H29</f>
        <v>-0</v>
      </c>
      <c r="I35" s="176" t="n">
        <f aca="false">Returns!I29</f>
        <v>-90.2211712307968</v>
      </c>
      <c r="J35" s="176" t="n">
        <f aca="false">Returns!J29</f>
        <v>-168.743957881986</v>
      </c>
      <c r="K35" s="176" t="n">
        <f aca="false">Returns!K29</f>
        <v>-226.94076872631</v>
      </c>
      <c r="L35" s="176" t="n">
        <f aca="false">Returns!L29</f>
        <v>-310.759316702618</v>
      </c>
      <c r="M35" s="176" t="n">
        <f aca="false">Returns!M29</f>
        <v>-336.735140351265</v>
      </c>
      <c r="N35" s="176" t="n">
        <f aca="false">Returns!N29</f>
        <v>-388.888546908916</v>
      </c>
      <c r="O35" s="176" t="n">
        <f aca="false">Returns!O29</f>
        <v>-388.888546908916</v>
      </c>
      <c r="P35" s="176" t="n">
        <f aca="false">Returns!P29</f>
        <v>-418.184029464918</v>
      </c>
      <c r="Q35" s="176" t="n">
        <f aca="false">Returns!Q29</f>
        <v>-500.113869635728</v>
      </c>
      <c r="R35" s="176" t="n">
        <f aca="false">Returns!R29</f>
        <v>-587.505061870322</v>
      </c>
      <c r="S35" s="176" t="n">
        <f aca="false">Returns!S29</f>
        <v>-641.298718954265</v>
      </c>
      <c r="T35" s="176" t="n">
        <f aca="false">Returns!T29</f>
        <v>-641.298718954265</v>
      </c>
      <c r="U35" s="176" t="n">
        <f aca="false">Returns!U29</f>
        <v>-609.684517704719</v>
      </c>
      <c r="V35" s="176" t="n">
        <f aca="false">Returns!V29</f>
        <v>-583.717994529949</v>
      </c>
      <c r="W35" s="176" t="n">
        <f aca="false">Returns!W29</f>
        <v>-562.012001930312</v>
      </c>
      <c r="X35" s="176" t="n">
        <f aca="false">Returns!X29</f>
        <v>-657.246385404913</v>
      </c>
      <c r="Y35" s="176" t="n">
        <f aca="false">Returns!Y29</f>
        <v>-753.085867415458</v>
      </c>
      <c r="Z35" s="176" t="n">
        <f aca="false">Returns!Z29</f>
        <v>-283.193720930383</v>
      </c>
      <c r="AA35" s="586" t="n">
        <f aca="false">SUM(E35:Z35)</f>
        <v>-8148.51833550604</v>
      </c>
      <c r="AB35" s="587" t="str">
        <f aca="false">IF(SUM(AA35-Returns!AA29)=0," ","Check")</f>
        <v> </v>
      </c>
    </row>
    <row r="36" customFormat="false" ht="12.75" hidden="false" customHeight="false" outlineLevel="0" collapsed="false">
      <c r="A36" s="37" t="s">
        <v>629</v>
      </c>
      <c r="C36" s="39"/>
      <c r="D36" s="39"/>
      <c r="E36" s="588" t="n">
        <f aca="false">-SUM(E23:E35)*USTax</f>
        <v>-242.395585069793</v>
      </c>
      <c r="F36" s="588" t="n">
        <f aca="false">-SUM(F23:F35)*USTax</f>
        <v>-1024.69709313764</v>
      </c>
      <c r="G36" s="588" t="n">
        <f aca="false">-SUM(G23:G35)*USTax</f>
        <v>-144.931097542566</v>
      </c>
      <c r="H36" s="588" t="n">
        <f aca="false">-SUM(H23:H35)*USTax</f>
        <v>48.3281967300725</v>
      </c>
      <c r="I36" s="588" t="n">
        <f aca="false">-SUM(I23:I35)*USTax</f>
        <v>88.688914963049</v>
      </c>
      <c r="J36" s="588" t="n">
        <f aca="false">-SUM(J23:J35)*USTax</f>
        <v>113.591606213102</v>
      </c>
      <c r="K36" s="588" t="n">
        <f aca="false">-SUM(K23:K35)*USTax</f>
        <v>133.526885292133</v>
      </c>
      <c r="L36" s="588" t="n">
        <f aca="false">-SUM(L23:L35)*USTax</f>
        <v>167.428578052995</v>
      </c>
      <c r="M36" s="588" t="n">
        <f aca="false">-SUM(M23:M35)*USTax</f>
        <v>208.681608954997</v>
      </c>
      <c r="N36" s="588" t="n">
        <f aca="false">-SUM(N23:N35)*USTax</f>
        <v>302.6746911781</v>
      </c>
      <c r="O36" s="588" t="n">
        <f aca="false">-SUM(O23:O35)*USTax</f>
        <v>316.039382408399</v>
      </c>
      <c r="P36" s="588" t="n">
        <f aca="false">-SUM(P23:P35)*USTax</f>
        <v>348.188692248453</v>
      </c>
      <c r="Q36" s="588" t="n">
        <f aca="false">-SUM(Q23:Q35)*USTax</f>
        <v>392.855184877673</v>
      </c>
      <c r="R36" s="588" t="n">
        <f aca="false">-SUM(R23:R35)*USTax</f>
        <v>442.773874045514</v>
      </c>
      <c r="S36" s="588" t="n">
        <f aca="false">-SUM(S23:S35)*USTax</f>
        <v>490.131404969592</v>
      </c>
      <c r="T36" s="588" t="n">
        <f aca="false">-SUM(T23:T35)*USTax</f>
        <v>484.713286291134</v>
      </c>
      <c r="U36" s="588" t="n">
        <f aca="false">-SUM(U23:U35)*USTax</f>
        <v>507.970575011755</v>
      </c>
      <c r="V36" s="588" t="n">
        <f aca="false">-SUM(V23:V35)*USTax</f>
        <v>516.970574907773</v>
      </c>
      <c r="W36" s="588" t="n">
        <f aca="false">-SUM(W23:W35)*USTax</f>
        <v>522.32983213214</v>
      </c>
      <c r="X36" s="588" t="n">
        <f aca="false">-SUM(X23:X35)*USTax</f>
        <v>569.275615978952</v>
      </c>
      <c r="Y36" s="588" t="n">
        <f aca="false">-SUM(Y23:Y35)*USTax</f>
        <v>617.383878630529</v>
      </c>
      <c r="Z36" s="588" t="n">
        <f aca="false">-SUM(Z23:Z35)*USTax</f>
        <v>1026.36381292259</v>
      </c>
      <c r="AA36" s="589" t="n">
        <f aca="false">SUM(E36:Z36)</f>
        <v>5885.89282005895</v>
      </c>
    </row>
    <row r="37" customFormat="false" ht="12.75" hidden="false" customHeight="false" outlineLevel="0" collapsed="false">
      <c r="A37" s="37"/>
      <c r="B37" s="39" t="s">
        <v>630</v>
      </c>
      <c r="C37" s="39"/>
      <c r="D37" s="39"/>
      <c r="E37" s="176" t="n">
        <f aca="false">SUM(E23:E36)</f>
        <v>412.72761782154</v>
      </c>
      <c r="F37" s="176" t="n">
        <f aca="false">SUM(F23:F36)</f>
        <v>1744.75450993707</v>
      </c>
      <c r="G37" s="176" t="n">
        <f aca="false">SUM(G23:G36)</f>
        <v>246.774571491395</v>
      </c>
      <c r="H37" s="176" t="n">
        <f aca="false">SUM(H23:H36)</f>
        <v>-82.2885511890423</v>
      </c>
      <c r="I37" s="176" t="n">
        <f aca="false">SUM(I23:I36)</f>
        <v>-151.010855207354</v>
      </c>
      <c r="J37" s="176" t="n">
        <f aca="false">SUM(J23:J36)</f>
        <v>-193.412734903389</v>
      </c>
      <c r="K37" s="176" t="n">
        <f aca="false">SUM(K23:K36)</f>
        <v>-227.356588470388</v>
      </c>
      <c r="L37" s="176" t="n">
        <f aca="false">SUM(L23:L36)</f>
        <v>-285.081092360506</v>
      </c>
      <c r="M37" s="176" t="n">
        <f aca="false">SUM(M23:M36)</f>
        <v>-355.322739572021</v>
      </c>
      <c r="N37" s="176" t="n">
        <f aca="false">SUM(N23:N36)</f>
        <v>-515.365014708657</v>
      </c>
      <c r="O37" s="176" t="n">
        <f aca="false">SUM(O23:O36)</f>
        <v>-538.121110587274</v>
      </c>
      <c r="P37" s="176" t="n">
        <f aca="false">SUM(P23:P36)</f>
        <v>-592.86182734196</v>
      </c>
      <c r="Q37" s="176" t="n">
        <f aca="false">SUM(Q23:Q36)</f>
        <v>-668.915585061983</v>
      </c>
      <c r="R37" s="176" t="n">
        <f aca="false">SUM(R23:R36)</f>
        <v>-753.912272023443</v>
      </c>
      <c r="S37" s="176" t="n">
        <f aca="false">SUM(S23:S36)</f>
        <v>-834.548067921198</v>
      </c>
      <c r="T37" s="176" t="n">
        <f aca="false">SUM(T23:T36)</f>
        <v>-825.322622603823</v>
      </c>
      <c r="U37" s="176" t="n">
        <f aca="false">SUM(U23:U36)</f>
        <v>-864.922870965961</v>
      </c>
      <c r="V37" s="176" t="n">
        <f aca="false">SUM(V23:V36)</f>
        <v>-880.247195113235</v>
      </c>
      <c r="W37" s="176" t="n">
        <f aca="false">SUM(W23:W36)</f>
        <v>-889.372416873643</v>
      </c>
      <c r="X37" s="176" t="n">
        <f aca="false">SUM(X23:X36)</f>
        <v>-969.307129910107</v>
      </c>
      <c r="Y37" s="176" t="n">
        <f aca="false">SUM(Y23:Y36)</f>
        <v>-1051.22119874928</v>
      </c>
      <c r="Z37" s="176" t="n">
        <f aca="false">SUM(Z23:Z36)</f>
        <v>-1747.59243821955</v>
      </c>
      <c r="AA37" s="586" t="n">
        <f aca="false">SUM(E37:Z37)</f>
        <v>-10021.9256125328</v>
      </c>
    </row>
    <row r="38" customFormat="false" ht="12.75" hidden="false" customHeight="false" outlineLevel="0" collapsed="false">
      <c r="A38" s="37"/>
      <c r="C38" s="39"/>
      <c r="D38" s="39"/>
      <c r="E38" s="605"/>
      <c r="F38" s="605"/>
      <c r="G38" s="605"/>
      <c r="H38" s="605"/>
      <c r="I38" s="605"/>
      <c r="J38" s="605"/>
      <c r="K38" s="605"/>
      <c r="L38" s="605"/>
      <c r="M38" s="605"/>
      <c r="N38" s="605"/>
      <c r="O38" s="605"/>
      <c r="P38" s="605"/>
      <c r="Q38" s="605"/>
      <c r="R38" s="605"/>
      <c r="S38" s="605"/>
      <c r="T38" s="605"/>
      <c r="U38" s="605"/>
      <c r="V38" s="605"/>
      <c r="W38" s="605"/>
      <c r="X38" s="605"/>
      <c r="Y38" s="605"/>
      <c r="Z38" s="605"/>
      <c r="AA38" s="596"/>
    </row>
    <row r="39" customFormat="false" ht="12.75" hidden="false" customHeight="false" outlineLevel="0" collapsed="false">
      <c r="A39" s="97" t="s">
        <v>631</v>
      </c>
      <c r="C39" s="39"/>
      <c r="D39" s="39"/>
      <c r="E39" s="605"/>
      <c r="F39" s="605"/>
      <c r="G39" s="605"/>
      <c r="H39" s="605"/>
      <c r="I39" s="605"/>
      <c r="J39" s="605"/>
      <c r="K39" s="605"/>
      <c r="L39" s="605"/>
      <c r="M39" s="605"/>
      <c r="N39" s="605"/>
      <c r="O39" s="605"/>
      <c r="P39" s="605"/>
      <c r="Q39" s="605"/>
      <c r="R39" s="605"/>
      <c r="S39" s="605"/>
      <c r="T39" s="605"/>
      <c r="U39" s="605"/>
      <c r="V39" s="605"/>
      <c r="W39" s="605"/>
      <c r="X39" s="605"/>
      <c r="Y39" s="605"/>
      <c r="Z39" s="605"/>
      <c r="AA39" s="596"/>
    </row>
    <row r="40" customFormat="false" ht="12.75" hidden="false" customHeight="false" outlineLevel="0" collapsed="false">
      <c r="A40" s="37" t="str">
        <f aca="false">CONCATENATE("Plus: Interest Income - ",TEXT(Int_BL,"0.00%"))</f>
        <v>Plus: Interest Income - 6.00%</v>
      </c>
      <c r="C40" s="39"/>
      <c r="D40" s="533" t="s">
        <v>272</v>
      </c>
      <c r="E40" s="176" t="n">
        <f aca="false">Returns!E50</f>
        <v>0</v>
      </c>
      <c r="F40" s="176" t="n">
        <f aca="false">Returns!F50</f>
        <v>246.000979895534</v>
      </c>
      <c r="G40" s="176" t="n">
        <f aca="false">Returns!G50</f>
        <v>709.899118472099</v>
      </c>
      <c r="H40" s="176" t="n">
        <f aca="false">Returns!H50</f>
        <v>0</v>
      </c>
      <c r="I40" s="176" t="n">
        <f aca="false">Returns!I50</f>
        <v>0</v>
      </c>
      <c r="J40" s="176" t="n">
        <f aca="false">Returns!J50</f>
        <v>0</v>
      </c>
      <c r="K40" s="176" t="n">
        <f aca="false">Returns!K50</f>
        <v>0</v>
      </c>
      <c r="L40" s="176" t="n">
        <f aca="false">Returns!L50</f>
        <v>0</v>
      </c>
      <c r="M40" s="176" t="n">
        <f aca="false">Returns!M50</f>
        <v>0</v>
      </c>
      <c r="N40" s="176" t="n">
        <f aca="false">Returns!N50</f>
        <v>0</v>
      </c>
      <c r="O40" s="176" t="n">
        <f aca="false">Returns!O50</f>
        <v>0</v>
      </c>
      <c r="P40" s="176" t="n">
        <f aca="false">Returns!P50</f>
        <v>0</v>
      </c>
      <c r="Q40" s="176" t="n">
        <f aca="false">Returns!Q50</f>
        <v>0</v>
      </c>
      <c r="R40" s="176" t="n">
        <f aca="false">Returns!R50</f>
        <v>0</v>
      </c>
      <c r="S40" s="176" t="n">
        <f aca="false">Returns!S50</f>
        <v>0</v>
      </c>
      <c r="T40" s="176" t="n">
        <f aca="false">Returns!T50</f>
        <v>0</v>
      </c>
      <c r="U40" s="176" t="n">
        <f aca="false">Returns!U50</f>
        <v>0</v>
      </c>
      <c r="V40" s="176" t="n">
        <f aca="false">Returns!V50</f>
        <v>0</v>
      </c>
      <c r="W40" s="176" t="n">
        <f aca="false">Returns!W50</f>
        <v>0</v>
      </c>
      <c r="X40" s="176" t="n">
        <f aca="false">Returns!X50</f>
        <v>0</v>
      </c>
      <c r="Y40" s="176" t="n">
        <f aca="false">Returns!Y50</f>
        <v>0</v>
      </c>
      <c r="Z40" s="176" t="n">
        <f aca="false">Returns!Z50</f>
        <v>0</v>
      </c>
      <c r="AA40" s="586" t="n">
        <f aca="false">SUM(E40:Z40)</f>
        <v>955.900098367632</v>
      </c>
    </row>
    <row r="41" customFormat="false" ht="12.75" hidden="false" customHeight="false" outlineLevel="0" collapsed="false">
      <c r="A41" s="37" t="str">
        <f aca="false">CONCATENATE("Less: Enron Cost Of Funds - ",TEXT(Ecf,"0.00%"))</f>
        <v>Less: Enron Cost Of Funds - 6.50%</v>
      </c>
      <c r="C41" s="39"/>
      <c r="D41" s="533" t="s">
        <v>272</v>
      </c>
      <c r="E41" s="176" t="n">
        <f aca="false">-E40/Int_BL*Ecf</f>
        <v>-0</v>
      </c>
      <c r="F41" s="176" t="n">
        <f aca="false">-F40/Int_BL*Ecf</f>
        <v>-266.501061553495</v>
      </c>
      <c r="G41" s="176" t="n">
        <f aca="false">-G40/Int_BL*Ecf</f>
        <v>-769.057378344774</v>
      </c>
      <c r="H41" s="176" t="n">
        <f aca="false">-H40/Int_BL*Ecf</f>
        <v>-0</v>
      </c>
      <c r="I41" s="176" t="n">
        <f aca="false">-I40/Int_BL*Ecf</f>
        <v>-0</v>
      </c>
      <c r="J41" s="176" t="n">
        <f aca="false">-J40/Int_BL*Ecf</f>
        <v>-0</v>
      </c>
      <c r="K41" s="176" t="n">
        <f aca="false">-K40/Int_BL*Ecf</f>
        <v>-0</v>
      </c>
      <c r="L41" s="176" t="n">
        <f aca="false">-L40/Int_BL*Ecf</f>
        <v>-0</v>
      </c>
      <c r="M41" s="176" t="n">
        <f aca="false">-M40/Int_BL*Ecf</f>
        <v>-0</v>
      </c>
      <c r="N41" s="176" t="n">
        <f aca="false">-N40/Int_BL*Ecf</f>
        <v>-0</v>
      </c>
      <c r="O41" s="176" t="n">
        <f aca="false">-O40/Int_BL*Ecf</f>
        <v>-0</v>
      </c>
      <c r="P41" s="176" t="n">
        <f aca="false">-P40/Int_BL*Ecf</f>
        <v>-0</v>
      </c>
      <c r="Q41" s="176" t="n">
        <f aca="false">-Q40/Int_BL*Ecf</f>
        <v>-0</v>
      </c>
      <c r="R41" s="176" t="n">
        <f aca="false">-R40/Int_BL*Ecf</f>
        <v>-0</v>
      </c>
      <c r="S41" s="176" t="n">
        <f aca="false">-S40/Int_BL*Ecf</f>
        <v>-0</v>
      </c>
      <c r="T41" s="176" t="n">
        <f aca="false">-T40/Int_BL*Ecf</f>
        <v>-0</v>
      </c>
      <c r="U41" s="176" t="n">
        <f aca="false">-U40/Int_BL*Ecf</f>
        <v>-0</v>
      </c>
      <c r="V41" s="176" t="n">
        <f aca="false">-V40/Int_BL*Ecf</f>
        <v>-0</v>
      </c>
      <c r="W41" s="176" t="n">
        <f aca="false">-W40/Int_BL*Ecf</f>
        <v>-0</v>
      </c>
      <c r="X41" s="176" t="n">
        <f aca="false">-X40/Int_BL*Ecf</f>
        <v>-0</v>
      </c>
      <c r="Y41" s="176" t="n">
        <f aca="false">-Y40/Int_BL*Ecf</f>
        <v>-0</v>
      </c>
      <c r="Z41" s="176" t="n">
        <f aca="false">-Z40/Int_BL*Ecf</f>
        <v>-0</v>
      </c>
      <c r="AA41" s="586" t="n">
        <f aca="false">SUM(E41:Z41)</f>
        <v>-1035.55843989827</v>
      </c>
    </row>
    <row r="42" customFormat="false" ht="12.75" hidden="false" customHeight="false" outlineLevel="0" collapsed="false">
      <c r="A42" s="37" t="str">
        <f aca="false">CONCATENATE("Less: Political Risk Insurance - ",TEXT(Opic,"0.00%"))</f>
        <v>Less: Political Risk Insurance - 1.00%</v>
      </c>
      <c r="C42" s="39"/>
      <c r="D42" s="533" t="s">
        <v>272</v>
      </c>
      <c r="E42" s="176" t="n">
        <f aca="false">Returns!E52</f>
        <v>0</v>
      </c>
      <c r="F42" s="176" t="n">
        <f aca="false">Returns!F52</f>
        <v>-89.3828839991485</v>
      </c>
      <c r="G42" s="176" t="n">
        <f aca="false">Returns!G52</f>
        <v>-89.3828839991485</v>
      </c>
      <c r="H42" s="176" t="n">
        <f aca="false">Returns!H52</f>
        <v>0</v>
      </c>
      <c r="I42" s="176" t="n">
        <f aca="false">Returns!I52</f>
        <v>0</v>
      </c>
      <c r="J42" s="176" t="n">
        <f aca="false">Returns!J52</f>
        <v>0</v>
      </c>
      <c r="K42" s="176" t="n">
        <f aca="false">Returns!K52</f>
        <v>0</v>
      </c>
      <c r="L42" s="176" t="n">
        <f aca="false">Returns!L52</f>
        <v>0</v>
      </c>
      <c r="M42" s="176" t="n">
        <f aca="false">Returns!M52</f>
        <v>0</v>
      </c>
      <c r="N42" s="176" t="n">
        <f aca="false">Returns!N52</f>
        <v>0</v>
      </c>
      <c r="O42" s="176" t="n">
        <f aca="false">Returns!O52</f>
        <v>0</v>
      </c>
      <c r="P42" s="176" t="n">
        <f aca="false">Returns!P52</f>
        <v>0</v>
      </c>
      <c r="Q42" s="176" t="n">
        <f aca="false">Returns!Q52</f>
        <v>0</v>
      </c>
      <c r="R42" s="176" t="n">
        <f aca="false">Returns!R52</f>
        <v>0</v>
      </c>
      <c r="S42" s="176" t="n">
        <f aca="false">Returns!S52</f>
        <v>0</v>
      </c>
      <c r="T42" s="176" t="n">
        <f aca="false">Returns!T52</f>
        <v>0</v>
      </c>
      <c r="U42" s="176" t="n">
        <f aca="false">Returns!U52</f>
        <v>0</v>
      </c>
      <c r="V42" s="176" t="n">
        <f aca="false">Returns!V52</f>
        <v>0</v>
      </c>
      <c r="W42" s="176" t="n">
        <f aca="false">Returns!W52</f>
        <v>0</v>
      </c>
      <c r="X42" s="176" t="n">
        <f aca="false">Returns!X52</f>
        <v>0</v>
      </c>
      <c r="Y42" s="176" t="n">
        <f aca="false">Returns!Y52</f>
        <v>0</v>
      </c>
      <c r="Z42" s="176" t="n">
        <f aca="false">Returns!Z52</f>
        <v>0</v>
      </c>
      <c r="AA42" s="586" t="n">
        <f aca="false">SUM(E42:Z42)</f>
        <v>-178.765767998297</v>
      </c>
    </row>
    <row r="43" customFormat="false" ht="12.75" hidden="false" customHeight="false" outlineLevel="0" collapsed="false">
      <c r="A43" s="37" t="s">
        <v>632</v>
      </c>
      <c r="C43" s="39"/>
      <c r="D43" s="39"/>
      <c r="E43" s="588" t="n">
        <f aca="false">USTax*-SUM(E39:E42)</f>
        <v>-0</v>
      </c>
      <c r="F43" s="588" t="n">
        <f aca="false">USTax*-SUM(F39:F42)</f>
        <v>40.6566972931306</v>
      </c>
      <c r="G43" s="588" t="n">
        <f aca="false">USTax*-SUM(G39:G42)</f>
        <v>54.9602232325747</v>
      </c>
      <c r="H43" s="588" t="n">
        <f aca="false">USTax*-SUM(H39:H42)</f>
        <v>-0</v>
      </c>
      <c r="I43" s="588" t="n">
        <f aca="false">USTax*-SUM(I39:I42)</f>
        <v>-0</v>
      </c>
      <c r="J43" s="588" t="n">
        <f aca="false">USTax*-SUM(J39:J42)</f>
        <v>-0</v>
      </c>
      <c r="K43" s="588" t="n">
        <f aca="false">USTax*-SUM(K39:K42)</f>
        <v>-0</v>
      </c>
      <c r="L43" s="588" t="n">
        <f aca="false">USTax*-SUM(L39:L42)</f>
        <v>-0</v>
      </c>
      <c r="M43" s="588" t="n">
        <f aca="false">USTax*-SUM(M39:M42)</f>
        <v>-0</v>
      </c>
      <c r="N43" s="588" t="n">
        <f aca="false">USTax*-SUM(N39:N42)</f>
        <v>-0</v>
      </c>
      <c r="O43" s="588" t="n">
        <f aca="false">USTax*-SUM(O39:O42)</f>
        <v>-0</v>
      </c>
      <c r="P43" s="588" t="n">
        <f aca="false">USTax*-SUM(P39:P42)</f>
        <v>-0</v>
      </c>
      <c r="Q43" s="588" t="n">
        <f aca="false">USTax*-SUM(Q39:Q42)</f>
        <v>-0</v>
      </c>
      <c r="R43" s="588" t="n">
        <f aca="false">USTax*-SUM(R39:R42)</f>
        <v>-0</v>
      </c>
      <c r="S43" s="588" t="n">
        <f aca="false">USTax*-SUM(S39:S42)</f>
        <v>-0</v>
      </c>
      <c r="T43" s="588" t="n">
        <f aca="false">USTax*-SUM(T39:T42)</f>
        <v>-0</v>
      </c>
      <c r="U43" s="588" t="n">
        <f aca="false">USTax*-SUM(U39:U42)</f>
        <v>-0</v>
      </c>
      <c r="V43" s="588" t="n">
        <f aca="false">USTax*-SUM(V39:V42)</f>
        <v>-0</v>
      </c>
      <c r="W43" s="588" t="n">
        <f aca="false">USTax*-SUM(W39:W42)</f>
        <v>-0</v>
      </c>
      <c r="X43" s="588" t="n">
        <f aca="false">USTax*-SUM(X39:X42)</f>
        <v>-0</v>
      </c>
      <c r="Y43" s="588" t="n">
        <f aca="false">USTax*-SUM(Y39:Y42)</f>
        <v>-0</v>
      </c>
      <c r="Z43" s="588" t="n">
        <f aca="false">USTax*-SUM(Z39:Z42)</f>
        <v>-0</v>
      </c>
      <c r="AA43" s="589" t="n">
        <f aca="false">SUM(E43:Z43)</f>
        <v>95.6169205257052</v>
      </c>
    </row>
    <row r="44" customFormat="false" ht="12.75" hidden="false" customHeight="false" outlineLevel="0" collapsed="false">
      <c r="A44" s="37"/>
      <c r="B44" s="39" t="s">
        <v>633</v>
      </c>
      <c r="C44" s="39"/>
      <c r="D44" s="39"/>
      <c r="E44" s="176" t="n">
        <f aca="false">SUM(E39:E43)</f>
        <v>0</v>
      </c>
      <c r="F44" s="176" t="n">
        <f aca="false">SUM(F39:F43)</f>
        <v>-69.2262683639791</v>
      </c>
      <c r="G44" s="176" t="n">
        <f aca="false">SUM(G39:G43)</f>
        <v>-93.5809206392488</v>
      </c>
      <c r="H44" s="176" t="n">
        <f aca="false">SUM(H39:H43)</f>
        <v>0</v>
      </c>
      <c r="I44" s="176" t="n">
        <f aca="false">SUM(I39:I43)</f>
        <v>0</v>
      </c>
      <c r="J44" s="176" t="n">
        <f aca="false">SUM(J39:J43)</f>
        <v>0</v>
      </c>
      <c r="K44" s="176" t="n">
        <f aca="false">SUM(K39:K43)</f>
        <v>0</v>
      </c>
      <c r="L44" s="176" t="n">
        <f aca="false">SUM(L39:L43)</f>
        <v>0</v>
      </c>
      <c r="M44" s="176" t="n">
        <f aca="false">SUM(M39:M43)</f>
        <v>0</v>
      </c>
      <c r="N44" s="176" t="n">
        <f aca="false">SUM(N39:N43)</f>
        <v>0</v>
      </c>
      <c r="O44" s="176" t="n">
        <f aca="false">SUM(O39:O43)</f>
        <v>0</v>
      </c>
      <c r="P44" s="176" t="n">
        <f aca="false">SUM(P39:P43)</f>
        <v>0</v>
      </c>
      <c r="Q44" s="176" t="n">
        <f aca="false">SUM(Q39:Q43)</f>
        <v>0</v>
      </c>
      <c r="R44" s="176" t="n">
        <f aca="false">SUM(R39:R43)</f>
        <v>0</v>
      </c>
      <c r="S44" s="176" t="n">
        <f aca="false">SUM(S39:S43)</f>
        <v>0</v>
      </c>
      <c r="T44" s="176" t="n">
        <f aca="false">SUM(T39:T43)</f>
        <v>0</v>
      </c>
      <c r="U44" s="176" t="n">
        <f aca="false">SUM(U39:U43)</f>
        <v>0</v>
      </c>
      <c r="V44" s="176" t="n">
        <f aca="false">SUM(V39:V43)</f>
        <v>0</v>
      </c>
      <c r="W44" s="176" t="n">
        <f aca="false">SUM(W39:W43)</f>
        <v>0</v>
      </c>
      <c r="X44" s="176" t="n">
        <f aca="false">SUM(X39:X43)</f>
        <v>0</v>
      </c>
      <c r="Y44" s="176" t="n">
        <f aca="false">SUM(Y39:Y43)</f>
        <v>0</v>
      </c>
      <c r="Z44" s="176" t="n">
        <f aca="false">SUM(Z39:Z43)</f>
        <v>0</v>
      </c>
      <c r="AA44" s="586" t="n">
        <f aca="false">SUM(E44:Z44)</f>
        <v>-162.807189003228</v>
      </c>
    </row>
    <row r="45" customFormat="false" ht="12.75" hidden="false" customHeight="false" outlineLevel="0" collapsed="false">
      <c r="A45" s="37"/>
      <c r="C45" s="39"/>
      <c r="D45" s="39"/>
      <c r="E45" s="605"/>
      <c r="F45" s="605"/>
      <c r="G45" s="605"/>
      <c r="H45" s="605"/>
      <c r="I45" s="605"/>
      <c r="J45" s="605"/>
      <c r="K45" s="605"/>
      <c r="L45" s="605"/>
      <c r="M45" s="605"/>
      <c r="N45" s="605"/>
      <c r="O45" s="605"/>
      <c r="P45" s="605"/>
      <c r="Q45" s="605"/>
      <c r="R45" s="605"/>
      <c r="S45" s="605"/>
      <c r="T45" s="605"/>
      <c r="U45" s="605"/>
      <c r="V45" s="605"/>
      <c r="W45" s="605"/>
      <c r="X45" s="605"/>
      <c r="Y45" s="605"/>
      <c r="Z45" s="605"/>
      <c r="AA45" s="596"/>
    </row>
    <row r="46" customFormat="false" ht="12.75" hidden="false" customHeight="false" outlineLevel="0" collapsed="false">
      <c r="A46" s="97" t="s">
        <v>634</v>
      </c>
      <c r="C46" s="39"/>
      <c r="D46" s="39"/>
      <c r="E46" s="605"/>
      <c r="F46" s="605"/>
      <c r="G46" s="605"/>
      <c r="H46" s="605"/>
      <c r="I46" s="605"/>
      <c r="J46" s="605"/>
      <c r="K46" s="605"/>
      <c r="L46" s="605"/>
      <c r="M46" s="605"/>
      <c r="N46" s="605"/>
      <c r="O46" s="605"/>
      <c r="P46" s="605"/>
      <c r="Q46" s="605"/>
      <c r="R46" s="605"/>
      <c r="S46" s="605"/>
      <c r="T46" s="605"/>
      <c r="U46" s="605"/>
      <c r="V46" s="605"/>
      <c r="W46" s="605"/>
      <c r="X46" s="605"/>
      <c r="Y46" s="605"/>
      <c r="Z46" s="605"/>
      <c r="AA46" s="596"/>
    </row>
    <row r="47" customFormat="false" ht="12.75" hidden="false" customHeight="false" outlineLevel="0" collapsed="false">
      <c r="A47" s="37"/>
      <c r="B47" s="39" t="s">
        <v>619</v>
      </c>
      <c r="C47" s="39"/>
      <c r="D47" s="39"/>
      <c r="E47" s="176" t="n">
        <f aca="false">E21</f>
        <v>0</v>
      </c>
      <c r="F47" s="176" t="n">
        <f aca="false">F21</f>
        <v>0</v>
      </c>
      <c r="G47" s="176" t="n">
        <f aca="false">G21</f>
        <v>0</v>
      </c>
      <c r="H47" s="176" t="n">
        <f aca="false">H21</f>
        <v>-413.439520818857</v>
      </c>
      <c r="I47" s="176" t="n">
        <f aca="false">I21</f>
        <v>-806.958135111931</v>
      </c>
      <c r="J47" s="176" t="n">
        <f aca="false">J21</f>
        <v>-910.182263423802</v>
      </c>
      <c r="K47" s="176" t="n">
        <f aca="false">K21</f>
        <v>424.443466115679</v>
      </c>
      <c r="L47" s="176" t="n">
        <f aca="false">L21</f>
        <v>666.138742842709</v>
      </c>
      <c r="M47" s="176" t="n">
        <f aca="false">M21</f>
        <v>1799.75515235819</v>
      </c>
      <c r="N47" s="176" t="n">
        <f aca="false">N21</f>
        <v>2256.67987104093</v>
      </c>
      <c r="O47" s="176" t="n">
        <f aca="false">O21</f>
        <v>2550.52827277692</v>
      </c>
      <c r="P47" s="176" t="n">
        <f aca="false">P21</f>
        <v>3023.46834193591</v>
      </c>
      <c r="Q47" s="176" t="n">
        <f aca="false">Q21</f>
        <v>3336.51530630931</v>
      </c>
      <c r="R47" s="176" t="n">
        <f aca="false">R21</f>
        <v>3721.58956446091</v>
      </c>
      <c r="S47" s="176" t="n">
        <f aca="false">S21</f>
        <v>4329.05387479535</v>
      </c>
      <c r="T47" s="176" t="n">
        <f aca="false">T21</f>
        <v>4187.90825464226</v>
      </c>
      <c r="U47" s="176" t="n">
        <f aca="false">U21</f>
        <v>4963.64891976458</v>
      </c>
      <c r="V47" s="176" t="n">
        <f aca="false">V21</f>
        <v>5365.12426832872</v>
      </c>
      <c r="W47" s="176" t="n">
        <f aca="false">W21</f>
        <v>5646.50629310337</v>
      </c>
      <c r="X47" s="176" t="n">
        <f aca="false">X21</f>
        <v>5888.5457074809</v>
      </c>
      <c r="Y47" s="176" t="n">
        <f aca="false">Y21</f>
        <v>6150.87105353937</v>
      </c>
      <c r="Z47" s="176" t="n">
        <f aca="false">Z21</f>
        <v>2053.19073823917</v>
      </c>
      <c r="AA47" s="586" t="n">
        <f aca="false">SUM(E47:Z47)</f>
        <v>54233.3879083797</v>
      </c>
    </row>
    <row r="48" customFormat="false" ht="12.75" hidden="false" customHeight="false" outlineLevel="0" collapsed="false">
      <c r="A48" s="37"/>
      <c r="B48" s="39" t="s">
        <v>630</v>
      </c>
      <c r="C48" s="39"/>
      <c r="D48" s="39"/>
      <c r="E48" s="176" t="n">
        <f aca="false">E37</f>
        <v>412.72761782154</v>
      </c>
      <c r="F48" s="176" t="n">
        <f aca="false">F37</f>
        <v>1744.75450993707</v>
      </c>
      <c r="G48" s="176" t="n">
        <f aca="false">G37</f>
        <v>246.774571491395</v>
      </c>
      <c r="H48" s="176" t="n">
        <f aca="false">H37</f>
        <v>-82.2885511890423</v>
      </c>
      <c r="I48" s="176" t="n">
        <f aca="false">I37</f>
        <v>-151.010855207354</v>
      </c>
      <c r="J48" s="176" t="n">
        <f aca="false">J37</f>
        <v>-193.412734903389</v>
      </c>
      <c r="K48" s="176" t="n">
        <f aca="false">K37</f>
        <v>-227.356588470388</v>
      </c>
      <c r="L48" s="176" t="n">
        <f aca="false">L37</f>
        <v>-285.081092360506</v>
      </c>
      <c r="M48" s="176" t="n">
        <f aca="false">M37</f>
        <v>-355.322739572021</v>
      </c>
      <c r="N48" s="176" t="n">
        <f aca="false">N37</f>
        <v>-515.365014708657</v>
      </c>
      <c r="O48" s="176" t="n">
        <f aca="false">O37</f>
        <v>-538.121110587274</v>
      </c>
      <c r="P48" s="176" t="n">
        <f aca="false">P37</f>
        <v>-592.86182734196</v>
      </c>
      <c r="Q48" s="176" t="n">
        <f aca="false">Q37</f>
        <v>-668.915585061983</v>
      </c>
      <c r="R48" s="176" t="n">
        <f aca="false">R37</f>
        <v>-753.912272023443</v>
      </c>
      <c r="S48" s="176" t="n">
        <f aca="false">S37</f>
        <v>-834.548067921198</v>
      </c>
      <c r="T48" s="176" t="n">
        <f aca="false">T37</f>
        <v>-825.322622603823</v>
      </c>
      <c r="U48" s="176" t="n">
        <f aca="false">U37</f>
        <v>-864.922870965961</v>
      </c>
      <c r="V48" s="176" t="n">
        <f aca="false">V37</f>
        <v>-880.247195113235</v>
      </c>
      <c r="W48" s="176" t="n">
        <f aca="false">W37</f>
        <v>-889.372416873643</v>
      </c>
      <c r="X48" s="176" t="n">
        <f aca="false">X37</f>
        <v>-969.307129910107</v>
      </c>
      <c r="Y48" s="176" t="n">
        <f aca="false">Y37</f>
        <v>-1051.22119874928</v>
      </c>
      <c r="Z48" s="176" t="n">
        <f aca="false">Z37</f>
        <v>-1747.59243821955</v>
      </c>
      <c r="AA48" s="586" t="n">
        <f aca="false">SUM(E48:Z48)</f>
        <v>-10021.9256125328</v>
      </c>
    </row>
    <row r="49" customFormat="false" ht="12.75" hidden="false" customHeight="false" outlineLevel="0" collapsed="false">
      <c r="A49" s="37"/>
      <c r="B49" s="39" t="s">
        <v>633</v>
      </c>
      <c r="C49" s="39"/>
      <c r="D49" s="39"/>
      <c r="E49" s="588" t="n">
        <f aca="false">E44</f>
        <v>0</v>
      </c>
      <c r="F49" s="588" t="n">
        <f aca="false">F44</f>
        <v>-69.2262683639791</v>
      </c>
      <c r="G49" s="588" t="n">
        <f aca="false">G44</f>
        <v>-93.5809206392488</v>
      </c>
      <c r="H49" s="588" t="n">
        <f aca="false">H44</f>
        <v>0</v>
      </c>
      <c r="I49" s="588" t="n">
        <f aca="false">I44</f>
        <v>0</v>
      </c>
      <c r="J49" s="588" t="n">
        <f aca="false">J44</f>
        <v>0</v>
      </c>
      <c r="K49" s="588" t="n">
        <f aca="false">K44</f>
        <v>0</v>
      </c>
      <c r="L49" s="588" t="n">
        <f aca="false">L44</f>
        <v>0</v>
      </c>
      <c r="M49" s="588" t="n">
        <f aca="false">M44</f>
        <v>0</v>
      </c>
      <c r="N49" s="588" t="n">
        <f aca="false">N44</f>
        <v>0</v>
      </c>
      <c r="O49" s="588" t="n">
        <f aca="false">O44</f>
        <v>0</v>
      </c>
      <c r="P49" s="588" t="n">
        <f aca="false">P44</f>
        <v>0</v>
      </c>
      <c r="Q49" s="588" t="n">
        <f aca="false">Q44</f>
        <v>0</v>
      </c>
      <c r="R49" s="588" t="n">
        <f aca="false">R44</f>
        <v>0</v>
      </c>
      <c r="S49" s="588" t="n">
        <f aca="false">S44</f>
        <v>0</v>
      </c>
      <c r="T49" s="588" t="n">
        <f aca="false">T44</f>
        <v>0</v>
      </c>
      <c r="U49" s="588" t="n">
        <f aca="false">U44</f>
        <v>0</v>
      </c>
      <c r="V49" s="588" t="n">
        <f aca="false">V44</f>
        <v>0</v>
      </c>
      <c r="W49" s="588" t="n">
        <f aca="false">W44</f>
        <v>0</v>
      </c>
      <c r="X49" s="588" t="n">
        <f aca="false">X44</f>
        <v>0</v>
      </c>
      <c r="Y49" s="588" t="n">
        <f aca="false">Y44</f>
        <v>0</v>
      </c>
      <c r="Z49" s="588" t="n">
        <f aca="false">Z44</f>
        <v>0</v>
      </c>
      <c r="AA49" s="589" t="n">
        <f aca="false">SUM(E49:Z49)</f>
        <v>-162.807189003228</v>
      </c>
    </row>
    <row r="50" customFormat="false" ht="12.75" hidden="false" customHeight="false" outlineLevel="0" collapsed="false">
      <c r="A50" s="37"/>
      <c r="B50" s="38" t="s">
        <v>635</v>
      </c>
      <c r="C50" s="39"/>
      <c r="D50" s="39"/>
      <c r="E50" s="176" t="n">
        <f aca="false">SUM(E47:E49)</f>
        <v>412.72761782154</v>
      </c>
      <c r="F50" s="176" t="n">
        <f aca="false">SUM(F47:F49)</f>
        <v>1675.52824157309</v>
      </c>
      <c r="G50" s="176" t="n">
        <f aca="false">SUM(G47:G49)</f>
        <v>153.193650852147</v>
      </c>
      <c r="H50" s="176" t="n">
        <f aca="false">SUM(H47:H49)</f>
        <v>-495.728072007899</v>
      </c>
      <c r="I50" s="176" t="n">
        <f aca="false">SUM(I47:I49)</f>
        <v>-957.968990319284</v>
      </c>
      <c r="J50" s="176" t="n">
        <f aca="false">SUM(J47:J49)</f>
        <v>-1103.59499832719</v>
      </c>
      <c r="K50" s="176" t="n">
        <f aca="false">SUM(K47:K49)</f>
        <v>197.08687764529</v>
      </c>
      <c r="L50" s="176" t="n">
        <f aca="false">SUM(L47:L49)</f>
        <v>381.057650482204</v>
      </c>
      <c r="M50" s="176" t="n">
        <f aca="false">SUM(M47:M49)</f>
        <v>1444.43241278617</v>
      </c>
      <c r="N50" s="176" t="n">
        <f aca="false">SUM(N47:N49)</f>
        <v>1741.31485633227</v>
      </c>
      <c r="O50" s="176" t="n">
        <f aca="false">SUM(O47:O49)</f>
        <v>2012.40716218965</v>
      </c>
      <c r="P50" s="176" t="n">
        <f aca="false">SUM(P47:P49)</f>
        <v>2430.60651459395</v>
      </c>
      <c r="Q50" s="176" t="n">
        <f aca="false">SUM(Q47:Q49)</f>
        <v>2667.59972124733</v>
      </c>
      <c r="R50" s="176" t="n">
        <f aca="false">SUM(R47:R49)</f>
        <v>2967.67729243747</v>
      </c>
      <c r="S50" s="176" t="n">
        <f aca="false">SUM(S47:S49)</f>
        <v>3494.50580687415</v>
      </c>
      <c r="T50" s="176" t="n">
        <f aca="false">SUM(T47:T49)</f>
        <v>3362.58563203844</v>
      </c>
      <c r="U50" s="176" t="n">
        <f aca="false">SUM(U47:U49)</f>
        <v>4098.72604879862</v>
      </c>
      <c r="V50" s="176" t="n">
        <f aca="false">SUM(V47:V49)</f>
        <v>4484.87707321548</v>
      </c>
      <c r="W50" s="176" t="n">
        <f aca="false">SUM(W47:W49)</f>
        <v>4757.13387622973</v>
      </c>
      <c r="X50" s="176" t="n">
        <f aca="false">SUM(X47:X49)</f>
        <v>4919.23857757079</v>
      </c>
      <c r="Y50" s="176" t="n">
        <f aca="false">SUM(Y47:Y49)</f>
        <v>5099.64985479009</v>
      </c>
      <c r="Z50" s="176" t="n">
        <f aca="false">SUM(Z47:Z49)</f>
        <v>305.598300019622</v>
      </c>
      <c r="AA50" s="586" t="n">
        <f aca="false">SUM(E50:Z50)</f>
        <v>44048.6551068437</v>
      </c>
    </row>
    <row r="51" customFormat="false" ht="12.75" hidden="false" customHeight="false" outlineLevel="0" collapsed="false">
      <c r="A51" s="37"/>
      <c r="B51" s="39" t="s">
        <v>636</v>
      </c>
      <c r="C51" s="39"/>
      <c r="D51" s="533" t="s">
        <v>637</v>
      </c>
      <c r="E51" s="176" t="n">
        <f aca="false">IF(E$7&lt;YEAR(Startops1),0,-E69)</f>
        <v>0</v>
      </c>
      <c r="F51" s="176" t="n">
        <f aca="false">IF(F$7&lt;YEAR(Startops1),0,-F69)</f>
        <v>0</v>
      </c>
      <c r="G51" s="176" t="n">
        <f aca="false">IF(G$7&lt;YEAR(Startops1),0,-G69)</f>
        <v>0</v>
      </c>
      <c r="H51" s="176" t="n">
        <f aca="false">IF(H$7&lt;YEAR(Startops1),0,-H69)</f>
        <v>-880.659905470822</v>
      </c>
      <c r="I51" s="176" t="n">
        <f aca="false">IF(I$7&lt;YEAR(Startops1),0,-I69)</f>
        <v>-787.365886074875</v>
      </c>
      <c r="J51" s="176" t="n">
        <f aca="false">IF(J$7&lt;YEAR(Startops1),0,-J69)</f>
        <v>-723.251757408094</v>
      </c>
      <c r="K51" s="176" t="n">
        <f aca="false">IF(K$7&lt;YEAR(Startops1),0,-K69)</f>
        <v>-628.03572095159</v>
      </c>
      <c r="L51" s="176" t="n">
        <f aca="false">IF(L$7&lt;YEAR(Startops1),0,-L69)</f>
        <v>-611.767318873903</v>
      </c>
      <c r="M51" s="176" t="n">
        <f aca="false">IF(M$7&lt;YEAR(Startops1),0,-M69)</f>
        <v>-530.282340958463</v>
      </c>
      <c r="N51" s="176" t="n">
        <f aca="false">IF(N$7&lt;YEAR(Startops1),0,-N69)</f>
        <v>-438.496332501112</v>
      </c>
      <c r="O51" s="176" t="n">
        <f aca="false">IF(O$7&lt;YEAR(Startops1),0,-O69)</f>
        <v>-275.49859023162</v>
      </c>
      <c r="P51" s="176" t="n">
        <f aca="false">IF(P$7&lt;YEAR(Startops1),0,-P69)</f>
        <v>-28.4313809521696</v>
      </c>
      <c r="Q51" s="176" t="n">
        <f aca="false">IF(Q$7&lt;YEAR(Startops1),0,-Q69)</f>
        <v>239.22869924364</v>
      </c>
      <c r="R51" s="176" t="n">
        <f aca="false">IF(R$7&lt;YEAR(Startops1),0,-R69)</f>
        <v>480.36578651783</v>
      </c>
      <c r="S51" s="176" t="n">
        <f aca="false">IF(S$7&lt;YEAR(Startops1),0,-S69)</f>
        <v>641.007372284485</v>
      </c>
      <c r="T51" s="176" t="n">
        <f aca="false">IF(T$7&lt;YEAR(Startops1),0,-T69)</f>
        <v>801.277954519083</v>
      </c>
      <c r="U51" s="176" t="n">
        <f aca="false">IF(U$7&lt;YEAR(Startops1),0,-U69)</f>
        <v>1001.70013534</v>
      </c>
      <c r="V51" s="176" t="n">
        <f aca="false">IF(V$7&lt;YEAR(Startops1),0,-V69)</f>
        <v>1269.98772820806</v>
      </c>
      <c r="W51" s="176" t="n">
        <f aca="false">IF(W$7&lt;YEAR(Startops1),0,-W69)</f>
        <v>1669.5590164988</v>
      </c>
      <c r="X51" s="176" t="n">
        <f aca="false">IF(X$7&lt;YEAR(Startops1),0,-X69)</f>
        <v>2078.97586093672</v>
      </c>
      <c r="Y51" s="176" t="n">
        <f aca="false">IF(Y$7&lt;YEAR(Startops1),0,-Y69)</f>
        <v>2499.37025360088</v>
      </c>
      <c r="Z51" s="176" t="n">
        <f aca="false">IF(Z$7&lt;YEAR(Startops1),0,-Z69)</f>
        <v>9236.12208640259</v>
      </c>
      <c r="AA51" s="586" t="n">
        <f aca="false">SUM(E51:Z51)</f>
        <v>15013.8056601294</v>
      </c>
      <c r="AB51" s="587" t="str">
        <f aca="false">IF(SUM(AA51+AA52+AA69)=0," ","Check")</f>
        <v> </v>
      </c>
    </row>
    <row r="52" customFormat="false" ht="12.75" hidden="false" customHeight="false" outlineLevel="0" collapsed="false">
      <c r="A52" s="37"/>
      <c r="B52" s="39" t="s">
        <v>638</v>
      </c>
      <c r="C52" s="39"/>
      <c r="D52" s="533" t="s">
        <v>637</v>
      </c>
      <c r="E52" s="176" t="n">
        <f aca="false">IF(E$7&gt;=YEAR(Startops1),-($AA69+$AA51)*E$9/$AA$9,0)</f>
        <v>0</v>
      </c>
      <c r="F52" s="176" t="n">
        <f aca="false">IF(F$7&gt;=YEAR(Startops1),-($AA69+$AA51)*F$9/$AA$9,0)</f>
        <v>0</v>
      </c>
      <c r="G52" s="176" t="n">
        <f aca="false">IF(G$7&gt;=YEAR(Startops1),-($AA69+$AA51)*G$9/$AA$9,0)</f>
        <v>0</v>
      </c>
      <c r="H52" s="176" t="n">
        <f aca="false">IF(H$7&gt;=YEAR(Startops1),-($AA69+$AA51)*H$9/$AA$9,0)</f>
        <v>-78.2957704448175</v>
      </c>
      <c r="I52" s="176" t="n">
        <f aca="false">IF(I$7&gt;=YEAR(Startops1),-($AA69+$AA51)*I$9/$AA$9,0)</f>
        <v>-93.954924533781</v>
      </c>
      <c r="J52" s="176" t="n">
        <f aca="false">IF(J$7&gt;=YEAR(Startops1),-($AA69+$AA51)*J$9/$AA$9,0)</f>
        <v>-93.954924533781</v>
      </c>
      <c r="K52" s="176" t="n">
        <f aca="false">IF(K$7&gt;=YEAR(Startops1),-($AA69+$AA51)*K$9/$AA$9,0)</f>
        <v>-93.954924533781</v>
      </c>
      <c r="L52" s="176" t="n">
        <f aca="false">IF(L$7&gt;=YEAR(Startops1),-($AA69+$AA51)*L$9/$AA$9,0)</f>
        <v>-93.954924533781</v>
      </c>
      <c r="M52" s="176" t="n">
        <f aca="false">IF(M$7&gt;=YEAR(Startops1),-($AA69+$AA51)*M$9/$AA$9,0)</f>
        <v>-93.954924533781</v>
      </c>
      <c r="N52" s="176" t="n">
        <f aca="false">IF(N$7&gt;=YEAR(Startops1),-($AA69+$AA51)*N$9/$AA$9,0)</f>
        <v>-93.954924533781</v>
      </c>
      <c r="O52" s="176" t="n">
        <f aca="false">IF(O$7&gt;=YEAR(Startops1),-($AA69+$AA51)*O$9/$AA$9,0)</f>
        <v>-93.954924533781</v>
      </c>
      <c r="P52" s="176" t="n">
        <f aca="false">IF(P$7&gt;=YEAR(Startops1),-($AA69+$AA51)*P$9/$AA$9,0)</f>
        <v>-93.954924533781</v>
      </c>
      <c r="Q52" s="176" t="n">
        <f aca="false">IF(Q$7&gt;=YEAR(Startops1),-($AA69+$AA51)*Q$9/$AA$9,0)</f>
        <v>-93.954924533781</v>
      </c>
      <c r="R52" s="176" t="n">
        <f aca="false">IF(R$7&gt;=YEAR(Startops1),-($AA69+$AA51)*R$9/$AA$9,0)</f>
        <v>-93.954924533781</v>
      </c>
      <c r="S52" s="176" t="n">
        <f aca="false">IF(S$7&gt;=YEAR(Startops1),-($AA69+$AA51)*S$9/$AA$9,0)</f>
        <v>-93.954924533781</v>
      </c>
      <c r="T52" s="176" t="n">
        <f aca="false">IF(T$7&gt;=YEAR(Startops1),-($AA69+$AA51)*T$9/$AA$9,0)</f>
        <v>-93.954924533781</v>
      </c>
      <c r="U52" s="176" t="n">
        <f aca="false">IF(U$7&gt;=YEAR(Startops1),-($AA69+$AA51)*U$9/$AA$9,0)</f>
        <v>-93.954924533781</v>
      </c>
      <c r="V52" s="176" t="n">
        <f aca="false">IF(V$7&gt;=YEAR(Startops1),-($AA69+$AA51)*V$9/$AA$9,0)</f>
        <v>-93.954924533781</v>
      </c>
      <c r="W52" s="176" t="n">
        <f aca="false">IF(W$7&gt;=YEAR(Startops1),-($AA69+$AA51)*W$9/$AA$9,0)</f>
        <v>-93.954924533781</v>
      </c>
      <c r="X52" s="176" t="n">
        <f aca="false">IF(X$7&gt;=YEAR(Startops1),-($AA69+$AA51)*X$9/$AA$9,0)</f>
        <v>-93.954924533781</v>
      </c>
      <c r="Y52" s="176" t="n">
        <f aca="false">IF(Y$7&gt;=YEAR(Startops1),-($AA69+$AA51)*Y$9/$AA$9,0)</f>
        <v>-93.954924533781</v>
      </c>
      <c r="Z52" s="176" t="n">
        <f aca="false">IF(Z$7&gt;=YEAR(Startops1),-($AA69+$AA51)*Z$9/$AA$9,0)</f>
        <v>-31.318308177927</v>
      </c>
      <c r="AA52" s="586" t="n">
        <f aca="false">SUM(E52:Z52)</f>
        <v>-1706.84779569702</v>
      </c>
      <c r="AB52" s="441"/>
    </row>
    <row r="53" customFormat="false" ht="12.75" hidden="false" customHeight="false" outlineLevel="0" collapsed="false">
      <c r="A53" s="37"/>
      <c r="B53" s="39" t="s">
        <v>639</v>
      </c>
      <c r="C53" s="39"/>
      <c r="D53" s="39"/>
      <c r="E53" s="588" t="n">
        <f aca="false">USTax*-SUM(E51:E52)</f>
        <v>-0</v>
      </c>
      <c r="F53" s="588" t="n">
        <f aca="false">USTax*-SUM(F51:F52)</f>
        <v>-0</v>
      </c>
      <c r="G53" s="588" t="n">
        <f aca="false">USTax*-SUM(G51:G52)</f>
        <v>-0</v>
      </c>
      <c r="H53" s="588" t="n">
        <f aca="false">USTax*-SUM(H51:H52)</f>
        <v>354.813600088787</v>
      </c>
      <c r="I53" s="588" t="n">
        <f aca="false">USTax*-SUM(I51:I52)</f>
        <v>326.088699925203</v>
      </c>
      <c r="J53" s="588" t="n">
        <f aca="false">USTax*-SUM(J51:J52)</f>
        <v>302.366472318494</v>
      </c>
      <c r="K53" s="588" t="n">
        <f aca="false">USTax*-SUM(K51:K52)</f>
        <v>267.136538829587</v>
      </c>
      <c r="L53" s="588" t="n">
        <f aca="false">USTax*-SUM(L51:L52)</f>
        <v>261.117230060843</v>
      </c>
      <c r="M53" s="588" t="n">
        <f aca="false">USTax*-SUM(M51:M52)</f>
        <v>230.96778823213</v>
      </c>
      <c r="N53" s="588" t="n">
        <f aca="false">USTax*-SUM(N51:N52)</f>
        <v>197.006965102911</v>
      </c>
      <c r="O53" s="588" t="n">
        <f aca="false">USTax*-SUM(O51:O52)</f>
        <v>136.697800463198</v>
      </c>
      <c r="P53" s="588" t="n">
        <f aca="false">USTax*-SUM(P51:P52)</f>
        <v>45.2829330298017</v>
      </c>
      <c r="Q53" s="588" t="n">
        <f aca="false">USTax*-SUM(Q51:Q52)</f>
        <v>-53.7512966426477</v>
      </c>
      <c r="R53" s="588" t="n">
        <f aca="false">USTax*-SUM(R51:R52)</f>
        <v>-142.972018934098</v>
      </c>
      <c r="S53" s="588" t="n">
        <f aca="false">USTax*-SUM(S51:S52)</f>
        <v>-202.40940566776</v>
      </c>
      <c r="T53" s="588" t="n">
        <f aca="false">USTax*-SUM(T51:T52)</f>
        <v>-261.709521094562</v>
      </c>
      <c r="U53" s="588" t="n">
        <f aca="false">USTax*-SUM(U51:U52)</f>
        <v>-335.865727998301</v>
      </c>
      <c r="V53" s="588" t="n">
        <f aca="false">USTax*-SUM(V51:V52)</f>
        <v>-435.132137359482</v>
      </c>
      <c r="W53" s="588" t="n">
        <f aca="false">USTax*-SUM(W51:W52)</f>
        <v>-582.973514027058</v>
      </c>
      <c r="X53" s="588" t="n">
        <f aca="false">USTax*-SUM(X51:X52)</f>
        <v>-734.457746469088</v>
      </c>
      <c r="Y53" s="588" t="n">
        <f aca="false">USTax*-SUM(Y51:Y52)</f>
        <v>-890.003671754828</v>
      </c>
      <c r="Z53" s="588" t="n">
        <f aca="false">USTax*-SUM(Z51:Z52)</f>
        <v>-3405.77739794312</v>
      </c>
      <c r="AA53" s="589" t="n">
        <f aca="false">SUM(E53:Z53)</f>
        <v>-4923.57440984</v>
      </c>
    </row>
    <row r="54" customFormat="false" ht="12.75" hidden="false" customHeight="false" outlineLevel="0" collapsed="false">
      <c r="A54" s="37"/>
      <c r="B54" s="38" t="s">
        <v>640</v>
      </c>
      <c r="C54" s="39"/>
      <c r="D54" s="39"/>
      <c r="E54" s="176" t="n">
        <f aca="false">SUM(E50:E53)</f>
        <v>412.72761782154</v>
      </c>
      <c r="F54" s="176" t="n">
        <f aca="false">SUM(F50:F53)</f>
        <v>1675.52824157309</v>
      </c>
      <c r="G54" s="176" t="n">
        <f aca="false">SUM(G50:G53)</f>
        <v>153.193650852147</v>
      </c>
      <c r="H54" s="176" t="n">
        <f aca="false">SUM(H50:H53)</f>
        <v>-1099.87014783475</v>
      </c>
      <c r="I54" s="176" t="n">
        <f aca="false">SUM(I50:I53)</f>
        <v>-1513.20110100274</v>
      </c>
      <c r="J54" s="176" t="n">
        <f aca="false">SUM(J50:J53)</f>
        <v>-1618.43520795057</v>
      </c>
      <c r="K54" s="176" t="n">
        <f aca="false">SUM(K50:K53)</f>
        <v>-257.767229010493</v>
      </c>
      <c r="L54" s="176" t="n">
        <f aca="false">SUM(L50:L53)</f>
        <v>-63.5473628646371</v>
      </c>
      <c r="M54" s="176" t="n">
        <f aca="false">SUM(M50:M53)</f>
        <v>1051.16293552606</v>
      </c>
      <c r="N54" s="176" t="n">
        <f aca="false">SUM(N50:N53)</f>
        <v>1405.87056440029</v>
      </c>
      <c r="O54" s="176" t="n">
        <f aca="false">SUM(O50:O53)</f>
        <v>1779.65144788744</v>
      </c>
      <c r="P54" s="176" t="n">
        <f aca="false">SUM(P50:P53)</f>
        <v>2353.5031421378</v>
      </c>
      <c r="Q54" s="176" t="n">
        <f aca="false">SUM(Q50:Q53)</f>
        <v>2759.12219931454</v>
      </c>
      <c r="R54" s="176" t="n">
        <f aca="false">SUM(R50:R53)</f>
        <v>3211.11613548742</v>
      </c>
      <c r="S54" s="176" t="n">
        <f aca="false">SUM(S50:S53)</f>
        <v>3839.1488489571</v>
      </c>
      <c r="T54" s="176" t="n">
        <f aca="false">SUM(T50:T53)</f>
        <v>3808.19914092918</v>
      </c>
      <c r="U54" s="176" t="n">
        <f aca="false">SUM(U50:U53)</f>
        <v>4670.60553160654</v>
      </c>
      <c r="V54" s="176" t="n">
        <f aca="false">SUM(V50:V53)</f>
        <v>5225.77773953028</v>
      </c>
      <c r="W54" s="176" t="n">
        <f aca="false">SUM(W50:W53)</f>
        <v>5749.7644541677</v>
      </c>
      <c r="X54" s="176" t="n">
        <f aca="false">SUM(X50:X53)</f>
        <v>6169.80176750464</v>
      </c>
      <c r="Y54" s="176" t="n">
        <f aca="false">SUM(Y50:Y53)</f>
        <v>6615.06151210236</v>
      </c>
      <c r="Z54" s="176" t="n">
        <f aca="false">SUM(Z50:Z53)</f>
        <v>6104.62468030116</v>
      </c>
      <c r="AA54" s="586" t="n">
        <f aca="false">SUM(E54:Z54)</f>
        <v>52432.0385614361</v>
      </c>
    </row>
    <row r="55" customFormat="false" ht="12.75" hidden="false" customHeight="false" outlineLevel="0" collapsed="false">
      <c r="A55" s="37"/>
      <c r="C55" s="39"/>
      <c r="D55" s="39"/>
      <c r="E55" s="605"/>
      <c r="F55" s="605"/>
      <c r="G55" s="605"/>
      <c r="H55" s="605"/>
      <c r="I55" s="605"/>
      <c r="J55" s="605"/>
      <c r="K55" s="605"/>
      <c r="L55" s="605"/>
      <c r="M55" s="605"/>
      <c r="N55" s="605"/>
      <c r="O55" s="605"/>
      <c r="P55" s="605"/>
      <c r="Q55" s="605"/>
      <c r="R55" s="605"/>
      <c r="S55" s="605"/>
      <c r="T55" s="605"/>
      <c r="U55" s="605"/>
      <c r="V55" s="605"/>
      <c r="W55" s="605"/>
      <c r="X55" s="605"/>
      <c r="Y55" s="605"/>
      <c r="Z55" s="605"/>
      <c r="AA55" s="606"/>
    </row>
    <row r="56" customFormat="false" ht="12.75" hidden="false" customHeight="false" outlineLevel="0" collapsed="false">
      <c r="A56" s="37"/>
      <c r="B56" s="106" t="s">
        <v>641</v>
      </c>
      <c r="C56" s="39"/>
      <c r="D56" s="39"/>
      <c r="E56" s="607" t="n">
        <f aca="false">SUM($E50:E50)</f>
        <v>412.72761782154</v>
      </c>
      <c r="F56" s="607" t="n">
        <f aca="false">SUM($E50:F50)</f>
        <v>2088.25585939463</v>
      </c>
      <c r="G56" s="607" t="n">
        <f aca="false">SUM($E50:G50)</f>
        <v>2241.44951024677</v>
      </c>
      <c r="H56" s="607" t="n">
        <f aca="false">SUM($E50:H50)</f>
        <v>1745.72143823887</v>
      </c>
      <c r="I56" s="607" t="n">
        <f aca="false">SUM($E50:I50)</f>
        <v>787.752447919589</v>
      </c>
      <c r="J56" s="607" t="n">
        <f aca="false">SUM($E50:J50)</f>
        <v>-315.842550407602</v>
      </c>
      <c r="K56" s="607" t="n">
        <f aca="false">SUM($E50:K50)</f>
        <v>-118.755672762312</v>
      </c>
      <c r="L56" s="607" t="n">
        <f aca="false">SUM($E50:L50)</f>
        <v>262.301977719892</v>
      </c>
      <c r="M56" s="607" t="n">
        <f aca="false">SUM($E50:M50)</f>
        <v>1706.73439050606</v>
      </c>
      <c r="N56" s="607" t="n">
        <f aca="false">SUM($E50:N50)</f>
        <v>3448.04924683833</v>
      </c>
      <c r="O56" s="607" t="n">
        <f aca="false">SUM($E50:O50)</f>
        <v>5460.45640902798</v>
      </c>
      <c r="P56" s="607" t="n">
        <f aca="false">SUM($E50:P50)</f>
        <v>7891.06292362194</v>
      </c>
      <c r="Q56" s="607" t="n">
        <f aca="false">SUM($E50:Q50)</f>
        <v>10558.6626448693</v>
      </c>
      <c r="R56" s="607" t="n">
        <f aca="false">SUM($E50:R50)</f>
        <v>13526.3399373067</v>
      </c>
      <c r="S56" s="607" t="n">
        <f aca="false">SUM($E50:S50)</f>
        <v>17020.8457441809</v>
      </c>
      <c r="T56" s="607" t="n">
        <f aca="false">SUM($E50:T50)</f>
        <v>20383.4313762193</v>
      </c>
      <c r="U56" s="607" t="n">
        <f aca="false">SUM($E50:U50)</f>
        <v>24482.1574250179</v>
      </c>
      <c r="V56" s="607" t="n">
        <f aca="false">SUM($E50:V50)</f>
        <v>28967.0344982334</v>
      </c>
      <c r="W56" s="607" t="n">
        <f aca="false">SUM($E50:W50)</f>
        <v>33724.1683744632</v>
      </c>
      <c r="X56" s="607" t="n">
        <f aca="false">SUM($E50:X50)</f>
        <v>38643.406952034</v>
      </c>
      <c r="Y56" s="607" t="n">
        <f aca="false">SUM($E50:Y50)</f>
        <v>43743.056806824</v>
      </c>
      <c r="Z56" s="607" t="n">
        <f aca="false">SUM($E50:Z50)</f>
        <v>44048.6551068437</v>
      </c>
      <c r="AA56" s="586"/>
    </row>
    <row r="57" customFormat="false" ht="12.75" hidden="false" customHeight="false" outlineLevel="0" collapsed="false">
      <c r="A57" s="37"/>
      <c r="B57" s="106" t="s">
        <v>642</v>
      </c>
      <c r="C57" s="39"/>
      <c r="D57" s="39"/>
      <c r="E57" s="607" t="n">
        <f aca="false">SUM($E54:E54)</f>
        <v>412.72761782154</v>
      </c>
      <c r="F57" s="607" t="n">
        <f aca="false">SUM($E54:F54)</f>
        <v>2088.25585939463</v>
      </c>
      <c r="G57" s="607" t="n">
        <f aca="false">SUM($E54:G54)</f>
        <v>2241.44951024677</v>
      </c>
      <c r="H57" s="607" t="n">
        <f aca="false">SUM($E54:H54)</f>
        <v>1141.57936241202</v>
      </c>
      <c r="I57" s="607" t="n">
        <f aca="false">SUM($E54:I54)</f>
        <v>-371.621738590717</v>
      </c>
      <c r="J57" s="607" t="n">
        <f aca="false">SUM($E54:J54)</f>
        <v>-1990.05694654129</v>
      </c>
      <c r="K57" s="607" t="n">
        <f aca="false">SUM($E54:K54)</f>
        <v>-2247.82417555178</v>
      </c>
      <c r="L57" s="607" t="n">
        <f aca="false">SUM($E54:L54)</f>
        <v>-2311.37153841642</v>
      </c>
      <c r="M57" s="607" t="n">
        <f aca="false">SUM($E54:M54)</f>
        <v>-1260.20860289036</v>
      </c>
      <c r="N57" s="607" t="n">
        <f aca="false">SUM($E54:N54)</f>
        <v>145.661961509926</v>
      </c>
      <c r="O57" s="607" t="n">
        <f aca="false">SUM($E54:O54)</f>
        <v>1925.31340939737</v>
      </c>
      <c r="P57" s="607" t="n">
        <f aca="false">SUM($E54:P54)</f>
        <v>4278.81655153518</v>
      </c>
      <c r="Q57" s="607" t="n">
        <f aca="false">SUM($E54:Q54)</f>
        <v>7037.93875084972</v>
      </c>
      <c r="R57" s="607" t="n">
        <f aca="false">SUM($E54:R54)</f>
        <v>10249.0548863371</v>
      </c>
      <c r="S57" s="607" t="n">
        <f aca="false">SUM($E54:S54)</f>
        <v>14088.2037352942</v>
      </c>
      <c r="T57" s="607" t="n">
        <f aca="false">SUM($E54:T54)</f>
        <v>17896.4028762234</v>
      </c>
      <c r="U57" s="607" t="n">
        <f aca="false">SUM($E54:U54)</f>
        <v>22567.0084078299</v>
      </c>
      <c r="V57" s="607" t="n">
        <f aca="false">SUM($E54:V54)</f>
        <v>27792.7861473602</v>
      </c>
      <c r="W57" s="607" t="n">
        <f aca="false">SUM($E54:W54)</f>
        <v>33542.5506015279</v>
      </c>
      <c r="X57" s="607" t="n">
        <f aca="false">SUM($E54:X54)</f>
        <v>39712.3523690326</v>
      </c>
      <c r="Y57" s="607" t="n">
        <f aca="false">SUM($E54:Y54)</f>
        <v>46327.4138811349</v>
      </c>
      <c r="Z57" s="607" t="n">
        <f aca="false">SUM($E54:Z54)</f>
        <v>52432.0385614361</v>
      </c>
      <c r="AA57" s="586"/>
    </row>
    <row r="58" customFormat="false" ht="12.75" hidden="false" customHeight="false" outlineLevel="0" collapsed="false">
      <c r="A58" s="37"/>
      <c r="C58" s="39"/>
      <c r="D58" s="39"/>
      <c r="E58" s="176"/>
      <c r="F58" s="608"/>
      <c r="G58" s="608"/>
      <c r="H58" s="608"/>
      <c r="I58" s="608"/>
      <c r="J58" s="608"/>
      <c r="K58" s="608"/>
      <c r="L58" s="608"/>
      <c r="M58" s="608"/>
      <c r="N58" s="608"/>
      <c r="O58" s="608"/>
      <c r="P58" s="608"/>
      <c r="Q58" s="608"/>
      <c r="R58" s="608"/>
      <c r="S58" s="608"/>
      <c r="T58" s="608"/>
      <c r="U58" s="608"/>
      <c r="V58" s="608"/>
      <c r="W58" s="608"/>
      <c r="X58" s="608"/>
      <c r="Y58" s="608"/>
      <c r="Z58" s="608"/>
      <c r="AA58" s="583"/>
    </row>
    <row r="59" customFormat="false" ht="12.75" hidden="false" customHeight="false" outlineLevel="0" collapsed="false">
      <c r="A59" s="609"/>
      <c r="B59" s="610"/>
      <c r="C59" s="611" t="s">
        <v>643</v>
      </c>
      <c r="D59" s="612" t="s">
        <v>644</v>
      </c>
      <c r="E59" s="176"/>
      <c r="F59" s="608"/>
      <c r="G59" s="608"/>
      <c r="H59" s="608"/>
      <c r="I59" s="608"/>
      <c r="J59" s="608"/>
      <c r="K59" s="608"/>
      <c r="L59" s="608"/>
      <c r="M59" s="608"/>
      <c r="N59" s="608"/>
      <c r="O59" s="608"/>
      <c r="P59" s="608"/>
      <c r="Q59" s="608"/>
      <c r="R59" s="608"/>
      <c r="S59" s="608"/>
      <c r="T59" s="608"/>
      <c r="U59" s="608"/>
      <c r="V59" s="608"/>
      <c r="W59" s="608"/>
      <c r="X59" s="608"/>
      <c r="Y59" s="608"/>
      <c r="Z59" s="608"/>
      <c r="AA59" s="583"/>
    </row>
    <row r="60" customFormat="false" ht="12.75" hidden="false" customHeight="false" outlineLevel="0" collapsed="false">
      <c r="A60" s="613" t="s">
        <v>645</v>
      </c>
      <c r="B60" s="496"/>
      <c r="C60" s="614" t="n">
        <f aca="false">AVERAGE(G50:K50)</f>
        <v>-441.402306431388</v>
      </c>
      <c r="D60" s="615" t="n">
        <f aca="false">AVERAGE(G54:K54)</f>
        <v>-867.216006989282</v>
      </c>
      <c r="E60" s="47"/>
      <c r="F60" s="608"/>
      <c r="G60" s="608"/>
      <c r="H60" s="608"/>
      <c r="I60" s="608"/>
      <c r="J60" s="608"/>
      <c r="K60" s="608"/>
      <c r="L60" s="608"/>
      <c r="M60" s="608"/>
      <c r="N60" s="608"/>
      <c r="O60" s="608"/>
      <c r="P60" s="608"/>
      <c r="Q60" s="608"/>
      <c r="R60" s="608"/>
      <c r="S60" s="608"/>
      <c r="T60" s="608"/>
      <c r="U60" s="608"/>
      <c r="V60" s="608"/>
      <c r="W60" s="608"/>
      <c r="X60" s="608"/>
      <c r="Y60" s="608"/>
      <c r="Z60" s="608"/>
      <c r="AA60" s="583"/>
    </row>
    <row r="61" customFormat="false" ht="12.75" hidden="false" customHeight="false" outlineLevel="0" collapsed="false">
      <c r="A61" s="613" t="s">
        <v>646</v>
      </c>
      <c r="B61" s="496"/>
      <c r="C61" s="614" t="n">
        <f aca="false">AVERAGE(G50:Z50)</f>
        <v>2098.01996237245</v>
      </c>
      <c r="D61" s="615" t="n">
        <f aca="false">AVERAGE(G54:Z54)</f>
        <v>2517.18913510207</v>
      </c>
      <c r="E61" s="47"/>
      <c r="F61" s="608"/>
      <c r="G61" s="608"/>
      <c r="H61" s="608"/>
      <c r="I61" s="608"/>
      <c r="J61" s="608"/>
      <c r="K61" s="608"/>
      <c r="L61" s="608"/>
      <c r="M61" s="608"/>
      <c r="N61" s="608"/>
      <c r="O61" s="608"/>
      <c r="P61" s="608"/>
      <c r="Q61" s="608"/>
      <c r="R61" s="608"/>
      <c r="S61" s="608"/>
      <c r="T61" s="608"/>
      <c r="U61" s="608"/>
      <c r="V61" s="608"/>
      <c r="W61" s="608"/>
      <c r="X61" s="608"/>
      <c r="Y61" s="608"/>
      <c r="Z61" s="608"/>
      <c r="AA61" s="583"/>
    </row>
    <row r="62" customFormat="false" ht="12.75" hidden="false" customHeight="false" outlineLevel="0" collapsed="false">
      <c r="A62" s="616" t="s">
        <v>647</v>
      </c>
      <c r="B62" s="617"/>
      <c r="C62" s="618"/>
      <c r="D62" s="619" t="n">
        <f aca="false">MAX(E62:Z62)</f>
        <v>14</v>
      </c>
      <c r="E62" s="620" t="n">
        <f aca="false">IF(AND(E57&gt;Equity*Assm!$K$61,D57&lt;Equity*Assm!$K$61),E$6,0)</f>
        <v>0</v>
      </c>
      <c r="F62" s="620" t="n">
        <f aca="false">IF(AND(F57&gt;Equity*Assm!$K$61,E57&lt;Equity*Assm!$K$61),F$6,0)</f>
        <v>0</v>
      </c>
      <c r="G62" s="620" t="n">
        <f aca="false">IF(AND(G57&gt;Equity*Assm!$K$61,F57&lt;Equity*Assm!$K$61),G$6,0)</f>
        <v>0</v>
      </c>
      <c r="H62" s="620" t="n">
        <f aca="false">IF(AND(H57&gt;Equity*Assm!$K$61,G57&lt;Equity*Assm!$K$61),H$6,0)</f>
        <v>0</v>
      </c>
      <c r="I62" s="620" t="n">
        <f aca="false">IF(AND(I57&gt;Equity*Assm!$K$61,H57&lt;Equity*Assm!$K$61),I$6,0)</f>
        <v>0</v>
      </c>
      <c r="J62" s="620" t="n">
        <f aca="false">IF(AND(J57&gt;Equity*Assm!$K$61,I57&lt;Equity*Assm!$K$61),J$6,0)</f>
        <v>0</v>
      </c>
      <c r="K62" s="620" t="n">
        <f aca="false">IF(AND(K57&gt;Equity*Assm!$K$61,J57&lt;Equity*Assm!$K$61),K$6,0)</f>
        <v>0</v>
      </c>
      <c r="L62" s="620" t="n">
        <f aca="false">IF(AND(L57&gt;Equity*Assm!$K$61,K57&lt;Equity*Assm!$K$61),L$6,0)</f>
        <v>0</v>
      </c>
      <c r="M62" s="620" t="n">
        <f aca="false">IF(AND(M57&gt;Equity*Assm!$K$61,L57&lt;Equity*Assm!$K$61),M$6,0)</f>
        <v>0</v>
      </c>
      <c r="N62" s="620" t="n">
        <f aca="false">IF(AND(N57&gt;Equity*Assm!$K$61,M57&lt;Equity*Assm!$K$61),N$6,0)</f>
        <v>0</v>
      </c>
      <c r="O62" s="620" t="n">
        <f aca="false">IF(AND(O57&gt;Equity*Assm!$K$61,N57&lt;Equity*Assm!$K$61),O$6,0)</f>
        <v>0</v>
      </c>
      <c r="P62" s="620" t="n">
        <f aca="false">IF(AND(P57&gt;Equity*Assm!$K$61,O57&lt;Equity*Assm!$K$61),P$6,0)</f>
        <v>0</v>
      </c>
      <c r="Q62" s="620" t="n">
        <f aca="false">IF(AND(Q57&gt;Equity*Assm!$K$61,P57&lt;Equity*Assm!$K$61),Q$6,0)</f>
        <v>0</v>
      </c>
      <c r="R62" s="620" t="n">
        <f aca="false">IF(AND(R57&gt;Equity*Assm!$K$61,Q57&lt;Equity*Assm!$K$61),R$6,0)</f>
        <v>0</v>
      </c>
      <c r="S62" s="620" t="n">
        <f aca="false">IF(AND(S57&gt;Equity*Assm!$K$61,R57&lt;Equity*Assm!$K$61),S$6,0)</f>
        <v>0</v>
      </c>
      <c r="T62" s="620" t="n">
        <f aca="false">IF(AND(T57&gt;Equity*Assm!$K$61,S57&lt;Equity*Assm!$K$61),T$6,0)</f>
        <v>0</v>
      </c>
      <c r="U62" s="620" t="n">
        <f aca="false">IF(AND(U57&gt;Equity*Assm!$K$61,T57&lt;Equity*Assm!$K$61),U$6,0)</f>
        <v>14</v>
      </c>
      <c r="V62" s="620" t="n">
        <f aca="false">IF(AND(V57&gt;Equity*Assm!$K$61,U57&lt;Equity*Assm!$K$61),V$6,0)</f>
        <v>0</v>
      </c>
      <c r="W62" s="620" t="n">
        <f aca="false">IF(AND(W57&gt;Equity*Assm!$K$61,V57&lt;Equity*Assm!$K$61),W$6,0)</f>
        <v>0</v>
      </c>
      <c r="X62" s="620" t="n">
        <f aca="false">IF(AND(X57&gt;Equity*Assm!$K$61,W57&lt;Equity*Assm!$K$61),X$6,0)</f>
        <v>0</v>
      </c>
      <c r="Y62" s="620" t="n">
        <f aca="false">IF(AND(Y57&gt;Equity*Assm!$K$61,X57&lt;Equity*Assm!$K$61),Y$6,0)</f>
        <v>0</v>
      </c>
      <c r="Z62" s="620" t="n">
        <f aca="false">IF(AND(Z57&gt;Equity*Assm!$K$61,Y57&lt;Equity*Assm!$K$61),Z$6,0)</f>
        <v>0</v>
      </c>
      <c r="AA62" s="621"/>
    </row>
    <row r="63" customFormat="false" ht="12.75" hidden="false" customHeight="false" outlineLevel="0" collapsed="false">
      <c r="A63" s="37"/>
      <c r="C63" s="39"/>
      <c r="D63" s="39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583"/>
    </row>
    <row r="64" customFormat="false" ht="12.75" hidden="false" customHeight="false" outlineLevel="0" collapsed="false">
      <c r="A64" s="97" t="s">
        <v>648</v>
      </c>
      <c r="C64" s="39"/>
      <c r="D64" s="3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510"/>
      <c r="AB64" s="329"/>
    </row>
    <row r="65" customFormat="false" ht="12.75" hidden="false" customHeight="false" outlineLevel="0" collapsed="false">
      <c r="A65" s="37" t="s">
        <v>649</v>
      </c>
      <c r="C65" s="39"/>
      <c r="D65" s="39"/>
      <c r="E65" s="61" t="n">
        <f aca="false">-SUM(Returns!$E24:E24)</f>
        <v>3111.700911</v>
      </c>
      <c r="F65" s="61" t="n">
        <f aca="false">-SUM(Returns!$E24:F24)</f>
        <v>12000.000003</v>
      </c>
      <c r="G65" s="61" t="n">
        <f aca="false">-SUM(Returns!$E24:G24)</f>
        <v>18000.000003</v>
      </c>
      <c r="H65" s="61" t="n">
        <f aca="false">-SUM(Returns!$E24:H24)</f>
        <v>18000.000003</v>
      </c>
      <c r="I65" s="61" t="n">
        <f aca="false">-SUM(Returns!$E24:I24)</f>
        <v>18000.000003</v>
      </c>
      <c r="J65" s="61" t="n">
        <f aca="false">-SUM(Returns!$E24:J24)</f>
        <v>18000.000003</v>
      </c>
      <c r="K65" s="61" t="n">
        <f aca="false">-SUM(Returns!$E24:K24)</f>
        <v>18000.000003</v>
      </c>
      <c r="L65" s="61" t="n">
        <f aca="false">-SUM(Returns!$E24:L24)</f>
        <v>18000.000003</v>
      </c>
      <c r="M65" s="61" t="n">
        <f aca="false">-SUM(Returns!$E24:M24)</f>
        <v>18000.000003</v>
      </c>
      <c r="N65" s="61" t="n">
        <f aca="false">-SUM(Returns!$E24:N24)</f>
        <v>18000.000003</v>
      </c>
      <c r="O65" s="61" t="n">
        <f aca="false">-SUM(Returns!$E24:O24)</f>
        <v>18000.000003</v>
      </c>
      <c r="P65" s="61" t="n">
        <f aca="false">-SUM(Returns!$E24:P24)</f>
        <v>18000.000003</v>
      </c>
      <c r="Q65" s="61" t="n">
        <f aca="false">-SUM(Returns!$E24:Q24)</f>
        <v>18000.000003</v>
      </c>
      <c r="R65" s="61" t="n">
        <f aca="false">-SUM(Returns!$E24:R24)</f>
        <v>18000.000003</v>
      </c>
      <c r="S65" s="61" t="n">
        <f aca="false">-SUM(Returns!$E24:S24)</f>
        <v>18000.000003</v>
      </c>
      <c r="T65" s="61" t="n">
        <f aca="false">-SUM(Returns!$E24:T24)</f>
        <v>18000.000003</v>
      </c>
      <c r="U65" s="61" t="n">
        <f aca="false">-SUM(Returns!$E24:U24)</f>
        <v>18000.000003</v>
      </c>
      <c r="V65" s="61" t="n">
        <f aca="false">-SUM(Returns!$E24:V24)</f>
        <v>18000.000003</v>
      </c>
      <c r="W65" s="61" t="n">
        <f aca="false">-SUM(Returns!$E24:W24)</f>
        <v>18000.000003</v>
      </c>
      <c r="X65" s="61" t="n">
        <f aca="false">-SUM(Returns!$E24:X24)</f>
        <v>18000.000003</v>
      </c>
      <c r="Y65" s="61" t="n">
        <f aca="false">-SUM(Returns!$E24:Y24)</f>
        <v>18000.000003</v>
      </c>
      <c r="Z65" s="61" t="n">
        <f aca="false">-SUM(Returns!$E24:Z24)</f>
        <v>18000.000003</v>
      </c>
      <c r="AA65" s="309" t="n">
        <f aca="false">SUM(E65:Z65)</f>
        <v>375111.700974</v>
      </c>
    </row>
    <row r="66" customFormat="false" ht="12.75" hidden="false" customHeight="false" outlineLevel="0" collapsed="false">
      <c r="A66" s="37" t="s">
        <v>650</v>
      </c>
      <c r="C66" s="39"/>
      <c r="D66" s="39"/>
      <c r="E66" s="311" t="n">
        <f aca="false">-SUM(Returns!$E25:E37)</f>
        <v>-576.541738775999</v>
      </c>
      <c r="F66" s="311" t="n">
        <f aca="false">-SUM(Returns!$E25:F37)</f>
        <v>-3012.11360961754</v>
      </c>
      <c r="G66" s="311" t="n">
        <f aca="false">-SUM(Returns!$E25:G37)</f>
        <v>-3263.8487117292</v>
      </c>
      <c r="H66" s="311" t="n">
        <f aca="false">-SUM(Returns!$E25:H37)</f>
        <v>-4451.38607267966</v>
      </c>
      <c r="I66" s="311" t="n">
        <f aca="false">-SUM(Returns!$E25:I37)</f>
        <v>-5886.67867877115</v>
      </c>
      <c r="J66" s="311" t="n">
        <f aca="false">-SUM(Returns!$E25:J37)</f>
        <v>-6873.04988902932</v>
      </c>
      <c r="K66" s="311" t="n">
        <f aca="false">-SUM(Returns!$E25:K37)</f>
        <v>-8337.91198836016</v>
      </c>
      <c r="L66" s="311" t="n">
        <f aca="false">-SUM(Returns!$E25:L37)</f>
        <v>-8588.19509724765</v>
      </c>
      <c r="M66" s="311" t="n">
        <f aca="false">-SUM(Returns!$E25:M37)</f>
        <v>-9841.81014210057</v>
      </c>
      <c r="N66" s="311" t="n">
        <f aca="false">-SUM(Returns!$E25:N37)</f>
        <v>-11253.902579906</v>
      </c>
      <c r="O66" s="311" t="n">
        <f aca="false">-SUM(Returns!$E25:O37)</f>
        <v>-13761.5601532828</v>
      </c>
      <c r="P66" s="311" t="n">
        <f aca="false">-SUM(Returns!$E25:P37)</f>
        <v>-17562.5941421974</v>
      </c>
      <c r="Q66" s="311" t="n">
        <f aca="false">-SUM(Returns!$E25:Q37)</f>
        <v>-21680.4415298252</v>
      </c>
      <c r="R66" s="311" t="n">
        <f aca="false">-SUM(Returns!$E25:R37)</f>
        <v>-25390.2428725051</v>
      </c>
      <c r="S66" s="311" t="n">
        <f aca="false">-SUM(Returns!$E25:S37)</f>
        <v>-27861.6518842998</v>
      </c>
      <c r="T66" s="311" t="n">
        <f aca="false">-SUM(Returns!$E25:T37)</f>
        <v>-30327.3531494474</v>
      </c>
      <c r="U66" s="311" t="n">
        <f aca="false">-SUM(Returns!$E25:U37)</f>
        <v>-33410.7713159231</v>
      </c>
      <c r="V66" s="311" t="n">
        <f aca="false">-SUM(Returns!$E25:V37)</f>
        <v>-37538.2727446624</v>
      </c>
      <c r="W66" s="311" t="n">
        <f aca="false">-SUM(Returns!$E25:W37)</f>
        <v>-43685.5233337508</v>
      </c>
      <c r="X66" s="311" t="n">
        <f aca="false">-SUM(Returns!$E25:X37)</f>
        <v>-49984.2440174111</v>
      </c>
      <c r="Y66" s="311" t="n">
        <f aca="false">-SUM(Returns!$E25:Y37)</f>
        <v>-56451.8500583982</v>
      </c>
      <c r="Z66" s="311" t="n">
        <f aca="false">-SUM(Returns!$E25:Z37)</f>
        <v>-160094.185947655</v>
      </c>
      <c r="AA66" s="313" t="n">
        <f aca="false">SUM(E66:Z66)</f>
        <v>-579834.129657576</v>
      </c>
    </row>
    <row r="67" customFormat="false" ht="12.75" hidden="false" customHeight="false" outlineLevel="0" collapsed="false">
      <c r="A67" s="37" t="s">
        <v>651</v>
      </c>
      <c r="C67" s="39"/>
      <c r="D67" s="39"/>
      <c r="E67" s="61" t="n">
        <f aca="false">SUM(E65:E66)</f>
        <v>2535.159172224</v>
      </c>
      <c r="F67" s="61" t="n">
        <f aca="false">SUM(F65:F66)</f>
        <v>8987.88639338246</v>
      </c>
      <c r="G67" s="61" t="n">
        <f aca="false">SUM(G65:G66)</f>
        <v>14736.1512912708</v>
      </c>
      <c r="H67" s="61" t="n">
        <f aca="false">SUM(H65:H66)</f>
        <v>13548.6139303203</v>
      </c>
      <c r="I67" s="61" t="n">
        <f aca="false">SUM(I65:I66)</f>
        <v>12113.3213242288</v>
      </c>
      <c r="J67" s="61" t="n">
        <f aca="false">SUM(J65:J66)</f>
        <v>11126.9501139707</v>
      </c>
      <c r="K67" s="61" t="n">
        <f aca="false">SUM(K65:K66)</f>
        <v>9662.08801463984</v>
      </c>
      <c r="L67" s="61" t="n">
        <f aca="false">SUM(L65:L66)</f>
        <v>9411.80490575235</v>
      </c>
      <c r="M67" s="61" t="n">
        <f aca="false">SUM(M65:M66)</f>
        <v>8158.18986089943</v>
      </c>
      <c r="N67" s="61" t="n">
        <f aca="false">SUM(N65:N66)</f>
        <v>6746.09742309404</v>
      </c>
      <c r="O67" s="61" t="n">
        <f aca="false">SUM(O65:O66)</f>
        <v>4238.43984971722</v>
      </c>
      <c r="P67" s="61" t="n">
        <f aca="false">SUM(P65:P66)</f>
        <v>437.40586080261</v>
      </c>
      <c r="Q67" s="61" t="n">
        <f aca="false">SUM(Q65:Q66)</f>
        <v>-3680.44152682523</v>
      </c>
      <c r="R67" s="61" t="n">
        <f aca="false">SUM(R65:R66)</f>
        <v>-7390.24286950507</v>
      </c>
      <c r="S67" s="61" t="n">
        <f aca="false">SUM(S65:S66)</f>
        <v>-9861.65188129977</v>
      </c>
      <c r="T67" s="61" t="n">
        <f aca="false">SUM(T65:T66)</f>
        <v>-12327.3531464474</v>
      </c>
      <c r="U67" s="61" t="n">
        <f aca="false">SUM(U65:U66)</f>
        <v>-15410.7713129231</v>
      </c>
      <c r="V67" s="61" t="n">
        <f aca="false">SUM(V65:V66)</f>
        <v>-19538.2727416624</v>
      </c>
      <c r="W67" s="61" t="n">
        <f aca="false">SUM(W65:W66)</f>
        <v>-25685.5233307508</v>
      </c>
      <c r="X67" s="61" t="n">
        <f aca="false">SUM(X65:X66)</f>
        <v>-31984.2440144111</v>
      </c>
      <c r="Y67" s="61" t="n">
        <f aca="false">SUM(Y65:Y66)</f>
        <v>-38451.8500553982</v>
      </c>
      <c r="Z67" s="61" t="n">
        <f aca="false">SUM(Z65:Z66)</f>
        <v>-142094.185944655</v>
      </c>
      <c r="AA67" s="309" t="n">
        <f aca="false">SUM(E67:Z67)</f>
        <v>-204722.428683576</v>
      </c>
    </row>
    <row r="68" customFormat="false" ht="12.75" hidden="false" customHeight="false" outlineLevel="0" collapsed="false">
      <c r="A68" s="37" t="s">
        <v>652</v>
      </c>
      <c r="C68" s="39"/>
      <c r="D68" s="39"/>
      <c r="E68" s="622" t="n">
        <f aca="false">Ecf</f>
        <v>0.065</v>
      </c>
      <c r="F68" s="622" t="n">
        <f aca="false">Ecf</f>
        <v>0.065</v>
      </c>
      <c r="G68" s="622" t="n">
        <f aca="false">Ecf</f>
        <v>0.065</v>
      </c>
      <c r="H68" s="622" t="n">
        <f aca="false">Ecf</f>
        <v>0.065</v>
      </c>
      <c r="I68" s="622" t="n">
        <f aca="false">Ecf</f>
        <v>0.065</v>
      </c>
      <c r="J68" s="622" t="n">
        <f aca="false">Ecf</f>
        <v>0.065</v>
      </c>
      <c r="K68" s="622" t="n">
        <f aca="false">Ecf</f>
        <v>0.065</v>
      </c>
      <c r="L68" s="622" t="n">
        <f aca="false">Ecf</f>
        <v>0.065</v>
      </c>
      <c r="M68" s="622" t="n">
        <f aca="false">Ecf</f>
        <v>0.065</v>
      </c>
      <c r="N68" s="622" t="n">
        <f aca="false">Ecf</f>
        <v>0.065</v>
      </c>
      <c r="O68" s="622" t="n">
        <f aca="false">Ecf</f>
        <v>0.065</v>
      </c>
      <c r="P68" s="622" t="n">
        <f aca="false">Ecf</f>
        <v>0.065</v>
      </c>
      <c r="Q68" s="622" t="n">
        <f aca="false">Ecf</f>
        <v>0.065</v>
      </c>
      <c r="R68" s="622" t="n">
        <f aca="false">Ecf</f>
        <v>0.065</v>
      </c>
      <c r="S68" s="622" t="n">
        <f aca="false">Ecf</f>
        <v>0.065</v>
      </c>
      <c r="T68" s="622" t="n">
        <f aca="false">Ecf</f>
        <v>0.065</v>
      </c>
      <c r="U68" s="622" t="n">
        <f aca="false">Ecf</f>
        <v>0.065</v>
      </c>
      <c r="V68" s="622" t="n">
        <f aca="false">Ecf</f>
        <v>0.065</v>
      </c>
      <c r="W68" s="622" t="n">
        <f aca="false">Ecf</f>
        <v>0.065</v>
      </c>
      <c r="X68" s="622" t="n">
        <f aca="false">Ecf</f>
        <v>0.065</v>
      </c>
      <c r="Y68" s="622" t="n">
        <f aca="false">Ecf</f>
        <v>0.065</v>
      </c>
      <c r="Z68" s="622" t="n">
        <f aca="false">Ecf</f>
        <v>0.065</v>
      </c>
      <c r="AA68" s="623"/>
    </row>
    <row r="69" customFormat="false" ht="12.75" hidden="false" customHeight="false" outlineLevel="0" collapsed="false">
      <c r="A69" s="37"/>
      <c r="B69" s="39" t="s">
        <v>653</v>
      </c>
      <c r="C69" s="39"/>
      <c r="D69" s="39"/>
      <c r="E69" s="61" t="n">
        <f aca="false">E67*E68</f>
        <v>164.78534619456</v>
      </c>
      <c r="F69" s="61" t="n">
        <f aca="false">F67*F68</f>
        <v>584.21261556986</v>
      </c>
      <c r="G69" s="61" t="n">
        <f aca="false">G67*G68</f>
        <v>957.849833932602</v>
      </c>
      <c r="H69" s="61" t="n">
        <f aca="false">H67*H68</f>
        <v>880.659905470822</v>
      </c>
      <c r="I69" s="61" t="n">
        <f aca="false">I67*I68</f>
        <v>787.365886074875</v>
      </c>
      <c r="J69" s="61" t="n">
        <f aca="false">J67*J68</f>
        <v>723.251757408094</v>
      </c>
      <c r="K69" s="61" t="n">
        <f aca="false">K67*K68</f>
        <v>628.03572095159</v>
      </c>
      <c r="L69" s="61" t="n">
        <f aca="false">L67*L68</f>
        <v>611.767318873903</v>
      </c>
      <c r="M69" s="61" t="n">
        <f aca="false">M67*M68</f>
        <v>530.282340958463</v>
      </c>
      <c r="N69" s="61" t="n">
        <f aca="false">N67*N68</f>
        <v>438.496332501112</v>
      </c>
      <c r="O69" s="61" t="n">
        <f aca="false">O67*O68</f>
        <v>275.49859023162</v>
      </c>
      <c r="P69" s="61" t="n">
        <f aca="false">P67*P68</f>
        <v>28.4313809521696</v>
      </c>
      <c r="Q69" s="61" t="n">
        <f aca="false">Q67*Q68</f>
        <v>-239.22869924364</v>
      </c>
      <c r="R69" s="61" t="n">
        <f aca="false">R67*R68</f>
        <v>-480.36578651783</v>
      </c>
      <c r="S69" s="61" t="n">
        <f aca="false">S67*S68</f>
        <v>-641.007372284485</v>
      </c>
      <c r="T69" s="61" t="n">
        <f aca="false">T67*T68</f>
        <v>-801.277954519083</v>
      </c>
      <c r="U69" s="61" t="n">
        <f aca="false">U67*U68</f>
        <v>-1001.70013534</v>
      </c>
      <c r="V69" s="61" t="n">
        <f aca="false">V67*V68</f>
        <v>-1269.98772820806</v>
      </c>
      <c r="W69" s="61" t="n">
        <f aca="false">W67*W68</f>
        <v>-1669.5590164988</v>
      </c>
      <c r="X69" s="61" t="n">
        <f aca="false">X67*X68</f>
        <v>-2078.97586093672</v>
      </c>
      <c r="Y69" s="61" t="n">
        <f aca="false">Y67*Y68</f>
        <v>-2499.37025360088</v>
      </c>
      <c r="Z69" s="61" t="n">
        <f aca="false">Z67*Z68</f>
        <v>-9236.12208640259</v>
      </c>
      <c r="AA69" s="309" t="n">
        <f aca="false">SUM(E69:Z69)</f>
        <v>-13306.9578644324</v>
      </c>
    </row>
    <row r="70" customFormat="false" ht="12.75" hidden="false" customHeight="false" outlineLevel="0" collapsed="false">
      <c r="A70" s="37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02"/>
    </row>
    <row r="71" customFormat="false" ht="13.5" hidden="false" customHeight="false" outlineLevel="0" collapsed="false">
      <c r="A71" s="49"/>
      <c r="B71" s="262" t="s">
        <v>654</v>
      </c>
      <c r="C71" s="22"/>
      <c r="D71" s="22"/>
      <c r="E71" s="624" t="n">
        <f aca="false">SUM($E69:E69)</f>
        <v>164.78534619456</v>
      </c>
      <c r="F71" s="624" t="n">
        <f aca="false">SUM($E69:F69)</f>
        <v>748.99796176442</v>
      </c>
      <c r="G71" s="624" t="n">
        <f aca="false">SUM($E69:G69)</f>
        <v>1706.84779569702</v>
      </c>
      <c r="H71" s="624" t="n">
        <f aca="false">SUM($E69:H69)</f>
        <v>2587.50770116784</v>
      </c>
      <c r="I71" s="624" t="n">
        <f aca="false">SUM($E69:I69)</f>
        <v>3374.87358724272</v>
      </c>
      <c r="J71" s="624" t="n">
        <f aca="false">SUM($E69:J69)</f>
        <v>4098.12534465081</v>
      </c>
      <c r="K71" s="624" t="n">
        <f aca="false">SUM($E69:K69)</f>
        <v>4726.1610656024</v>
      </c>
      <c r="L71" s="624" t="n">
        <f aca="false">SUM($E69:L69)</f>
        <v>5337.92838447631</v>
      </c>
      <c r="M71" s="624" t="n">
        <f aca="false">SUM($E69:M69)</f>
        <v>5868.21072543477</v>
      </c>
      <c r="N71" s="624" t="n">
        <f aca="false">SUM($E69:N69)</f>
        <v>6306.70705793588</v>
      </c>
      <c r="O71" s="624" t="n">
        <f aca="false">SUM($E69:O69)</f>
        <v>6582.2056481675</v>
      </c>
      <c r="P71" s="624" t="n">
        <f aca="false">SUM($E69:P69)</f>
        <v>6610.63702911967</v>
      </c>
      <c r="Q71" s="624" t="n">
        <f aca="false">SUM($E69:Q69)</f>
        <v>6371.40832987603</v>
      </c>
      <c r="R71" s="624" t="n">
        <f aca="false">SUM($E69:R69)</f>
        <v>5891.0425433582</v>
      </c>
      <c r="S71" s="624" t="n">
        <f aca="false">SUM($E69:S69)</f>
        <v>5250.03517107372</v>
      </c>
      <c r="T71" s="624" t="n">
        <f aca="false">SUM($E69:T69)</f>
        <v>4448.75721655463</v>
      </c>
      <c r="U71" s="624" t="n">
        <f aca="false">SUM($E69:U69)</f>
        <v>3447.05708121463</v>
      </c>
      <c r="V71" s="624" t="n">
        <f aca="false">SUM($E69:V69)</f>
        <v>2177.06935300658</v>
      </c>
      <c r="W71" s="624" t="n">
        <f aca="false">SUM($E69:W69)</f>
        <v>507.510336507772</v>
      </c>
      <c r="X71" s="624" t="n">
        <f aca="false">SUM($E69:X69)</f>
        <v>-1571.46552442895</v>
      </c>
      <c r="Y71" s="624" t="n">
        <f aca="false">SUM($E69:Y69)</f>
        <v>-4070.83577802983</v>
      </c>
      <c r="Z71" s="624" t="n">
        <f aca="false">SUM($E69:Z69)</f>
        <v>-13306.9578644324</v>
      </c>
      <c r="AA71" s="362"/>
    </row>
  </sheetData>
  <printOptions headings="false" gridLines="false" gridLinesSet="true" horizontalCentered="true" verticalCentered="false"/>
  <pageMargins left="0.25" right="0.25" top="0.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 Italic"&amp;11 Confidential</oddHeader>
    <oddFooter>&amp;L&amp;"Arial,Italic"Structurer: GLG
Filename: &amp;F
Tabname: &amp;A&amp;C&amp;"Arial,Italic"Page &amp;P Of &amp;N&amp;R&amp;"Arial,Italic"Date: &amp;D
Time: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1997-08-11T12:38:58Z</dcterms:created>
  <dc:creator>Gerald L. Gobbi</dc:creator>
  <dc:description/>
  <dc:language>en-US</dc:language>
  <cp:lastModifiedBy>kkindal</cp:lastModifiedBy>
  <cp:lastPrinted>2000-05-17T21:13:15Z</cp:lastPrinted>
  <cp:revision>0</cp:revision>
  <dc:subject/>
  <dc:title/>
</cp:coreProperties>
</file>