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9.xml.rels" ContentType="application/vnd.openxmlformats-package.relationships+xml"/>
  <Override PartName="/xl/worksheets/_rels/sheet8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comments9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3.vml" ContentType="application/vnd.openxmlformats-officedocument.vmlDrawing"/>
  <Override PartName="/xl/drawings/vmlDrawing4.vml" ContentType="application/vnd.openxmlformats-officedocument.vmlDrawing"/>
  <Override PartName="/xl/comments5.xml" ContentType="application/vnd.openxmlformats-officedocument.spreadsheetml.comments+xml"/>
  <Override PartName="/xl/comments8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F1" sheetId="1" state="visible" r:id="rId3"/>
    <sheet name="PF2" sheetId="2" state="visible" r:id="rId4"/>
    <sheet name="PF3" sheetId="3" state="visible" r:id="rId5"/>
    <sheet name="PFWtdAvg" sheetId="4" state="visible" r:id="rId6"/>
    <sheet name="Common Assumpt" sheetId="5" state="visible" r:id="rId7"/>
    <sheet name="RAROC" sheetId="6" state="visible" r:id="rId8"/>
    <sheet name="Sensit041100" sheetId="7" state="visible" r:id="rId9"/>
    <sheet name="Elba" sheetId="8" state="visible" r:id="rId10"/>
    <sheet name="CURVES" sheetId="9" state="visible" r:id="rId11"/>
    <sheet name="USInf97" sheetId="10" state="visible" r:id="rId12"/>
  </sheets>
  <externalReferences>
    <externalReference r:id="rId13"/>
    <externalReference r:id="rId14"/>
    <externalReference r:id="rId15"/>
    <externalReference r:id="rId16"/>
    <externalReference r:id="rId17"/>
  </externalReferences>
  <definedNames>
    <definedName function="false" hidden="false" localSheetId="8" name="_xlnm.Print_Area" vbProcedure="false">CURVES!$A$1:$O$79</definedName>
    <definedName function="false" hidden="false" localSheetId="7" name="_xlnm.Print_Area" vbProcedure="false">Elba!$A$1:$AA$213</definedName>
    <definedName function="false" hidden="false" localSheetId="7" name="_xlnm.Print_Titles" vbProcedure="false">Elba!$A:$A,Elba!$1:$3</definedName>
    <definedName function="false" hidden="false" localSheetId="0" name="_xlnm.Print_Area" vbProcedure="false">PF1!$A$1:$AC$32</definedName>
    <definedName function="false" hidden="false" localSheetId="1" name="_xlnm.Print_Area" vbProcedure="false">PF2!$A$1:$AC$32</definedName>
    <definedName function="false" hidden="false" localSheetId="2" name="_xlnm.Print_Area" vbProcedure="false">PF3!$A$1:$AC$32</definedName>
    <definedName function="false" hidden="false" localSheetId="3" name="_xlnm.Print_Area" vbProcedure="false">PFWtdAvg!$A$1:$AC$32</definedName>
    <definedName function="false" hidden="false" localSheetId="5" name="_xlnm.Print_Area" vbProcedure="false">RAROC!$A$1:$H$89,RAROC!$I$23:$R$44</definedName>
    <definedName function="false" hidden="false" name="AecoUpdate" vbProcedure="false">CURVES!$N$10</definedName>
    <definedName function="false" hidden="false" name="arb" vbProcedure="false">Elba!$B$214</definedName>
    <definedName function="false" hidden="false" name="booklife" vbProcedure="false">[2]ASS!$T$86</definedName>
    <definedName function="false" hidden="false" name="BrentUpdate" vbProcedure="false">CURVES!$N$11</definedName>
    <definedName function="false" hidden="false" name="Choices_Wrapper" vbProcedure="false">Choices_Wrapper</definedName>
    <definedName function="false" hidden="false" name="cp" vbProcedure="false">#REF!</definedName>
    <definedName function="false" hidden="false" name="driftswitch" vbProcedure="false">#REF!</definedName>
    <definedName function="false" hidden="false" name="EQUITY" vbProcedure="false">[4]ASS!$X$83</definedName>
    <definedName function="false" hidden="false" name="GasSwitch" vbProcedure="false">#REF!</definedName>
    <definedName function="false" hidden="false" name="GasUpdate" vbProcedure="false">CURVES!$M$8</definedName>
    <definedName function="false" hidden="false" name="IntCvgFrBox" vbProcedure="false">[2]FIN!$E$78:$Z$78</definedName>
    <definedName function="false" hidden="false" name="Miles" vbProcedure="false">[5]OthProjCost!$K$9</definedName>
    <definedName function="false" hidden="false" name="ML" vbProcedure="false">'Common Assumpt'!$F$17</definedName>
    <definedName function="false" hidden="false" name="MOSYR1" vbProcedure="false">[4]ASS!$D$17</definedName>
    <definedName function="false" hidden="false" name="NB" vbProcedure="false">'Common Assumpt'!$F$18</definedName>
    <definedName function="false" hidden="false" name="OilSwitch" vbProcedure="false">#REF!</definedName>
    <definedName function="false" hidden="false" name="OilUpdate" vbProcedure="false">CURVES!$M$9</definedName>
    <definedName function="false" hidden="false" name="prcpi" vbProcedure="false">[3]Sum!$E$23</definedName>
    <definedName function="false" hidden="false" name="REFERENCE_DATE" vbProcedure="false">#REF!</definedName>
    <definedName function="false" hidden="false" name="shiftswitch2" vbProcedure="false">#REF!</definedName>
    <definedName function="false" hidden="false" name="ShipNum" vbProcedure="false">[2]ASS!$F$41</definedName>
    <definedName function="false" hidden="false" name="switch" vbProcedure="false">RAROC!$D$5</definedName>
    <definedName function="false" hidden="false" name="TERM" vbProcedure="false">[4]ASS!$E$18</definedName>
    <definedName function="false" hidden="false" name="tranche2TOYr" vbProcedure="false">[2]ASS!$P$55</definedName>
    <definedName function="false" hidden="false" name="uscpi" vbProcedure="false">[3]Sum!$E$22</definedName>
    <definedName function="false" hidden="false" name="VZ" vbProcedure="false">#REF!</definedName>
    <definedName function="false" hidden="false" name="ZA0" vbProcedure="false">"Crystal Ball Data : Ver. 4.0"</definedName>
    <definedName function="false" hidden="false" name="ZA0A" vbProcedure="false">479+842</definedName>
    <definedName function="false" hidden="false" name="ZA0C" vbProcedure="false">0+0</definedName>
    <definedName function="false" hidden="false" name="ZA0F" vbProcedure="false">2+109</definedName>
    <definedName function="false" hidden="false" name="ZA0T" vbProcedure="false">43347870+0</definedName>
    <definedName function="false" hidden="false" localSheetId="0" name="Choices_Wrapper" vbProcedure="false">Choices_Wrapper</definedName>
    <definedName function="false" hidden="false" localSheetId="0" name="cp" vbProcedure="false">#REF!</definedName>
    <definedName function="false" hidden="false" localSheetId="0" name="VZ" vbProcedure="false">#REF!</definedName>
    <definedName function="false" hidden="false" localSheetId="1" name="Choices_Wrapper" vbProcedure="false">Choices_Wrapper</definedName>
    <definedName function="false" hidden="false" localSheetId="1" name="cp" vbProcedure="false">#REF!</definedName>
    <definedName function="false" hidden="false" localSheetId="1" name="VZ" vbProcedure="false">#REF!</definedName>
    <definedName function="false" hidden="false" localSheetId="2" name="Choices_Wrapper" vbProcedure="false">Choices_Wrapper</definedName>
    <definedName function="false" hidden="false" localSheetId="2" name="cp" vbProcedure="false">#REF!</definedName>
    <definedName function="false" hidden="false" localSheetId="2" name="VZ" vbProcedure="false">#REF!</definedName>
    <definedName function="false" hidden="false" localSheetId="4" name="Choices_Wrapper" vbProcedure="false">Choices_Wrapper</definedName>
    <definedName function="false" hidden="false" localSheetId="5" name="ZA0" vbProcedure="false">"Crystal Ball Data : Ver. 4.0.7"</definedName>
    <definedName function="false" hidden="false" localSheetId="5" name="ZA0A" vbProcedure="false">537+9037</definedName>
    <definedName function="false" hidden="false" localSheetId="5" name="ZA0C" vbProcedure="false">5+124</definedName>
    <definedName function="false" hidden="false" localSheetId="5" name="ZA0D" vbProcedure="false">0+0</definedName>
    <definedName function="false" hidden="false" localSheetId="5" name="ZA0F" vbProcedure="false">170+392</definedName>
    <definedName function="false" hidden="false" localSheetId="5" name="ZA0T" vbProcedure="false">339690368+0</definedName>
    <definedName function="false" hidden="false" localSheetId="5" name="ZA857AA" vbProcedure="false">2+0.15+0+2+0.85+1+9</definedName>
    <definedName function="false" hidden="false" localSheetId="5" name="ZA867AA" vbProcedure="false">2+0.95+0+2+0.05+1+9</definedName>
    <definedName function="false" hidden="false" localSheetId="5" name="ZA869" vbProcedure="false">RAROC!$E$10+"aRAROC"+545+RAROC!$G$10+0+16.5+RAROC!$G$11+0+0.2</definedName>
    <definedName function="false" hidden="false" localSheetId="5" name="ZA869AA" vbProcedure="false">2+0.02+3+2+0.02+4+2+0.03+5+2+0.04+6+2+0.06+7+2+0.08+8+2+0.09+9+2+0.11+10+2+0.127462686567164+11+2+0.16+12+2+0.2+13+2+0.06+14+9</definedName>
    <definedName function="false" hidden="false" localSheetId="5" name="ZA869AB" vbProcedure="false">2+0.05+14+9</definedName>
    <definedName function="false" hidden="false" localSheetId="5" name="ZA870" vbProcedure="false">RAROC!$E$14+"lE14"+16929+574+0.6+1+2+5+1+5+4+9+0+4+0+8</definedName>
    <definedName function="false" hidden="false" localSheetId="5" name="ZA870AA" vbProcedure="false">2+0.02+2+2+0.18+3+2+0.6+4+2+0.2+5+9</definedName>
    <definedName function="false" hidden="false" localSheetId="5" name="ZA874" vbProcedure="false">RAROC!$E$24+"PBE19"+16929+RAROC!$H$24+0+0.174+RAROC!$H$25+0+0.005+"-"+0.194</definedName>
    <definedName function="false" hidden="false" localSheetId="5" name="ZA875" vbProcedure="false">RAROC!$E$28+"PBE23"+16929+RAROC!$H$28+0+0.769+RAROC!$H$29+0+0.01+"-"+0.809</definedName>
    <definedName function="false" hidden="false" localSheetId="5" name="ZA878AA" vbProcedure="false">2+0.15+0+2+0.85+1+9</definedName>
    <definedName function="false" hidden="false" localSheetId="5" name="ZA879AA" vbProcedure="false">2+0.15+0+2+0.85+1+9</definedName>
    <definedName function="false" hidden="false" localSheetId="5" name="ZA880" vbProcedure="false">RAROC!$J$24+"PBJ19"+16929+RAROC!$M$24+0+0.154417327663107+RAROC!$M$25+0+0.01+"-"+0.194417327663107</definedName>
    <definedName function="false" hidden="false" localSheetId="5" name="ZA881" vbProcedure="false">RAROC!$J$28+"PBJ23"+16929+RAROC!$M$28+0+0.213+RAROC!$M$29+0+0.01+"-"+0.253</definedName>
    <definedName function="false" hidden="false" localSheetId="5" name="ZA882" vbProcedure="false">RAROC!$O$28+"PBO23"+16929+RAROC!$R$28+0+0.477+RAROC!$R$29+0+0.01+"-"+0.517</definedName>
    <definedName function="false" hidden="false" localSheetId="5" name="ZA883" vbProcedure="false">RAROC!$O$24+"PBO19"+16929+RAROC!$R$24+0+0.25942111047402+RAROC!$R$25+0+0.005+"-"+0.27942111047402</definedName>
    <definedName function="false" hidden="false" localSheetId="5" name="ZA884" vbProcedure="false">RAROC!$E$33+"PBE28"+16929+RAROC!$H$33+0+0.428+RAROC!$H$34+0+0.005+"-"+0.448</definedName>
    <definedName function="false" hidden="false" localSheetId="5" name="ZA885" vbProcedure="false">RAROC!$E$37+"PBE32"+16929+RAROC!$H$37+0+0.916+RAROC!$H$38+0+0.01+"-"+0.956</definedName>
    <definedName function="false" hidden="false" localSheetId="5" name="ZA886" vbProcedure="false">RAROC!$J$33+"PBJ28"+16929+RAROC!$M$33+0+0.119+RAROC!$M$34+0+0.01+"-"+0.159</definedName>
    <definedName function="false" hidden="false" localSheetId="5" name="ZA887" vbProcedure="false">RAROC!$J$37+"PBJ32"+16929+RAROC!$M$37+0+0.254+RAROC!$M$38+0+0.01+"-"+0.294</definedName>
    <definedName function="false" hidden="false" localSheetId="5" name="ZA888" vbProcedure="false">RAROC!$O$33+"PBO28"+16929+RAROC!$R$33+0+0.227+RAROC!$R$34+0+0.005+"-"+0.247</definedName>
    <definedName function="false" hidden="false" localSheetId="5" name="ZA889" vbProcedure="false">RAROC!$O$37+"PBO32"+16929+RAROC!$R$37+0+0.535+RAROC!$R$38+0+0.01+"-"+0.575</definedName>
    <definedName function="false" hidden="false" localSheetId="5" name="ZA890" vbProcedure="false">RAROC!$E$40+"EAE35"+17449+RAROC!$H$40+0+0.02+RAROC!$H$41+0+0.005+0+RAROC!$H$40+0+0.02</definedName>
    <definedName function="false" hidden="false" localSheetId="5" name="ZA891" vbProcedure="false">RAROC!$E$43+"EAE38"+17153+RAROC!$H$43+0+3.223+RAROC!$H$44+0+0.05+0+RAROC!$H$43+0+3.223</definedName>
    <definedName function="false" hidden="false" localSheetId="5" name="ZA892" vbProcedure="false">RAROC!$E$46+"eAE41"+16901+RAROC!$H$46+0+0.666666666666667+RAROC!$H$47+0+0.05</definedName>
    <definedName function="false" hidden="false" localSheetId="5" name="ZA893" vbProcedure="false">RAROC!$E$51+"eAE46"+16901+RAROC!$H$51+0+0.5+RAROC!$H$52+0+0.05</definedName>
    <definedName function="false" hidden="false" localSheetId="5" name="ZA894" vbProcedure="false">RAROC!$E$55+"eAE50"+1065+RAROC!$H$55+0+0.25+RAROC!$H$56+0+0.02</definedName>
    <definedName function="false" hidden="false" localSheetId="5" name="ZA895" vbProcedure="false">RAROC!$E$58+"eAE53"+517+RAROC!$H$58+0+0.0135+RAROC!$H$59+0+0.0005</definedName>
    <definedName function="false" hidden="false" localSheetId="5" name="ZA896" vbProcedure="false">RAROC!$E$63+"eAE58"+17441+RAROC!$H$63+0+5.8222388509+RAROC!$H$64+0+0.5</definedName>
    <definedName function="false" hidden="false" localSheetId="5" name="ZA897" vbProcedure="false">RAROC!$E$66+"eAE61"+17441+RAROC!$H$66+0+5.5884170635+RAROC!$H$67+0+0.5</definedName>
    <definedName function="false" hidden="false" localSheetId="5" name="ZA898" vbProcedure="false">RAROC!$E$69+"eAE64"+17441+RAROC!$H$69+0+0.0266154761904762+RAROC!$H$70+0+0.01</definedName>
    <definedName function="false" hidden="false" localSheetId="5" name="ZA899" vbProcedure="false">RAROC!$E$72+"eAE67"+16901+RAROC!$H$72+0+0.025+RAROC!$H$73+0+0.002</definedName>
    <definedName function="false" hidden="false" localSheetId="5" name="ZA9001" vbProcedure="false">RAROC!$E$76+"eAE71"+16901+RAROC!$H$76+0+0.75+RAROC!$H$77+0+0.05</definedName>
    <definedName function="false" hidden="false" localSheetId="5" name="ZA9002" vbProcedure="false">RAROC!$E$80+"eAE75"+16937+RAROC!$H$80+0+1+RAROC!$H$81+0+0.05</definedName>
    <definedName function="false" hidden="false" localSheetId="5" name="ZA9003" vbProcedure="false">RAROC!$E$83+"eAE78"+16901+RAROC!$H$83+0+0.5+RAROC!$H$84+0+0.05</definedName>
    <definedName function="false" hidden="false" localSheetId="5" name="ZA9004" vbProcedure="false">RAROC!$E$87+"lE85"+16417+448+0.6+1+1+3+1+3+3+3+0+3+0+8</definedName>
    <definedName function="false" hidden="false" localSheetId="5" name="ZA9004AA" vbProcedure="false">2+0.2+1+2+0.2+2+2+0.6+3+9</definedName>
    <definedName function="false" hidden="false" localSheetId="5" name="ZA9007" vbProcedure="false">RAROC!$E$19+"pAE82"+545+RAROC!$H$19+0+1.65+RAROC!$H$20+0+0.1</definedName>
    <definedName function="false" hidden="false" localSheetId="5" name="ZA9007AA" vbProcedure="false">2+0.4+1+2+0.2+2+2+0.4+3+9</definedName>
    <definedName function="false" hidden="false" localSheetId="5" name="ZA9009" vbProcedure="false">RAROC!$L$6+"dDefault this year?  (0=YES, 1=NO)"+545+RAROC!$L$5+0+0.987353640170845+1</definedName>
    <definedName function="false" hidden="false" localSheetId="5" name="ZA9010" vbProcedure="false">RAROC!$M$6+"dM6"+16929+RAROC!$M$5+0+0.987353640170845+1</definedName>
    <definedName function="false" hidden="false" localSheetId="5" name="ZA9011" vbProcedure="false">RAROC!$N$6+"dN6"+16929+RAROC!$N$5+0+0.987353640170845+1</definedName>
    <definedName function="false" hidden="false" localSheetId="5" name="ZA9012" vbProcedure="false">RAROC!$O$6+"dO6"+16929+RAROC!$O$5+0+0.987353640170845+1</definedName>
    <definedName function="false" hidden="false" localSheetId="5" name="ZA9013" vbProcedure="false">RAROC!$P$6+"dP6"+16929+RAROC!$P$5+0+0.987353640170845+1</definedName>
    <definedName function="false" hidden="false" localSheetId="5" name="ZA9014" vbProcedure="false">RAROC!$Q$6+"dQ6"+16929+RAROC!$Q$5+0+0.987353640170845+1</definedName>
    <definedName function="false" hidden="false" localSheetId="5" name="ZA9015" vbProcedure="false">RAROC!$R$6+"dR6"+16929+RAROC!$R$5+0+0.987353640170845+1</definedName>
    <definedName function="false" hidden="false" localSheetId="5" name="ZA9016" vbProcedure="false">RAROC!$S$6+"dS6"+16929+RAROC!$S$5+0+0.987353640170845+1</definedName>
    <definedName function="false" hidden="false" localSheetId="5" name="ZA9017" vbProcedure="false">RAROC!$T$6+"dT6"+16929+RAROC!$T$5+0+0.987353640170845+1</definedName>
    <definedName function="false" hidden="false" localSheetId="5" name="ZA9018" vbProcedure="false">RAROC!$U$6+"dU6"+16929+RAROC!$U$5+0+0.987353640170845+1</definedName>
    <definedName function="false" hidden="false" localSheetId="5" name="ZA9019" vbProcedure="false">RAROC!$V$6+"dV6"+16929+RAROC!$V$5+0+0.987353640170845+1</definedName>
    <definedName function="false" hidden="false" localSheetId="5" name="ZA9020" vbProcedure="false">RAROC!$W$6+"dW6"+16929+RAROC!$W$5+0+0.987353640170845+1</definedName>
    <definedName function="false" hidden="false" localSheetId="5" name="ZA9021" vbProcedure="false">RAROC!$X$6+"dX6"+16929+RAROC!$X$5+0+0.987353640170845+1</definedName>
    <definedName function="false" hidden="false" localSheetId="5" name="ZA9022" vbProcedure="false">RAROC!$Y$6+"dY6"+16929+RAROC!$Y$5+0+0.987353640170845+1</definedName>
    <definedName function="false" hidden="false" localSheetId="5" name="ZA9023" vbProcedure="false">RAROC!$Z$6+"dZ6"+16929+RAROC!$Z$5+0+0.987353640170845+1</definedName>
    <definedName function="false" hidden="false" localSheetId="5" name="ZA9024" vbProcedure="false">RAROC!$AA$6+"dAA6"+16929+RAROC!$AA$5+0+0.987353640170845+1</definedName>
    <definedName function="false" hidden="false" localSheetId="5" name="ZA9025" vbProcedure="false">RAROC!$AB$6+"dAB6"+16929+RAROC!$AB$5+0+0.987353640170845+1</definedName>
    <definedName function="false" hidden="false" localSheetId="5" name="ZA9026" vbProcedure="false">RAROC!$AC$6+"dAC6"+16929+RAROC!$AC$5+0+0.987353640170845+1</definedName>
    <definedName function="false" hidden="false" localSheetId="5" name="ZA9027" vbProcedure="false">RAROC!$AD$6+"dAD6"+16929+RAROC!$AD$5+0+0.987353640170845+1</definedName>
    <definedName function="false" hidden="false" localSheetId="5" name="ZA9028" vbProcedure="false">RAROC!$M$43+"eAM41"+17153+RAROC!$P$43+0+2.046+RAROC!$P$44+0+0.15</definedName>
    <definedName function="false" hidden="false" localSheetId="5" name="ZA9029" vbProcedure="false">RAROC!$H$10+"aYear 2"+545+RAROC!$J$10+0+15.8+RAROC!$J$11+0+0.2</definedName>
    <definedName function="false" hidden="false" localSheetId="5" name="ZA9029AA" vbProcedure="false">2+0.04+0+2+0.01+3+2+0.02+4+2+0.03+5+2+0.04+6+2+0.06+7+2+0.07+8+2+0.09+9+2+0.11+10+2+0.127462686567164+11+2+0.15+12+2+0.2+13+8</definedName>
    <definedName function="false" hidden="false" localSheetId="5" name="ZA9029AB" vbProcedure="false">2+0.05+14+9</definedName>
    <definedName function="false" hidden="false" localSheetId="5" name="ZA9030" vbProcedure="false">RAROC!$K$10+"aYear 3"+545+RAROC!$M$10+0+15.18+RAROC!$M$11+0+0.2</definedName>
    <definedName function="false" hidden="false" localSheetId="5" name="ZA9030AA" vbProcedure="false">2+0.08+0+2+0.01+3+2+0.01+4+2+0.02+5+2+0.04+6+2+0.06+7+2+0.07+8+2+0.09+9+2+0.11+10+2+0.127462686567164+11+2+0.15+12+2+0.19+13+8</definedName>
    <definedName function="false" hidden="false" localSheetId="5" name="ZA9030AB" vbProcedure="false">2+0.04+14+9</definedName>
    <definedName function="false" hidden="false" localSheetId="5" name="ZA9031" vbProcedure="false">RAROC!$N$10+"aYear 4"+545+RAROC!$P$10+0+14.52+RAROC!$P$11+0+0.2</definedName>
    <definedName function="false" hidden="false" localSheetId="5" name="ZA9031AA" vbProcedure="false">2+0.12+0+2+0.01+3+2+0.01+4+2+0.02+5+2+0.03+6+2+0.05+7+2+0.07+8+2+0.09+9+2+0.11+10+2+0.127462686567164+11+2+0.15+12+2+0.17+13+8</definedName>
    <definedName function="false" hidden="false" localSheetId="5" name="ZA9031AB" vbProcedure="false">2+0.04+14+9</definedName>
    <definedName function="false" hidden="false" localSheetId="5" name="ZA9032" vbProcedure="false">RAROC!$Q$10+"aYear 5"+545+RAROC!$S$10+0+13.86+RAROC!$S$11+0+0.2</definedName>
    <definedName function="false" hidden="false" localSheetId="5" name="ZA9032AA" vbProcedure="false">2+0.16+0+2+0.01+3+2+0.02+4+2+0.03+5+2+0.04+6+2+0.05+7+2+0.07+8+2+0.08+9+2+0.1+10+2+0.11+11+2+0.13+12+2+0.16+13+8</definedName>
    <definedName function="false" hidden="false" localSheetId="5" name="ZA9032AB" vbProcedure="false">2+0.04+14+9</definedName>
    <definedName function="false" hidden="false" localSheetId="5" name="ZA9033" vbProcedure="false">RAROC!$H$14+"lYear 2"+545+574+0.55+1+0+5+1+5+5+9+0+5+0+8</definedName>
    <definedName function="false" hidden="false" localSheetId="5" name="ZA9033AA" vbProcedure="false">2+0.04+0+2+0.02+2+2+0.2+3+2+0.55+4+2+0.19+5+9</definedName>
    <definedName function="false" hidden="false" localSheetId="5" name="ZA9034" vbProcedure="false">RAROC!$K$14+"lYear 3"+545+574+0.55+1+0+5+1+0+5+9+0+5+0+8</definedName>
    <definedName function="false" hidden="false" localSheetId="5" name="ZA9034AA" vbProcedure="false">2+0.08+0+2+0.02+2+2+0.17+3+2+0.55+4+2+0.18+5+9</definedName>
    <definedName function="false" hidden="false" localSheetId="5" name="ZA9035" vbProcedure="false">RAROC!$N$14+"lYear 4"+545+574+0.55+1+0+5+1+5+5+9+0+5+0+8</definedName>
    <definedName function="false" hidden="false" localSheetId="5" name="ZA9035AA" vbProcedure="false">2+0.12+0+2+0.02+2+2+0.15+3+2+0.55+4+2+0.16+5+9</definedName>
    <definedName function="false" hidden="false" localSheetId="5" name="ZA9036" vbProcedure="false">RAROC!$Q$14+"lYear 5"+545+574+0.55+1+0+5+1+5+5+9+0+5+0+8</definedName>
    <definedName function="false" hidden="false" localSheetId="5" name="ZA9036AA" vbProcedure="false">2+0.16+0+2+0.02+2+2+0.12+3+2+0.55+4+2+0.15+5+9</definedName>
    <definedName function="false" hidden="false" localSheetId="5" name="ZA9037" vbProcedure="false">RAROC!$E$91+"pBE91"+16929+RAROC!$H$91+0+1+RAROC!$H$92+0+0.05</definedName>
    <definedName function="false" hidden="false" localSheetId="5" name="ZC112" vbProcedure="false">RAROC!$E$14+RAROC!$E$10+0+0.5</definedName>
    <definedName function="false" hidden="false" localSheetId="5" name="ZC121" vbProcedure="false">RAROC!$H$14+RAROC!$H$10+0+0.5</definedName>
    <definedName function="false" hidden="false" localSheetId="5" name="ZC122" vbProcedure="false">RAROC!$K$14+RAROC!$K$10+0+0.5</definedName>
    <definedName function="false" hidden="false" localSheetId="5" name="ZC123" vbProcedure="false">RAROC!$N$14+RAROC!$N$10+0+0.5</definedName>
    <definedName function="false" hidden="false" localSheetId="5" name="ZC124" vbProcedure="false">RAROC!$Q$14+RAROC!$Q$10+0+0.5</definedName>
    <definedName function="false" hidden="false" localSheetId="5" name="ZF225" vbProcedure="false">RAROC!$L$46+"CFOUT00"+""+33+33+441+0+0+0+0+4+3+"-"+"+"+2.6+50+2</definedName>
    <definedName function="false" hidden="false" localSheetId="5" name="ZF226" vbProcedure="false">RAROC!$M$46+"CFOUT01"+""+33+33+441+0+0+0+0+4+3+"-"+"+"+2.6+50+2</definedName>
    <definedName function="false" hidden="false" localSheetId="5" name="ZF227" vbProcedure="false">RAROC!$N$46+"CFOUT02"+""+33+33+441+0+0+0+0+4+3+"-"+"+"+2.6+50+2</definedName>
    <definedName function="false" hidden="false" localSheetId="5" name="ZF228" vbProcedure="false">RAROC!$O$46+"CFOUT03"+""+33+33+441+0+0+0+0+4+3+"-"+"+"+2.6+50+2</definedName>
    <definedName function="false" hidden="false" localSheetId="5" name="ZF229" vbProcedure="false">RAROC!$P$46+"CFOUT04"+""+33+33+441+0+0+0+0+4+3+"-"+"+"+2.6+50+2</definedName>
    <definedName function="false" hidden="false" localSheetId="5" name="ZF230" vbProcedure="false">RAROC!$Q$46+"CFOUT05"+""+33+33+441+0+0+0+0+4+3+"-"+"+"+2.6+50+2</definedName>
    <definedName function="false" hidden="false" localSheetId="5" name="ZF231" vbProcedure="false">RAROC!$R$46+"CFOUT06"+""+33+33+441+0+0+0+0+4+3+"-"+"+"+2.6+50+2</definedName>
    <definedName function="false" hidden="false" localSheetId="5" name="ZF232" vbProcedure="false">RAROC!$S$46+"CFOUT07"+""+33+33+441+0+0+0+0+4+3+"-"+"+"+2.6+50+2</definedName>
    <definedName function="false" hidden="false" localSheetId="5" name="ZF233" vbProcedure="false">RAROC!$T$46+"CFOUT08"+""+33+33+441+0+0+0+0+4+3+"-"+"+"+2.6+50+2</definedName>
    <definedName function="false" hidden="false" localSheetId="5" name="ZF234" vbProcedure="false">RAROC!$U$46+"CFOUT09"+""+33+33+441+0+0+0+0+4+3+"-"+"+"+2.6+50+2</definedName>
    <definedName function="false" hidden="false" localSheetId="5" name="ZF235" vbProcedure="false">RAROC!$V$46+"CFOUT10"+""+33+33+441+0+0+0+0+4+3+"-"+"+"+2.6+50+2</definedName>
    <definedName function="false" hidden="false" localSheetId="5" name="ZF236" vbProcedure="false">RAROC!$W$46+"CFOUT11"+""+33+33+441+0+0+0+0+4+3+"-"+"+"+2.6+50+2</definedName>
    <definedName function="false" hidden="false" localSheetId="5" name="ZF237" vbProcedure="false">RAROC!$X$46+"CFOUT12"+""+33+33+441+0+0+0+0+4+3+"-"+"+"+2.6+50+2</definedName>
    <definedName function="false" hidden="false" localSheetId="5" name="ZF238" vbProcedure="false">RAROC!$Y$46+"CFOUT13"+""+33+33+441+0+0+0+0+4+3+"-"+"+"+2.6+50+2</definedName>
    <definedName function="false" hidden="false" localSheetId="5" name="ZF239" vbProcedure="false">RAROC!$Z$46+"CFOUT14"+""+33+33+441+0+0+0+0+4+3+"-"+"+"+2.6+50+2</definedName>
    <definedName function="false" hidden="false" localSheetId="5" name="ZF240" vbProcedure="false">RAROC!$AA$46+"CFOUT15"+""+33+33+441+0+0+0+0+4+3+"-"+"+"+2.6+50+2</definedName>
    <definedName function="false" hidden="false" localSheetId="5" name="ZF241" vbProcedure="false">RAROC!$AB$46+"CFOUT16"+""+33+33+441+0+0+0+0+4+3+"-"+"+"+2.6+50+2</definedName>
    <definedName function="false" hidden="false" localSheetId="5" name="ZF242" vbProcedure="false">RAROC!$AC$46+"CFOUT17"+""+33+33+441+0+0+0+0+4+3+"-"+"+"+2.6+50+2</definedName>
    <definedName function="false" hidden="false" localSheetId="5" name="ZF243" vbProcedure="false">RAROC!$AD$46+"CFOUT18"+""+33+33+441+0+0+0+0+4+3+"-"+"+"+2.6+50+2</definedName>
    <definedName function="false" hidden="false" localSheetId="5" name="ZF244" vbProcedure="false">RAROC!$AE$46+"CFOUT19"+""+33+33+441+0+0+0+0+4+3+"-"+"+"+2.6+50+2</definedName>
    <definedName function="false" hidden="false" localSheetId="5" name="ZF245" vbProcedure="false">RAROC!$AF$46+"CFOUT20"+""+33+33+441+0+0+0+0+4+3+"-"+"+"+2.6+50+2</definedName>
    <definedName function="false" hidden="false" localSheetId="5" name="ZF246" vbProcedure="false">RAROC!$L$48+"CFIN00"+""+33+33+441+0+0+0+0+4+3+"-"+"+"+2.6+50+2</definedName>
    <definedName function="false" hidden="false" localSheetId="5" name="ZF247" vbProcedure="false">RAROC!$M$48+"CFIN01"+""+33+33+441+0+0+0+0+4+3+"-"+"+"+2.6+50+2</definedName>
    <definedName function="false" hidden="false" localSheetId="5" name="ZF248" vbProcedure="false">RAROC!$N$48+"CFIN02"+""+33+33+441+0+0+0+0+4+3+"-"+"+"+2.6+50+2</definedName>
    <definedName function="false" hidden="false" localSheetId="5" name="ZF249" vbProcedure="false">RAROC!$O$48+"CFIN03"+""+33+33+441+0+0+0+0+4+3+"-"+"+"+2.6+50+2</definedName>
    <definedName function="false" hidden="false" localSheetId="5" name="ZF250" vbProcedure="false">RAROC!$P$48+"CFIN04"+""+33+33+441+0+0+0+0+4+3+"-"+"+"+2.6+50+2</definedName>
    <definedName function="false" hidden="false" localSheetId="5" name="ZF251" vbProcedure="false">RAROC!$Q$48+"CFIN05"+""+33+33+441+0+0+0+0+4+3+"-"+"+"+2.6+50+2</definedName>
    <definedName function="false" hidden="false" localSheetId="5" name="ZF252" vbProcedure="false">RAROC!$R$48+"CFIN06"+""+33+33+441+0+0+0+0+4+3+"-"+"+"+2.6+50+2</definedName>
    <definedName function="false" hidden="false" localSheetId="5" name="ZF253" vbProcedure="false">RAROC!$S$48+"CFIN07"+""+33+33+441+0+0+0+0+4+3+"-"+"+"+2.6+50+2</definedName>
    <definedName function="false" hidden="false" localSheetId="5" name="ZF254" vbProcedure="false">RAROC!$T$48+"CFIN08"+""+33+33+441+0+0+0+0+4+3+"-"+"+"+2.6+50+2</definedName>
    <definedName function="false" hidden="false" localSheetId="5" name="ZF255" vbProcedure="false">RAROC!$U$48+"CFIN09"+""+33+33+441+0+0+0+0+4+3+"-"+"+"+2.6+50+2</definedName>
    <definedName function="false" hidden="false" localSheetId="5" name="ZF256" vbProcedure="false">RAROC!$V$48+"CFIN10"+""+33+33+441+0+0+0+0+4+3+"-"+"+"+2.6+50+2</definedName>
    <definedName function="false" hidden="false" localSheetId="5" name="ZF257" vbProcedure="false">RAROC!$W$48+"CFIN11"+""+33+33+441+0+0+0+0+4+3+"-"+"+"+2.6+50+2</definedName>
    <definedName function="false" hidden="false" localSheetId="5" name="ZF258" vbProcedure="false">RAROC!$X$48+"CFIN12"+""+33+33+441+0+0+0+0+4+3+"-"+"+"+2.6+50+2</definedName>
    <definedName function="false" hidden="false" localSheetId="5" name="ZF259" vbProcedure="false">RAROC!$Y$48+"CFIN13"+""+33+33+441+0+0+0+0+4+3+"-"+"+"+2.6+50+2</definedName>
    <definedName function="false" hidden="false" localSheetId="5" name="ZF260" vbProcedure="false">RAROC!$Z$48+"CFIN14"+""+33+33+441+0+0+0+0+4+3+"-"+"+"+2.6+50+2</definedName>
    <definedName function="false" hidden="false" localSheetId="5" name="ZF261" vbProcedure="false">RAROC!$AA$48+"CFIN15"+""+33+33+441+0+0+0+0+4+3+"-"+"+"+2.6+50+2</definedName>
    <definedName function="false" hidden="false" localSheetId="5" name="ZF262" vbProcedure="false">RAROC!$AB$48+"CFIN16"+""+33+33+441+0+0+0+0+4+3+"-"+"+"+2.6+50+2</definedName>
    <definedName function="false" hidden="false" localSheetId="5" name="ZF263" vbProcedure="false">RAROC!$AC$48+"CFIN17"+""+33+33+441+0+0+0+0+4+3+"-"+"+"+2.6+50+2</definedName>
    <definedName function="false" hidden="false" localSheetId="5" name="ZF264" vbProcedure="false">RAROC!$AD$48+"CFIN18"+""+33+33+441+0+0+0+0+4+3+"-"+"+"+2.6+50+2</definedName>
    <definedName function="false" hidden="false" localSheetId="5" name="ZF265" vbProcedure="false">RAROC!$AE$48+"CFIN19"+""+33+33+441+0+0+0+0+4+3+"-"+"+"+2.6+50+2</definedName>
    <definedName function="false" hidden="false" localSheetId="5" name="ZF266" vbProcedure="false">RAROC!$AF$48+"CFIN20"+""+33+33+441+0+0+0+0+4+3+"-"+"+"+2.6+50+2</definedName>
    <definedName function="false" hidden="false" localSheetId="5" name="ZF267" vbProcedure="false">RAROC!$L$50+"CI1-500"+""+33+33+441+0+0+0+0+4+3+"-"+"+"+2.6+50+2</definedName>
    <definedName function="false" hidden="false" localSheetId="5" name="ZF268" vbProcedure="false">RAROC!$M$50+"CI1-501"+""+33+33+441+0+0+0+0+4+3+"-"+"+"+2.6+50+2</definedName>
    <definedName function="false" hidden="false" localSheetId="5" name="ZF269" vbProcedure="false">RAROC!$N$50+"CI1-502"+""+33+33+441+0+0+0+0+4+3+"-"+"+"+2.6+50+2</definedName>
    <definedName function="false" hidden="false" localSheetId="5" name="ZF270" vbProcedure="false">RAROC!$O$50+"CI1-503"+""+33+33+441+0+0+0+0+4+3+"-"+"+"+2.6+50+2</definedName>
    <definedName function="false" hidden="false" localSheetId="5" name="ZF271" vbProcedure="false">RAROC!$P$50+"CI1-504"+""+33+33+441+0+0+0+0+4+3+"-"+"+"+2.6+50+2</definedName>
    <definedName function="false" hidden="false" localSheetId="5" name="ZF272" vbProcedure="false">RAROC!$Q$50+"CI1-505"+""+33+33+441+0+0+0+0+4+3+"-"+"+"+2.6+50+2</definedName>
    <definedName function="false" hidden="false" localSheetId="5" name="ZF273" vbProcedure="false">RAROC!$R$50+"CI1-506"+""+33+33+441+0+0+0+0+4+3+"-"+"+"+2.6+50+2</definedName>
    <definedName function="false" hidden="false" localSheetId="5" name="ZF274" vbProcedure="false">RAROC!$S$50+"CI1-507"+""+33+33+441+0+0+0+0+4+3+"-"+"+"+2.6+50+2</definedName>
    <definedName function="false" hidden="false" localSheetId="5" name="ZF275" vbProcedure="false">RAROC!$T$50+"CI1-508"+""+33+33+441+0+0+0+0+4+3+"-"+"+"+2.6+50+2</definedName>
    <definedName function="false" hidden="false" localSheetId="5" name="ZF276" vbProcedure="false">RAROC!$U$50+"CI1-509"+""+33+33+441+0+0+0+0+4+3+"-"+"+"+2.6+50+2</definedName>
    <definedName function="false" hidden="false" localSheetId="5" name="ZF277" vbProcedure="false">RAROC!$V$50+"CI1-510"+""+33+33+441+0+0+0+0+4+3+"-"+"+"+2.6+50+2</definedName>
    <definedName function="false" hidden="false" localSheetId="5" name="ZF278" vbProcedure="false">RAROC!$W$50+"CI1-511"+""+33+33+441+0+0+0+0+4+3+"-"+"+"+2.6+50+2</definedName>
    <definedName function="false" hidden="false" localSheetId="5" name="ZF279" vbProcedure="false">RAROC!$X$50+"CI1-512"+""+33+33+441+0+0+0+0+4+3+"-"+"+"+2.6+50+2</definedName>
    <definedName function="false" hidden="false" localSheetId="5" name="ZF280" vbProcedure="false">RAROC!$Y$50+"CI1-513"+""+33+33+441+0+0+0+0+4+3+"-"+"+"+2.6+50+2</definedName>
    <definedName function="false" hidden="false" localSheetId="5" name="ZF281" vbProcedure="false">RAROC!$Z$50+"CI1-514"+""+33+33+441+0+0+0+0+4+3+"-"+"+"+2.6+50+2</definedName>
    <definedName function="false" hidden="false" localSheetId="5" name="ZF282" vbProcedure="false">RAROC!$AA$50+"CI1-515"+""+33+33+441+0+0+0+0+4+3+"-"+"+"+2.6+50+2</definedName>
    <definedName function="false" hidden="false" localSheetId="5" name="ZF283" vbProcedure="false">RAROC!$AB$50+"CI1-516"+""+33+33+441+0+0+0+0+4+3+"-"+"+"+2.6+50+2</definedName>
    <definedName function="false" hidden="false" localSheetId="5" name="ZF284" vbProcedure="false">RAROC!$AC$50+"CI1-517"+""+33+33+441+0+0+0+0+4+3+"-"+"+"+2.6+50+2</definedName>
    <definedName function="false" hidden="false" localSheetId="5" name="ZF285" vbProcedure="false">RAROC!$AD$50+"CI1-518"+""+33+33+441+0+0+0+0+4+3+"-"+"+"+2.6+50+2</definedName>
    <definedName function="false" hidden="false" localSheetId="5" name="ZF286" vbProcedure="false">RAROC!$AE$50+"CI1-519"+""+33+33+441+0+0+0+0+4+3+"-"+"+"+2.6+50+2</definedName>
    <definedName function="false" hidden="false" localSheetId="5" name="ZF287" vbProcedure="false">RAROC!$AF$50+"CI1-520"+""+33+33+441+0+0+0+0+4+3+"-"+"+"+2.6+50+2</definedName>
    <definedName function="false" hidden="false" localSheetId="5" name="ZF288" vbProcedure="false">RAROC!$L$52+"CO1-500"+""+33+33+441+0+0+0+0+4+3+"-"+"+"+2.6+50+2</definedName>
    <definedName function="false" hidden="false" localSheetId="5" name="ZF289" vbProcedure="false">RAROC!$M$52+"CO1-501"+""+33+33+441+0+0+0+0+4+3+"-"+"+"+2.6+50+2</definedName>
    <definedName function="false" hidden="false" localSheetId="5" name="ZF290" vbProcedure="false">RAROC!$N$52+"CO1-502"+""+33+33+441+0+0+0+0+4+3+"-"+"+"+2.6+50+2</definedName>
    <definedName function="false" hidden="false" localSheetId="5" name="ZF291" vbProcedure="false">RAROC!$O$52+"CO1-503"+""+33+33+441+0+0+0+0+4+3+"-"+"+"+2.6+50+2</definedName>
    <definedName function="false" hidden="false" localSheetId="5" name="ZF292" vbProcedure="false">RAROC!$P$52+"CO1-504"+""+33+33+441+0+0+0+0+4+3+"-"+"+"+2.6+50+2</definedName>
    <definedName function="false" hidden="false" localSheetId="5" name="ZF293" vbProcedure="false">RAROC!$Q$52+"CO1-505"+""+33+33+441+0+0+0+0+4+3+"-"+"+"+2.6+50+2</definedName>
    <definedName function="false" hidden="false" localSheetId="5" name="ZF294" vbProcedure="false">RAROC!$R$52+"CO1-506"+""+33+33+441+0+0+0+0+4+3+"-"+"+"+2.6+50+2</definedName>
    <definedName function="false" hidden="false" localSheetId="5" name="ZF295" vbProcedure="false">RAROC!$S$52+"CO1-507"+""+33+33+441+0+0+0+0+4+3+"-"+"+"+2.6+50+2</definedName>
    <definedName function="false" hidden="false" localSheetId="5" name="ZF296" vbProcedure="false">RAROC!$T$52+"CO1-508"+""+33+33+441+0+0+0+0+4+3+"-"+"+"+2.6+50+2</definedName>
    <definedName function="false" hidden="false" localSheetId="5" name="ZF297" vbProcedure="false">RAROC!$U$52+"CO1-509"+""+33+33+441+0+0+0+0+4+3+"-"+"+"+2.6+50+2</definedName>
    <definedName function="false" hidden="false" localSheetId="5" name="ZF298" vbProcedure="false">RAROC!$V$52+"CO1-510"+""+33+33+441+0+0+0+0+4+3+"-"+"+"+2.6+50+2</definedName>
    <definedName function="false" hidden="false" localSheetId="5" name="ZF299" vbProcedure="false">RAROC!$W$52+"CO1-511"+""+33+33+441+0+0+0+0+4+3+"-"+"+"+2.6+50+2</definedName>
    <definedName function="false" hidden="false" localSheetId="5" name="ZF300" vbProcedure="false">RAROC!$X$52+"CO1-512"+""+33+33+441+0+0+0+0+4+3+"-"+"+"+2.6+50+2</definedName>
    <definedName function="false" hidden="false" localSheetId="5" name="ZF301" vbProcedure="false">RAROC!$Y$52+"CO1-513"+""+33+33+441+0+0+0+0+4+3+"-"+"+"+2.6+50+2</definedName>
    <definedName function="false" hidden="false" localSheetId="5" name="ZF302" vbProcedure="false">RAROC!$Z$52+"CO1-514"+""+33+33+441+0+0+0+0+4+3+"-"+"+"+2.6+50+2</definedName>
    <definedName function="false" hidden="false" localSheetId="5" name="ZF303" vbProcedure="false">RAROC!$AA$52+"CO1-515"+""+33+33+441+0+0+0+0+4+3+"-"+"+"+2.6+50+2</definedName>
    <definedName function="false" hidden="false" localSheetId="5" name="ZF304" vbProcedure="false">RAROC!$AB$52+"CO1-516"+""+33+33+441+0+0+0+0+4+3+"-"+"+"+2.6+50+2</definedName>
    <definedName function="false" hidden="false" localSheetId="5" name="ZF305" vbProcedure="false">RAROC!$AC$52+"CO1-517"+""+33+33+441+0+0+0+0+4+3+"-"+"+"+2.6+50+2</definedName>
    <definedName function="false" hidden="false" localSheetId="5" name="ZF306" vbProcedure="false">RAROC!$AD$52+"CO1-518"+""+33+33+441+0+0+0+0+4+3+"-"+"+"+2.6+50+2</definedName>
    <definedName function="false" hidden="false" localSheetId="5" name="ZF307" vbProcedure="false">RAROC!$AE$52+"CO1-519"+""+33+33+441+0+0+0+0+4+3+"-"+"+"+2.6+50+2</definedName>
    <definedName function="false" hidden="false" localSheetId="5" name="ZF308" vbProcedure="false">RAROC!$AF$52+"CO1-520"+""+33+33+441+0+0+0+0+4+3+"-"+"+"+2.6+50+2</definedName>
    <definedName function="false" hidden="false" localSheetId="5" name="ZF309" vbProcedure="false">RAROC!$L$54+"CO6+100"+""+33+33+441+0+0+0+0+4+3+"-"+"+"+2.6+50+2</definedName>
    <definedName function="false" hidden="false" localSheetId="5" name="ZF310" vbProcedure="false">RAROC!$M$54+"CO6+101"+""+33+33+441+0+0+0+0+4+3+"-"+"+"+2.6+50+2</definedName>
    <definedName function="false" hidden="false" localSheetId="5" name="ZF311" vbProcedure="false">RAROC!$N$54+"CO6+102"+""+33+33+441+0+0+0+0+4+3+"-"+"+"+2.6+50+2</definedName>
    <definedName function="false" hidden="false" localSheetId="5" name="ZF312" vbProcedure="false">RAROC!$O$54+"CO6+103"+""+33+33+441+0+0+0+0+4+3+"-"+"+"+2.6+50+2</definedName>
    <definedName function="false" hidden="false" localSheetId="5" name="ZF313" vbProcedure="false">RAROC!$P$54+"CO6+104"+""+33+33+441+0+0+0+0+4+3+"-"+"+"+2.6+50+2</definedName>
    <definedName function="false" hidden="false" localSheetId="5" name="ZF314" vbProcedure="false">RAROC!$Q$54+"CO6+105"+""+33+33+441+0+0+0+0+4+3+"-"+"+"+2.6+50+2</definedName>
    <definedName function="false" hidden="false" localSheetId="5" name="ZF315" vbProcedure="false">RAROC!$R$54+"CO6+106"+""+33+33+441+0+0+0+0+4+3+"-"+"+"+2.6+50+2</definedName>
    <definedName function="false" hidden="false" localSheetId="5" name="ZF316" vbProcedure="false">RAROC!$S$54+"CO6+107"+""+33+33+441+0+0+0+0+4+3+"-"+"+"+2.6+50+2</definedName>
    <definedName function="false" hidden="false" localSheetId="5" name="ZF317" vbProcedure="false">RAROC!$T$54+"CO6+108"+""+33+33+441+0+0+0+0+4+3+"-"+"+"+2.6+50+2</definedName>
    <definedName function="false" hidden="false" localSheetId="5" name="ZF318" vbProcedure="false">RAROC!$U$54+"CO6+109"+""+33+33+441+0+0+0+0+4+3+"-"+"+"+2.6+50+2</definedName>
    <definedName function="false" hidden="false" localSheetId="5" name="ZF319" vbProcedure="false">RAROC!$V$54+"CO6+110"+""+33+33+441+0+0+0+0+4+3+"-"+"+"+2.6+50+2</definedName>
    <definedName function="false" hidden="false" localSheetId="5" name="ZF320" vbProcedure="false">RAROC!$W$54+"CO6+111"+""+33+33+441+0+0+0+0+4+3+"-"+"+"+2.6+50+2</definedName>
    <definedName function="false" hidden="false" localSheetId="5" name="ZF321" vbProcedure="false">RAROC!$X$54+"CO6+112"+""+33+33+441+0+0+0+0+4+3+"-"+"+"+2.6+50+2</definedName>
    <definedName function="false" hidden="false" localSheetId="5" name="ZF322" vbProcedure="false">RAROC!$Y$54+"CO6+113"+""+33+33+441+0+0+0+0+4+3+"-"+"+"+2.6+50+2</definedName>
    <definedName function="false" hidden="false" localSheetId="5" name="ZF323" vbProcedure="false">RAROC!$Z$54+"CO6+114"+""+33+33+441+0+0+0+0+4+3+"-"+"+"+2.6+50+2</definedName>
    <definedName function="false" hidden="false" localSheetId="5" name="ZF324" vbProcedure="false">RAROC!$AA$54+"CO6+115"+""+33+33+441+0+0+0+0+4+3+"-"+"+"+2.6+50+2</definedName>
    <definedName function="false" hidden="false" localSheetId="5" name="ZF325" vbProcedure="false">RAROC!$AB$54+"CO6+116"+""+33+33+441+0+0+0+0+4+3+"-"+"+"+2.6+50+2</definedName>
    <definedName function="false" hidden="false" localSheetId="5" name="ZF326" vbProcedure="false">RAROC!$AC$54+"CO6+117"+""+33+33+441+0+0+0+0+4+3+"-"+"+"+2.6+50+2</definedName>
    <definedName function="false" hidden="false" localSheetId="5" name="ZF327" vbProcedure="false">RAROC!$AD$54+"CO6+118"+""+33+33+441+0+0+0+0+4+3+"-"+"+"+2.6+50+2</definedName>
    <definedName function="false" hidden="false" localSheetId="5" name="ZF328" vbProcedure="false">RAROC!$AE$54+"CO6+119"+""+33+33+441+0+0+0+0+4+3+"-"+"+"+2.6+50+2</definedName>
    <definedName function="false" hidden="false" localSheetId="5" name="ZF329" vbProcedure="false">RAROC!$AF$54+"CO6+120"+""+33+33+441+0+0+0+0+4+3+"-"+"+"+2.6+50+2</definedName>
    <definedName function="false" hidden="false" localSheetId="5" name="ZF330" vbProcedure="false">RAROC!$L$56+"CO6+200"+""+33+33+441+0+0+0+0+4+3+"-"+"+"+2.6+50+2</definedName>
    <definedName function="false" hidden="false" localSheetId="5" name="ZF331" vbProcedure="false">RAROC!$M$56+"CO6+201"+""+33+33+441+0+0+0+0+4+3+"-"+"+"+2.6+50+2</definedName>
    <definedName function="false" hidden="false" localSheetId="5" name="ZF332" vbProcedure="false">RAROC!$N$56+"CO6+202"+""+33+33+441+0+0+0+0+4+3+"-"+"+"+2.6+50+2</definedName>
    <definedName function="false" hidden="false" localSheetId="5" name="ZF333" vbProcedure="false">RAROC!$O$56+"CO6+203"+""+33+33+441+0+0+0+0+4+3+"-"+"+"+2.6+50+2</definedName>
    <definedName function="false" hidden="false" localSheetId="5" name="ZF334" vbProcedure="false">RAROC!$P$56+"CO6+204"+""+33+33+441+0+0+0+0+4+3+"-"+"+"+2.6+50+2</definedName>
    <definedName function="false" hidden="false" localSheetId="5" name="ZF335" vbProcedure="false">RAROC!$Q$56+"CO6+205"+""+33+33+441+0+0+0+0+4+3+"-"+"+"+2.6+50+2</definedName>
    <definedName function="false" hidden="false" localSheetId="5" name="ZF336" vbProcedure="false">RAROC!$R$56+"CO6+206"+""+33+33+441+0+0+0+0+4+3+"-"+"+"+2.6+50+2</definedName>
    <definedName function="false" hidden="false" localSheetId="5" name="ZF337" vbProcedure="false">RAROC!$S$56+"CO6+207"+""+33+33+441+0+0+0+0+4+3+"-"+"+"+2.6+50+2</definedName>
    <definedName function="false" hidden="false" localSheetId="5" name="ZF338" vbProcedure="false">RAROC!$T$56+"CO6+208"+""+33+33+441+0+0+0+0+4+3+"-"+"+"+2.6+50+2</definedName>
    <definedName function="false" hidden="false" localSheetId="5" name="ZF339" vbProcedure="false">RAROC!$U$56+"CO6+209"+""+33+33+441+0+0+0+0+4+3+"-"+"+"+2.6+50+2</definedName>
    <definedName function="false" hidden="false" localSheetId="5" name="ZF340" vbProcedure="false">RAROC!$V$56+"CO6+210"+""+33+33+441+0+0+0+0+4+3+"-"+"+"+2.6+50+2</definedName>
    <definedName function="false" hidden="false" localSheetId="5" name="ZF341" vbProcedure="false">RAROC!$W$56+"CO6+211"+""+33+33+441+0+0+0+0+4+3+"-"+"+"+2.6+50+2</definedName>
    <definedName function="false" hidden="false" localSheetId="5" name="ZF342" vbProcedure="false">RAROC!$X$56+"CO6+212"+""+33+33+441+0+0+0+0+4+3+"-"+"+"+2.6+50+2</definedName>
    <definedName function="false" hidden="false" localSheetId="5" name="ZF343" vbProcedure="false">RAROC!$Y$56+"CO6+213"+""+33+33+441+0+0+0+0+4+3+"-"+"+"+2.6+50+2</definedName>
    <definedName function="false" hidden="false" localSheetId="5" name="ZF344" vbProcedure="false">RAROC!$Z$56+"CO6+214"+""+33+33+441+0+0+0+0+4+3+"-"+"+"+2.6+50+2</definedName>
    <definedName function="false" hidden="false" localSheetId="5" name="ZF345" vbProcedure="false">RAROC!$AA$56+"CO6+215"+""+33+33+441+0+0+0+0+4+3+"-"+"+"+2.6+50+2</definedName>
    <definedName function="false" hidden="false" localSheetId="5" name="ZF346" vbProcedure="false">RAROC!$AB$56+"CO6+216"+""+33+33+441+0+0+0+0+4+3+"-"+"+"+2.6+50+2</definedName>
    <definedName function="false" hidden="false" localSheetId="5" name="ZF347" vbProcedure="false">RAROC!$AC$56+"CO6+217"+""+33+33+441+0+0+0+0+4+3+"-"+"+"+2.6+50+2</definedName>
    <definedName function="false" hidden="false" localSheetId="5" name="ZF348" vbProcedure="false">RAROC!$AD$56+"CO6+218"+""+33+33+441+0+0+0+0+4+3+"-"+"+"+2.6+50+2</definedName>
    <definedName function="false" hidden="false" localSheetId="5" name="ZF349" vbProcedure="false">RAROC!$AE$56+"CO6+219"+""+33+33+441+0+0+0+0+4+3+"-"+"+"+2.6+50+2</definedName>
    <definedName function="false" hidden="false" localSheetId="5" name="ZF350" vbProcedure="false">RAROC!$AF$56+"CO6+220"+""+33+33+441+0+0+0+0+4+3+"-"+"+"+2.6+50+2</definedName>
    <definedName function="false" hidden="false" localSheetId="5" name="ZF351" vbProcedure="false">RAROC!$L$58+"CI6+300"+""+33+33+441+0+0+0+0+4+3+"-"+"+"+2.6+50+2</definedName>
    <definedName function="false" hidden="false" localSheetId="5" name="ZF352" vbProcedure="false">RAROC!$M$58+"CI6+301"+""+33+33+441+0+0+0+0+4+3+"-"+"+"+2.6+50+2</definedName>
    <definedName function="false" hidden="false" localSheetId="5" name="ZF353" vbProcedure="false">RAROC!$N$58+"CI6+302"+""+33+33+441+0+0+0+0+4+3+"-"+"+"+2.6+50+2</definedName>
    <definedName function="false" hidden="false" localSheetId="5" name="ZF354" vbProcedure="false">RAROC!$O$58+"CI6+303"+""+33+33+441+0+0+0+0+4+3+"-"+"+"+2.6+50+2</definedName>
    <definedName function="false" hidden="false" localSheetId="5" name="ZF355" vbProcedure="false">RAROC!$P$58+"CI6+304"+""+33+33+441+0+0+0+0+4+3+"-"+"+"+2.6+50+2</definedName>
    <definedName function="false" hidden="false" localSheetId="5" name="ZF356" vbProcedure="false">RAROC!$Q$58+"CI6+305"+""+33+33+441+0+0+0+0+4+3+"-"+"+"+2.6+50+2</definedName>
    <definedName function="false" hidden="false" localSheetId="5" name="ZF357" vbProcedure="false">RAROC!$R$58+"CI6+306"+""+33+33+441+0+0+0+0+4+3+"-"+"+"+2.6+50+2</definedName>
    <definedName function="false" hidden="false" localSheetId="5" name="ZF358" vbProcedure="false">RAROC!$S$58+"CI6+307"+""+33+33+441+0+0+0+0+4+3+"-"+"+"+2.6+50+2</definedName>
    <definedName function="false" hidden="false" localSheetId="5" name="ZF359" vbProcedure="false">RAROC!$T$58+"CI6+308"+""+33+33+441+0+0+0+0+4+3+"-"+"+"+2.6+50+2</definedName>
    <definedName function="false" hidden="false" localSheetId="5" name="ZF360" vbProcedure="false">RAROC!$U$58+"CI6+309"+""+33+33+441+0+0+0+0+4+3+"-"+"+"+2.6+50+2</definedName>
    <definedName function="false" hidden="false" localSheetId="5" name="ZF361" vbProcedure="false">RAROC!$V$58+"CI6+310"+""+33+33+441+0+0+0+0+4+3+"-"+"+"+2.6+50+2</definedName>
    <definedName function="false" hidden="false" localSheetId="5" name="ZF362" vbProcedure="false">RAROC!$W$58+"CI6+311"+""+33+33+441+0+0+0+0+4+3+"-"+"+"+2.6+50+2</definedName>
    <definedName function="false" hidden="false" localSheetId="5" name="ZF363" vbProcedure="false">RAROC!$X$58+"CI6+312"+""+33+33+441+0+0+0+0+4+3+"-"+"+"+2.6+50+2</definedName>
    <definedName function="false" hidden="false" localSheetId="5" name="ZF364" vbProcedure="false">RAROC!$Y$58+"CI6+313"+""+33+33+441+0+0+0+0+4+3+"-"+"+"+2.6+50+2</definedName>
    <definedName function="false" hidden="false" localSheetId="5" name="ZF365" vbProcedure="false">RAROC!$Z$58+"CI6+314"+""+33+33+441+0+0+0+0+4+3+"-"+"+"+2.6+50+2</definedName>
    <definedName function="false" hidden="false" localSheetId="5" name="ZF366" vbProcedure="false">RAROC!$AA$58+"CI6+315"+""+33+33+441+0+0+0+0+4+3+"-"+"+"+2.6+50+2</definedName>
    <definedName function="false" hidden="false" localSheetId="5" name="ZF367" vbProcedure="false">RAROC!$AB$58+"CI6+316"+""+33+33+441+0+0+0+0+4+3+"-"+"+"+2.6+50+2</definedName>
    <definedName function="false" hidden="false" localSheetId="5" name="ZF368" vbProcedure="false">RAROC!$AC$58+"CI6+317"+""+33+33+441+0+0+0+0+4+3+"-"+"+"+2.6+50+2</definedName>
    <definedName function="false" hidden="false" localSheetId="5" name="ZF369" vbProcedure="false">RAROC!$AD$58+"CI6+318"+""+33+33+441+0+0+0+0+4+3+"-"+"+"+2.6+50+2</definedName>
    <definedName function="false" hidden="false" localSheetId="5" name="ZF370" vbProcedure="false">RAROC!$AE$58+"CI6+319"+""+33+33+441+0+0+0+0+4+3+"-"+"+"+2.6+50+2</definedName>
    <definedName function="false" hidden="false" localSheetId="5" name="ZF371" vbProcedure="false">RAROC!$AF$58+"CI6+320"+""+33+33+441+0+0+0+0+4+3+"-"+"+"+2.6+50+2</definedName>
    <definedName function="false" hidden="false" localSheetId="5" name="ZF372" vbProcedure="false">RAROC!$L$60+"CO6+300"+""+33+33+441+0+0+0+0+4+3+"-"+"+"+2.6+50+2</definedName>
    <definedName function="false" hidden="false" localSheetId="5" name="ZF373" vbProcedure="false">RAROC!$M$60+"CO6+301"+""+33+33+441+0+0+0+0+4+3+"-"+"+"+2.6+50+2</definedName>
    <definedName function="false" hidden="false" localSheetId="5" name="ZF374" vbProcedure="false">RAROC!$N$60+"CO6+302"+""+33+33+441+0+0+0+0+4+3+"-"+"+"+2.6+50+2</definedName>
    <definedName function="false" hidden="false" localSheetId="5" name="ZF375" vbProcedure="false">RAROC!$O$60+"CO6+303"+""+33+33+441+0+0+0+0+4+3+"-"+"+"+2.6+50+2</definedName>
    <definedName function="false" hidden="false" localSheetId="5" name="ZF376" vbProcedure="false">RAROC!$P$60+"CO6+304"+""+33+33+441+0+0+0+0+4+3+"-"+"+"+2.6+50+2</definedName>
    <definedName function="false" hidden="false" localSheetId="5" name="ZF377" vbProcedure="false">RAROC!$Q$60+"CO6+305"+""+33+33+441+0+0+0+0+4+3+"-"+"+"+2.6+50+2</definedName>
    <definedName function="false" hidden="false" localSheetId="5" name="ZF378" vbProcedure="false">RAROC!$R$60+"CO6+306"+""+33+33+441+0+0+0+0+4+3+"-"+"+"+2.6+50+2</definedName>
    <definedName function="false" hidden="false" localSheetId="5" name="ZF379" vbProcedure="false">RAROC!$S$60+"CO6+307"+""+33+33+441+0+0+0+0+4+3+"-"+"+"+2.6+50+2</definedName>
    <definedName function="false" hidden="false" localSheetId="5" name="ZF380" vbProcedure="false">RAROC!$T$60+"CO6+308"+""+33+33+441+0+0+0+0+4+3+"-"+"+"+2.6+50+2</definedName>
    <definedName function="false" hidden="false" localSheetId="5" name="ZF381" vbProcedure="false">RAROC!$U$60+"CO6+309"+""+33+33+441+0+0+0+0+4+3+"-"+"+"+2.6+50+2</definedName>
    <definedName function="false" hidden="false" localSheetId="5" name="ZF382" vbProcedure="false">RAROC!$V$60+"CO6+310"+""+33+33+441+0+0+0+0+4+3+"-"+"+"+2.6+50+2</definedName>
    <definedName function="false" hidden="false" localSheetId="5" name="ZF383" vbProcedure="false">RAROC!$W$60+"CO6+311"+""+33+33+441+0+0+0+0+4+3+"-"+"+"+2.6+50+2</definedName>
    <definedName function="false" hidden="false" localSheetId="5" name="ZF384" vbProcedure="false">RAROC!$X$60+"CO6+312"+""+33+33+441+0+0+0+0+4+3+"-"+"+"+2.6+50+2</definedName>
    <definedName function="false" hidden="false" localSheetId="5" name="ZF385" vbProcedure="false">RAROC!$Y$60+"CO6+313"+""+33+33+441+0+0+0+0+4+3+"-"+"+"+2.6+50+2</definedName>
    <definedName function="false" hidden="false" localSheetId="5" name="ZF386" vbProcedure="false">RAROC!$Z$60+"CO6+314"+""+33+33+441+0+0+0+0+4+3+"-"+"+"+2.6+50+2</definedName>
    <definedName function="false" hidden="false" localSheetId="5" name="ZF387" vbProcedure="false">RAROC!$AA$60+"CO6+315"+""+33+33+441+0+0+0+0+4+3+"-"+"+"+2.6+50+2</definedName>
    <definedName function="false" hidden="false" localSheetId="5" name="ZF388" vbProcedure="false">RAROC!$AB$60+"CO6+316"+""+33+33+441+0+0+0+0+4+3+"-"+"+"+2.6+50+2</definedName>
    <definedName function="false" hidden="false" localSheetId="5" name="ZF389" vbProcedure="false">RAROC!$AC$60+"CO6+317"+""+33+33+441+0+0+0+0+4+3+"-"+"+"+2.6+50+2</definedName>
    <definedName function="false" hidden="false" localSheetId="5" name="ZF390" vbProcedure="false">RAROC!$AD$60+"CO6+318"+""+33+33+441+0+0+0+0+4+3+"-"+"+"+2.6+50+2</definedName>
    <definedName function="false" hidden="false" localSheetId="5" name="ZF391" vbProcedure="false">RAROC!$AE$60+"CO6+319"+""+33+33+441+0+0+0+0+4+3+"-"+"+"+2.6+50+2</definedName>
    <definedName function="false" hidden="false" localSheetId="5" name="ZF392" vbProcedure="false">RAROC!$AF$60+"CO6+320"+""+33+33+441+0+0+0+0+4+3+"-"+"+"+2.6+50+2</definedName>
    <definedName function="false" hidden="false" localSheetId="6" name="Choices_Wrapper" vbProcedure="false">Choices_Wrapper</definedName>
    <definedName function="false" hidden="false" localSheetId="7" name="Choices_Wrapper" vbProcedure="false">Choices_Wrapper</definedName>
    <definedName function="false" hidden="false" localSheetId="8" name="GasSwitch" vbProcedure="false">CURVES!$F$3</definedName>
    <definedName function="false" hidden="false" localSheetId="8" name="OilSwitch" vbProcedure="false">CURVES!$F$4</definedName>
    <definedName function="false" hidden="false" localSheetId="8" name="REFERENCE_DATE" vbProcedure="false">CURVES!$A$23:$A$363</definedName>
    <definedName function="false" hidden="false" localSheetId="8" name="shiftswitch2" vbProcedure="false">CURVES!$F$15</definedName>
    <definedName function="false" hidden="false" localSheetId="8" name="ZA0" vbProcedure="false">"Crystal Ball Data : Ver. 4.0.7"</definedName>
    <definedName function="false" hidden="false" localSheetId="8" name="ZA0A" vbProcedure="false">582+753</definedName>
    <definedName function="false" hidden="false" localSheetId="8" name="ZA0C" vbProcedure="false">0+0</definedName>
    <definedName function="false" hidden="false" localSheetId="8" name="ZA0D" vbProcedure="false">0+0</definedName>
    <definedName function="false" hidden="false" localSheetId="8" name="ZA0F" vbProcedure="false">0+139</definedName>
    <definedName function="false" hidden="false" localSheetId="8" name="ZA0T" vbProcedure="false">27771192+0</definedName>
    <definedName function="false" hidden="false" localSheetId="8" name="ZA136" vbProcedure="false">CURVES!$E$73+"aE73"+17153+0+1</definedName>
    <definedName function="false" hidden="false" localSheetId="8" name="ZA137" vbProcedure="false">CURVES!$E$74+"aE74"+17153+0+1</definedName>
    <definedName function="false" hidden="false" localSheetId="8" name="ZA138" vbProcedure="false">CURVES!$E$75+"aE75"+17153+0+1</definedName>
    <definedName function="false" hidden="false" localSheetId="8" name="ZA139" vbProcedure="false">CURVES!$E$76+"aE76"+17153+0+1</definedName>
    <definedName function="false" hidden="false" localSheetId="8" name="ZA140" vbProcedure="false">CURVES!$E$77+"aE77"+17153+0+1</definedName>
    <definedName function="false" hidden="false" localSheetId="8" name="ZA141" vbProcedure="false">CURVES!$E$78+"aE78"+17153+0+1</definedName>
    <definedName function="false" hidden="false" localSheetId="8" name="ZA142" vbProcedure="false">CURVES!$E$79+"aE79"+17153+0+1</definedName>
    <definedName function="false" hidden="false" localSheetId="8" name="ZA143" vbProcedure="false">CURVES!$E$80+"aE80"+17153+0+1</definedName>
    <definedName function="false" hidden="false" localSheetId="8" name="ZA144" vbProcedure="false">CURVES!$E$81+"aE81"+17153+0+1</definedName>
    <definedName function="false" hidden="false" localSheetId="8" name="ZA145" vbProcedure="false">CURVES!$E$82+"aE82"+17153+0+1</definedName>
    <definedName function="false" hidden="false" localSheetId="8" name="ZA146" vbProcedure="false">CURVES!$E$83+"aE83"+17153+0+1</definedName>
    <definedName function="false" hidden="false" localSheetId="8" name="ZA147" vbProcedure="false">CURVES!$E$84+"aE84"+17153+0+1</definedName>
    <definedName function="false" hidden="false" localSheetId="8" name="ZA148" vbProcedure="false">CURVES!$E$85+"aE85"+17153+0+1</definedName>
    <definedName function="false" hidden="false" localSheetId="8" name="ZA149" vbProcedure="false">CURVES!$E$86+"aE86"+17153+0+1</definedName>
    <definedName function="false" hidden="false" localSheetId="8" name="ZA150" vbProcedure="false">CURVES!$E$87+"aE87"+17153+0+1</definedName>
    <definedName function="false" hidden="false" localSheetId="8" name="ZA151" vbProcedure="false">CURVES!$E$88+"aE88"+17153+0+1</definedName>
    <definedName function="false" hidden="false" localSheetId="8" name="ZA152" vbProcedure="false">CURVES!$E$89+"aE89"+17153+0+1</definedName>
    <definedName function="false" hidden="false" localSheetId="8" name="ZA153" vbProcedure="false">CURVES!$E$90+"aE90"+17153+0+1</definedName>
    <definedName function="false" hidden="false" localSheetId="8" name="ZA154" vbProcedure="false">CURVES!$E$91+"aE91"+17153+0+1</definedName>
    <definedName function="false" hidden="false" localSheetId="8" name="ZA155" vbProcedure="false">CURVES!$E$92+"aE92"+17153+0+1</definedName>
    <definedName function="false" hidden="false" localSheetId="8" name="ZA156" vbProcedure="false">CURVES!$E$93+"aE93"+17153+0+1</definedName>
    <definedName function="false" hidden="false" localSheetId="8" name="ZA157" vbProcedure="false">CURVES!$E$94+"aE94"+17153+0+1</definedName>
    <definedName function="false" hidden="false" localSheetId="8" name="ZA158" vbProcedure="false">CURVES!$E$95+"aE95"+17153+0+1</definedName>
    <definedName function="false" hidden="false" localSheetId="8" name="ZA159" vbProcedure="false">CURVES!$E$96+"aE96"+17153+0+1</definedName>
    <definedName function="false" hidden="false" localSheetId="8" name="ZA160" vbProcedure="false">CURVES!$E$97+"aE97"+17153+0+1</definedName>
    <definedName function="false" hidden="false" localSheetId="8" name="ZA161" vbProcedure="false">CURVES!$E$98+"aE98"+17153+0+1</definedName>
    <definedName function="false" hidden="false" localSheetId="8" name="ZA162" vbProcedure="false">CURVES!$E$99+"aE99"+17153+0+1</definedName>
    <definedName function="false" hidden="false" localSheetId="8" name="ZA163" vbProcedure="false">CURVES!$E$100+"aE100"+17153+0+1</definedName>
    <definedName function="false" hidden="false" localSheetId="8" name="ZA164" vbProcedure="false">CURVES!$E$101+"aE101"+17153+0+1</definedName>
    <definedName function="false" hidden="false" localSheetId="8" name="ZA165" vbProcedure="false">CURVES!$E$102+"aE102"+17153+0+1</definedName>
    <definedName function="false" hidden="false" localSheetId="8" name="ZA166" vbProcedure="false">CURVES!$E$103+"aE103"+17153+0+1</definedName>
    <definedName function="false" hidden="false" localSheetId="8" name="ZA167" vbProcedure="false">CURVES!$E$104+"aE104"+17153+0+1</definedName>
    <definedName function="false" hidden="false" localSheetId="8" name="ZA168" vbProcedure="false">CURVES!$E$105+"aE105"+17153+0+1</definedName>
    <definedName function="false" hidden="false" localSheetId="8" name="ZA169" vbProcedure="false">CURVES!$E$106+"aE106"+17153+0+1</definedName>
    <definedName function="false" hidden="false" localSheetId="8" name="ZA170" vbProcedure="false">CURVES!$E$107+"aE107"+17153+0+1</definedName>
    <definedName function="false" hidden="false" localSheetId="8" name="ZA171" vbProcedure="false">CURVES!$E$108+"aE108"+17153+0+1</definedName>
    <definedName function="false" hidden="false" localSheetId="8" name="ZA172" vbProcedure="false">CURVES!$E$109+"aE109"+17153+0+1</definedName>
    <definedName function="false" hidden="false" localSheetId="8" name="ZA173" vbProcedure="false">CURVES!$E$110+"aE110"+17153+0+1</definedName>
    <definedName function="false" hidden="false" localSheetId="8" name="ZA174" vbProcedure="false">CURVES!$E$111+"aE111"+17153+0+1</definedName>
    <definedName function="false" hidden="false" localSheetId="8" name="ZA175" vbProcedure="false">CURVES!$E$112+"aE112"+17153+0+1</definedName>
    <definedName function="false" hidden="false" localSheetId="8" name="ZA176" vbProcedure="false">CURVES!$E$113+"aE113"+17153+0+1</definedName>
    <definedName function="false" hidden="false" localSheetId="8" name="ZA177" vbProcedure="false">CURVES!$E$114+"aE114"+17153+0+1</definedName>
    <definedName function="false" hidden="false" localSheetId="8" name="ZA178" vbProcedure="false">CURVES!$E$115+"aE115"+17153+0+1</definedName>
    <definedName function="false" hidden="false" localSheetId="8" name="ZA179" vbProcedure="false">CURVES!$E$116+"aE116"+17153+0+1</definedName>
    <definedName function="false" hidden="false" localSheetId="8" name="ZA180" vbProcedure="false">CURVES!$E$117+"aE117"+17153+0+1</definedName>
    <definedName function="false" hidden="false" localSheetId="8" name="ZA181" vbProcedure="false">CURVES!$E$118+"aE118"+17153+0+1</definedName>
    <definedName function="false" hidden="false" localSheetId="8" name="ZA182" vbProcedure="false">CURVES!$E$119+"aE119"+17153+0+1</definedName>
    <definedName function="false" hidden="false" localSheetId="8" name="ZA183" vbProcedure="false">CURVES!$E$120+"aE120"+17153+0+1</definedName>
    <definedName function="false" hidden="false" localSheetId="8" name="ZA184" vbProcedure="false">CURVES!$E$121+"aE121"+17153+0+1</definedName>
    <definedName function="false" hidden="false" localSheetId="8" name="ZA185" vbProcedure="false">CURVES!$E$122+"aE122"+17153+0+1</definedName>
    <definedName function="false" hidden="false" localSheetId="8" name="ZA186" vbProcedure="false">CURVES!$E$123+"aE123"+17153+0+1</definedName>
    <definedName function="false" hidden="false" localSheetId="8" name="ZA187" vbProcedure="false">CURVES!$E$124+"aE124"+17153+0+1</definedName>
    <definedName function="false" hidden="false" localSheetId="8" name="ZA188" vbProcedure="false">CURVES!$E$125+"aE125"+17153+0+1</definedName>
    <definedName function="false" hidden="false" localSheetId="8" name="ZA189" vbProcedure="false">CURVES!$E$126+"aE126"+17153+0+1</definedName>
    <definedName function="false" hidden="false" localSheetId="8" name="ZA190" vbProcedure="false">CURVES!$E$127+"aE127"+17153+0+1</definedName>
    <definedName function="false" hidden="false" localSheetId="8" name="ZA191" vbProcedure="false">CURVES!$E$128+"aE128"+17153+0+1</definedName>
    <definedName function="false" hidden="false" localSheetId="8" name="ZA192" vbProcedure="false">CURVES!$E$129+"aE129"+17153+0+1</definedName>
    <definedName function="false" hidden="false" localSheetId="8" name="ZA193" vbProcedure="false">CURVES!$E$130+"aE130"+17153+0+1</definedName>
    <definedName function="false" hidden="false" localSheetId="8" name="ZA194" vbProcedure="false">CURVES!$E$131+"aE131"+17153+0+1</definedName>
    <definedName function="false" hidden="false" localSheetId="8" name="ZA195" vbProcedure="false">CURVES!$E$132+"aE132"+17153+0+1</definedName>
    <definedName function="false" hidden="false" localSheetId="8" name="ZA196" vbProcedure="false">CURVES!$E$133+"aE133"+17153+0+1</definedName>
    <definedName function="false" hidden="false" localSheetId="8" name="ZA197" vbProcedure="false">CURVES!$E$134+"aE134"+17153+0+1</definedName>
    <definedName function="false" hidden="false" localSheetId="8" name="ZA198" vbProcedure="false">CURVES!$E$135+"aE135"+17153+0+1</definedName>
    <definedName function="false" hidden="false" localSheetId="8" name="ZA199" vbProcedure="false">CURVES!$E$136+"aE136"+17153+0+1</definedName>
    <definedName function="false" hidden="false" localSheetId="8" name="ZA200" vbProcedure="false">CURVES!$E$137+"aE137"+17153+0+1</definedName>
    <definedName function="false" hidden="false" localSheetId="8" name="ZA201" vbProcedure="false">CURVES!$E$138+"aE138"+17153+0+1</definedName>
    <definedName function="false" hidden="false" localSheetId="8" name="ZA202" vbProcedure="false">CURVES!$E$139+"aE139"+17153+0+1</definedName>
    <definedName function="false" hidden="false" localSheetId="8" name="ZA203" vbProcedure="false">CURVES!$E$140+"aE140"+17153+0+1</definedName>
    <definedName function="false" hidden="false" localSheetId="8" name="ZA204" vbProcedure="false">CURVES!$E$141+"aE141"+17153+0+1</definedName>
    <definedName function="false" hidden="false" localSheetId="8" name="ZA205" vbProcedure="false">CURVES!$E$142+"aE142"+17153+0+1</definedName>
    <definedName function="false" hidden="false" localSheetId="8" name="ZA206" vbProcedure="false">CURVES!$E$143+"aE143"+17153+0+1</definedName>
    <definedName function="false" hidden="false" localSheetId="8" name="ZA207" vbProcedure="false">CURVES!$E$144+"aE144"+17153+0+1</definedName>
    <definedName function="false" hidden="false" localSheetId="8" name="ZA208" vbProcedure="false">CURVES!$E$145+"aE145"+17153+0+1</definedName>
    <definedName function="false" hidden="false" localSheetId="8" name="ZA209" vbProcedure="false">CURVES!$E$146+"aE146"+17153+0+1</definedName>
    <definedName function="false" hidden="false" localSheetId="8" name="ZA210" vbProcedure="false">CURVES!$E$147+"aE147"+17153+0+1</definedName>
    <definedName function="false" hidden="false" localSheetId="8" name="ZA211" vbProcedure="false">CURVES!$E$148+"aE148"+17153+0+1</definedName>
    <definedName function="false" hidden="false" localSheetId="8" name="ZA212" vbProcedure="false">CURVES!$E$149+"aE149"+17153+0+1</definedName>
    <definedName function="false" hidden="false" localSheetId="8" name="ZA213" vbProcedure="false">CURVES!$E$150+"aE150"+17153+0+1</definedName>
    <definedName function="false" hidden="false" localSheetId="8" name="ZA214" vbProcedure="false">CURVES!$E$151+"aE151"+17153+0+1</definedName>
    <definedName function="false" hidden="false" localSheetId="8" name="ZA215" vbProcedure="false">CURVES!$E$152+"aE152"+17153+0+1</definedName>
    <definedName function="false" hidden="false" localSheetId="8" name="ZA216" vbProcedure="false">CURVES!$E$153+"aE153"+17153+0+1</definedName>
    <definedName function="false" hidden="false" localSheetId="8" name="ZA217" vbProcedure="false">CURVES!$E$154+"aE154"+17153+0+1</definedName>
    <definedName function="false" hidden="false" localSheetId="8" name="ZA218" vbProcedure="false">CURVES!$E$155+"aE155"+17153+0+1</definedName>
    <definedName function="false" hidden="false" localSheetId="8" name="ZA219" vbProcedure="false">CURVES!$E$156+"aE156"+17153+0+1</definedName>
    <definedName function="false" hidden="false" localSheetId="8" name="ZA220" vbProcedure="false">CURVES!$E$157+"aE157"+17153+0+1</definedName>
    <definedName function="false" hidden="false" localSheetId="8" name="ZA221" vbProcedure="false">CURVES!$E$158+"aE158"+17153+0+1</definedName>
    <definedName function="false" hidden="false" localSheetId="8" name="ZA222" vbProcedure="false">CURVES!$E$159+"aE159"+17153+0+1</definedName>
    <definedName function="false" hidden="false" localSheetId="8" name="ZA223" vbProcedure="false">CURVES!$E$160+"aE160"+17153+0+1</definedName>
    <definedName function="false" hidden="false" localSheetId="8" name="ZA224" vbProcedure="false">CURVES!$E$161+"aE161"+17153+0+1</definedName>
    <definedName function="false" hidden="false" localSheetId="8" name="ZA225" vbProcedure="false">CURVES!$E$162+"aE162"+17153+0+1</definedName>
    <definedName function="false" hidden="false" localSheetId="8" name="ZA226" vbProcedure="false">CURVES!$E$163+"aE163"+17153+0+1</definedName>
    <definedName function="false" hidden="false" localSheetId="8" name="ZA227" vbProcedure="false">CURVES!$E$164+"aE164"+17153+0+1</definedName>
    <definedName function="false" hidden="false" localSheetId="8" name="ZA228" vbProcedure="false">CURVES!$E$165+"aE165"+17153+0+1</definedName>
    <definedName function="false" hidden="false" localSheetId="8" name="ZA229" vbProcedure="false">CURVES!$E$166+"aE166"+17153+0+1</definedName>
    <definedName function="false" hidden="false" localSheetId="8" name="ZA230" vbProcedure="false">CURVES!$E$167+"aE167"+17153+0+1</definedName>
    <definedName function="false" hidden="false" localSheetId="8" name="ZA231" vbProcedure="false">CURVES!$E$168+"aE168"+17153+0+1</definedName>
    <definedName function="false" hidden="false" localSheetId="8" name="ZA232" vbProcedure="false">CURVES!$E$169+"aE169"+17153+0+1</definedName>
    <definedName function="false" hidden="false" localSheetId="8" name="ZA233" vbProcedure="false">CURVES!$E$170+"aE170"+17153+0+1</definedName>
    <definedName function="false" hidden="false" localSheetId="8" name="ZA234" vbProcedure="false">CURVES!$E$171+"aE171"+17153+0+1</definedName>
    <definedName function="false" hidden="false" localSheetId="8" name="ZA235" vbProcedure="false">CURVES!$E$172+"aE172"+17153+0+1</definedName>
    <definedName function="false" hidden="false" localSheetId="8" name="ZA236" vbProcedure="false">CURVES!$E$173+"aE173"+17153+0+1</definedName>
    <definedName function="false" hidden="false" localSheetId="8" name="ZA237" vbProcedure="false">CURVES!$E$174+"aE174"+17153+0+1</definedName>
    <definedName function="false" hidden="false" localSheetId="8" name="ZA238" vbProcedure="false">CURVES!$E$175+"aE175"+17153+0+1</definedName>
    <definedName function="false" hidden="false" localSheetId="8" name="ZA239" vbProcedure="false">CURVES!$E$176+"aE176"+17153+0+1</definedName>
    <definedName function="false" hidden="false" localSheetId="8" name="ZA240" vbProcedure="false">CURVES!$E$177+"aE177"+17153+0+1</definedName>
    <definedName function="false" hidden="false" localSheetId="8" name="ZA241" vbProcedure="false">CURVES!$E$178+"aE178"+17153+0+1</definedName>
    <definedName function="false" hidden="false" localSheetId="8" name="ZA242" vbProcedure="false">CURVES!$E$179+"aE179"+17153+0+1</definedName>
    <definedName function="false" hidden="false" localSheetId="8" name="ZA243" vbProcedure="false">CURVES!$E$180+"aE180"+17153+0+1</definedName>
    <definedName function="false" hidden="false" localSheetId="8" name="ZA244" vbProcedure="false">CURVES!$E$181+"aE181"+17153+0+1</definedName>
    <definedName function="false" hidden="false" localSheetId="8" name="ZA245" vbProcedure="false">CURVES!$E$182+"aE182"+17153+0+1</definedName>
    <definedName function="false" hidden="false" localSheetId="8" name="ZA246" vbProcedure="false">CURVES!$E$183+"aE183"+17153+0+1</definedName>
    <definedName function="false" hidden="false" localSheetId="8" name="ZA247" vbProcedure="false">CURVES!$E$184+"aE184"+17153+0+1</definedName>
    <definedName function="false" hidden="false" localSheetId="8" name="ZA248" vbProcedure="false">CURVES!$E$185+"aE185"+17153+0+1</definedName>
    <definedName function="false" hidden="false" localSheetId="8" name="ZA249" vbProcedure="false">CURVES!$E$186+"aE186"+17153+0+1</definedName>
    <definedName function="false" hidden="false" localSheetId="8" name="ZA250" vbProcedure="false">CURVES!$E$187+"aE187"+17153+0+1</definedName>
    <definedName function="false" hidden="false" localSheetId="8" name="ZA251" vbProcedure="false">CURVES!$E$188+"aE188"+17153+0+1</definedName>
    <definedName function="false" hidden="false" localSheetId="8" name="ZA252" vbProcedure="false">CURVES!$E$189+"aE189"+17153+0+1</definedName>
    <definedName function="false" hidden="false" localSheetId="8" name="ZA253" vbProcedure="false">CURVES!$E$190+"aE190"+17153+0+1</definedName>
    <definedName function="false" hidden="false" localSheetId="8" name="ZA254" vbProcedure="false">CURVES!$E$191+"aE191"+17153+0+1</definedName>
    <definedName function="false" hidden="false" localSheetId="8" name="ZA255" vbProcedure="false">CURVES!$E$192+"aE192"+17153+0+1</definedName>
    <definedName function="false" hidden="false" localSheetId="8" name="ZA256" vbProcedure="false">CURVES!$E$193+"aE193"+17153+0+1</definedName>
    <definedName function="false" hidden="false" localSheetId="8" name="ZA257" vbProcedure="false">CURVES!$E$194+"aE194"+17153+0+1</definedName>
    <definedName function="false" hidden="false" localSheetId="8" name="ZA258" vbProcedure="false">CURVES!$E$195+"aE195"+17153+0+1</definedName>
    <definedName function="false" hidden="false" localSheetId="8" name="ZA259" vbProcedure="false">CURVES!$E$196+"aE196"+17153+0+1</definedName>
    <definedName function="false" hidden="false" localSheetId="8" name="ZA260" vbProcedure="false">CURVES!$E$197+"aE197"+17153+0+1</definedName>
    <definedName function="false" hidden="false" localSheetId="8" name="ZA261" vbProcedure="false">CURVES!$E$198+"aE198"+17153+0+1</definedName>
    <definedName function="false" hidden="false" localSheetId="8" name="ZA262" vbProcedure="false">CURVES!$E$199+"aE199"+17153+0+1</definedName>
    <definedName function="false" hidden="false" localSheetId="8" name="ZA263" vbProcedure="false">CURVES!$E$200+"aE200"+17153+0+1</definedName>
    <definedName function="false" hidden="false" localSheetId="8" name="ZA264" vbProcedure="false">CURVES!$E$201+"aE201"+17153+0+1</definedName>
    <definedName function="false" hidden="false" localSheetId="8" name="ZA265" vbProcedure="false">CURVES!$E$202+"aE202"+17153+0+1</definedName>
    <definedName function="false" hidden="false" localSheetId="8" name="ZA266" vbProcedure="false">CURVES!$E$203+"aE203"+17153+0+1</definedName>
    <definedName function="false" hidden="false" localSheetId="8" name="ZA267" vbProcedure="false">CURVES!$E$204+"aE204"+17153+0+1</definedName>
    <definedName function="false" hidden="false" localSheetId="8" name="ZA268" vbProcedure="false">CURVES!$E$205+"aE205"+17153+0+1</definedName>
    <definedName function="false" hidden="false" localSheetId="8" name="ZA269" vbProcedure="false">CURVES!$E$206+"aE206"+17153+0+1</definedName>
    <definedName function="false" hidden="false" localSheetId="8" name="ZA270" vbProcedure="false">CURVES!$E$207+"aE207"+17153+0+1</definedName>
    <definedName function="false" hidden="false" localSheetId="8" name="ZA271" vbProcedure="false">CURVES!$E$208+"aE208"+17153+0+1</definedName>
    <definedName function="false" hidden="false" localSheetId="8" name="ZA272" vbProcedure="false">CURVES!$E$209+"aE209"+17153+0+1</definedName>
    <definedName function="false" hidden="false" localSheetId="8" name="ZA273" vbProcedure="false">CURVES!$E$210+"aE210"+17153+0+1</definedName>
    <definedName function="false" hidden="false" localSheetId="8" name="ZA274" vbProcedure="false">CURVES!$E$211+"aE211"+17153+0+1</definedName>
    <definedName function="false" hidden="false" localSheetId="8" name="ZA275" vbProcedure="false">CURVES!$E$212+"aE212"+17153+0+1</definedName>
    <definedName function="false" hidden="false" localSheetId="8" name="ZA276" vbProcedure="false">CURVES!$E$213+"aE213"+17153+0+1</definedName>
    <definedName function="false" hidden="false" localSheetId="8" name="ZA277" vbProcedure="false">CURVES!$E$214+"aE214"+17153+0+1</definedName>
    <definedName function="false" hidden="false" localSheetId="8" name="ZA278" vbProcedure="false">CURVES!$E$215+"aE215"+17153+0+1</definedName>
    <definedName function="false" hidden="false" localSheetId="8" name="ZA279" vbProcedure="false">CURVES!$E$216+"aE216"+17153+0+1</definedName>
    <definedName function="false" hidden="false" localSheetId="8" name="ZA280" vbProcedure="false">CURVES!$E$217+"aE217"+17153+0+1</definedName>
    <definedName function="false" hidden="false" localSheetId="8" name="ZA281" vbProcedure="false">CURVES!$E$218+"aE218"+17153+0+1</definedName>
    <definedName function="false" hidden="false" localSheetId="8" name="ZA282" vbProcedure="false">CURVES!$E$219+"aE219"+17153+0+1</definedName>
    <definedName function="false" hidden="false" localSheetId="8" name="ZA283" vbProcedure="false">CURVES!$E$220+"aE220"+17153+0+1</definedName>
    <definedName function="false" hidden="false" localSheetId="8" name="ZA284" vbProcedure="false">CURVES!$E$221+"aE221"+17153+0+1</definedName>
    <definedName function="false" hidden="false" localSheetId="8" name="ZA285" vbProcedure="false">CURVES!$E$222+"aE222"+17153+0+1</definedName>
    <definedName function="false" hidden="false" localSheetId="8" name="ZA286" vbProcedure="false">CURVES!$E$223+"aE223"+17153+0+1</definedName>
    <definedName function="false" hidden="false" localSheetId="8" name="ZA287" vbProcedure="false">CURVES!$E$224+"aE224"+17153+0+1</definedName>
    <definedName function="false" hidden="false" localSheetId="8" name="ZA288" vbProcedure="false">CURVES!$E$225+"aE225"+17153+0+1</definedName>
    <definedName function="false" hidden="false" localSheetId="8" name="ZA289" vbProcedure="false">CURVES!$E$226+"aE226"+17153+0+1</definedName>
    <definedName function="false" hidden="false" localSheetId="8" name="ZA290" vbProcedure="false">CURVES!$E$227+"aE227"+17153+0+1</definedName>
    <definedName function="false" hidden="false" localSheetId="8" name="ZA291" vbProcedure="false">CURVES!$E$228+"aE228"+17153+0+1</definedName>
    <definedName function="false" hidden="false" localSheetId="8" name="ZA292" vbProcedure="false">CURVES!$E$229+"aE229"+17153+0+1</definedName>
    <definedName function="false" hidden="false" localSheetId="8" name="ZA293" vbProcedure="false">CURVES!$E$230+"aE230"+17153+0+1</definedName>
    <definedName function="false" hidden="false" localSheetId="8" name="ZA294" vbProcedure="false">CURVES!$E$231+"aE231"+17153+0+1</definedName>
    <definedName function="false" hidden="false" localSheetId="8" name="ZA295" vbProcedure="false">CURVES!$E$232+"aE232"+17153+0+1</definedName>
    <definedName function="false" hidden="false" localSheetId="8" name="ZA296" vbProcedure="false">CURVES!$E$233+"aE233"+17153+0+1</definedName>
    <definedName function="false" hidden="false" localSheetId="8" name="ZA297" vbProcedure="false">CURVES!$E$234+"aE234"+17153+0+1</definedName>
    <definedName function="false" hidden="false" localSheetId="8" name="ZA298" vbProcedure="false">CURVES!$E$235+"aE235"+17153+0+1</definedName>
    <definedName function="false" hidden="false" localSheetId="8" name="ZA299" vbProcedure="false">CURVES!$E$236+"aE236"+17153+0+1</definedName>
    <definedName function="false" hidden="false" localSheetId="8" name="ZA300" vbProcedure="false">CURVES!$E$237+"aE237"+17153+0+1</definedName>
    <definedName function="false" hidden="false" localSheetId="8" name="ZA301" vbProcedure="false">CURVES!$E$238+"aE238"+17153+0+1</definedName>
    <definedName function="false" hidden="false" localSheetId="8" name="ZA302" vbProcedure="false">CURVES!$E$239+"aE239"+17153+0+1</definedName>
    <definedName function="false" hidden="false" localSheetId="8" name="ZA303" vbProcedure="false">CURVES!$E$240+"aE240"+17153+0+1</definedName>
    <definedName function="false" hidden="false" localSheetId="8" name="ZA304" vbProcedure="false">CURVES!$E$241+"aE241"+17153+0+1</definedName>
    <definedName function="false" hidden="false" localSheetId="8" name="ZA305" vbProcedure="false">CURVES!$E$242+"aE242"+17153+0+1</definedName>
    <definedName function="false" hidden="false" localSheetId="8" name="ZA306" vbProcedure="false">CURVES!$E$243+"aE243"+17153+0+1</definedName>
    <definedName function="false" hidden="false" localSheetId="8" name="ZA307" vbProcedure="false">CURVES!$E$244+"aE244"+17153+0+1</definedName>
    <definedName function="false" hidden="false" localSheetId="8" name="ZA308" vbProcedure="false">CURVES!$E$245+"aE245"+17153+0+1</definedName>
    <definedName function="false" hidden="false" localSheetId="8" name="ZA309" vbProcedure="false">CURVES!$E$246+"aE246"+17153+0+1</definedName>
    <definedName function="false" hidden="false" localSheetId="8" name="ZA310" vbProcedure="false">CURVES!$E$247+"aE247"+17153+0+1</definedName>
    <definedName function="false" hidden="false" localSheetId="8" name="ZA311" vbProcedure="false">CURVES!$E$248+"aE248"+17153+0+1</definedName>
    <definedName function="false" hidden="false" localSheetId="8" name="ZA312" vbProcedure="false">CURVES!$E$249+"aE249"+17153+0+1</definedName>
    <definedName function="false" hidden="false" localSheetId="8" name="ZA313" vbProcedure="false">CURVES!$E$250+"aE250"+17153+0+1</definedName>
    <definedName function="false" hidden="false" localSheetId="8" name="ZA314" vbProcedure="false">CURVES!$E$251+"aE251"+17153+0+1</definedName>
    <definedName function="false" hidden="false" localSheetId="8" name="ZA315" vbProcedure="false">CURVES!$E$252+"aE252"+17153+0+1</definedName>
    <definedName function="false" hidden="false" localSheetId="8" name="ZA316" vbProcedure="false">CURVES!$E$253+"aE253"+17153+0+1</definedName>
    <definedName function="false" hidden="false" localSheetId="8" name="ZA317" vbProcedure="false">CURVES!$E$254+"aE254"+17153+0+1</definedName>
    <definedName function="false" hidden="false" localSheetId="8" name="ZA318" vbProcedure="false">CURVES!$E$255+"aE255"+17153+0+1</definedName>
    <definedName function="false" hidden="false" localSheetId="8" name="ZA319" vbProcedure="false">CURVES!$E$256+"aE256"+17153+0+1</definedName>
    <definedName function="false" hidden="false" localSheetId="8" name="ZA320" vbProcedure="false">CURVES!$E$257+"aE257"+17153+0+1</definedName>
    <definedName function="false" hidden="false" localSheetId="8" name="ZA321" vbProcedure="false">CURVES!$E$258+"aE258"+17153+0+1</definedName>
    <definedName function="false" hidden="false" localSheetId="8" name="ZA322" vbProcedure="false">CURVES!$E$259+"aE259"+17153+0+1</definedName>
    <definedName function="false" hidden="false" localSheetId="8" name="ZA323" vbProcedure="false">CURVES!$E$260+"aE260"+17153+0+1</definedName>
    <definedName function="false" hidden="false" localSheetId="8" name="ZA324" vbProcedure="false">CURVES!$E$261+"aE261"+17153+0+1</definedName>
    <definedName function="false" hidden="false" localSheetId="8" name="ZA325" vbProcedure="false">CURVES!$E$262+"aE262"+17153+0+1</definedName>
    <definedName function="false" hidden="false" localSheetId="8" name="ZA326" vbProcedure="false">CURVES!$E$263+"aE263"+17153+0+1</definedName>
    <definedName function="false" hidden="false" localSheetId="8" name="ZA327" vbProcedure="false">CURVES!$E$264+"aE264"+17153+0+1</definedName>
    <definedName function="false" hidden="false" localSheetId="8" name="ZA328" vbProcedure="false">CURVES!$E$265+"aE265"+17153+0+1</definedName>
    <definedName function="false" hidden="false" localSheetId="8" name="ZA329" vbProcedure="false">CURVES!$E$266+"aE266"+17153+0+1</definedName>
    <definedName function="false" hidden="false" localSheetId="8" name="ZA330" vbProcedure="false">CURVES!$E$267+"aE267"+17153+0+1</definedName>
    <definedName function="false" hidden="false" localSheetId="8" name="ZA331" vbProcedure="false">CURVES!$E$268+"aE268"+17153+0+1</definedName>
    <definedName function="false" hidden="false" localSheetId="8" name="ZA332" vbProcedure="false">CURVES!$E$269+"aE269"+17153+0+1</definedName>
    <definedName function="false" hidden="false" localSheetId="8" name="ZA333" vbProcedure="false">CURVES!$E$270+"aE270"+17153+0+1</definedName>
    <definedName function="false" hidden="false" localSheetId="8" name="ZA334" vbProcedure="false">CURVES!$E$271+"aE271"+17153+0+1</definedName>
    <definedName function="false" hidden="false" localSheetId="8" name="ZA335" vbProcedure="false">CURVES!$E$272+"aE272"+17153+0+1</definedName>
    <definedName function="false" hidden="false" localSheetId="8" name="ZA336" vbProcedure="false">CURVES!$E$273+"aE273"+17153+0+1</definedName>
    <definedName function="false" hidden="false" localSheetId="8" name="ZA337" vbProcedure="false">CURVES!$E$274+"aE274"+17153+0+1</definedName>
    <definedName function="false" hidden="false" localSheetId="8" name="ZA338" vbProcedure="false">CURVES!$E$275+"aE275"+17153+0+1</definedName>
    <definedName function="false" hidden="false" localSheetId="8" name="ZA339" vbProcedure="false">CURVES!$E$276+"aE276"+17153+0+1</definedName>
    <definedName function="false" hidden="false" localSheetId="8" name="ZA340" vbProcedure="false">CURVES!$E$277+"aE277"+17153+0+1</definedName>
    <definedName function="false" hidden="false" localSheetId="8" name="ZA341" vbProcedure="false">CURVES!$E$278+"aE278"+17153+0+1</definedName>
    <definedName function="false" hidden="false" localSheetId="8" name="ZA342" vbProcedure="false">CURVES!$E$279+"aE279"+17153+0+1</definedName>
    <definedName function="false" hidden="false" localSheetId="8" name="ZA343" vbProcedure="false">CURVES!$E$280+"aE280"+17153+0+1</definedName>
    <definedName function="false" hidden="false" localSheetId="8" name="ZA344" vbProcedure="false">CURVES!$E$281+"aE281"+17153+0+1</definedName>
    <definedName function="false" hidden="false" localSheetId="8" name="ZA345" vbProcedure="false">CURVES!$E$282+"aE282"+17153+0+1</definedName>
    <definedName function="false" hidden="false" localSheetId="8" name="ZA346" vbProcedure="false">CURVES!$E$283+"aE283"+17153+0+1</definedName>
    <definedName function="false" hidden="false" localSheetId="8" name="ZA347" vbProcedure="false">CURVES!$E$284+"aE284"+17153+0+1</definedName>
    <definedName function="false" hidden="false" localSheetId="8" name="ZA348" vbProcedure="false">CURVES!$E$285+"aE285"+17153+0+1</definedName>
    <definedName function="false" hidden="false" localSheetId="8" name="ZA349" vbProcedure="false">CURVES!$E$286+"aE286"+17153+0+1</definedName>
    <definedName function="false" hidden="false" localSheetId="8" name="ZA386" vbProcedure="false">CURVES!$J$73+"aJ73"+17153+0+1</definedName>
    <definedName function="false" hidden="false" localSheetId="8" name="ZA387" vbProcedure="false">CURVES!$J$74+"aJ74"+17153+0+1</definedName>
    <definedName function="false" hidden="false" localSheetId="8" name="ZA388" vbProcedure="false">CURVES!$J$75+"aJ75"+17153+0+1</definedName>
    <definedName function="false" hidden="false" localSheetId="8" name="ZA389" vbProcedure="false">CURVES!$J$76+"aJ76"+17153+0+1</definedName>
    <definedName function="false" hidden="false" localSheetId="8" name="ZA390" vbProcedure="false">CURVES!$J$77+"aJ77"+17153+0+1</definedName>
    <definedName function="false" hidden="false" localSheetId="8" name="ZA391" vbProcedure="false">CURVES!$J$78+"aJ78"+17153+0+1</definedName>
    <definedName function="false" hidden="false" localSheetId="8" name="ZA392" vbProcedure="false">CURVES!$J$79+"aJ79"+17153+0+1</definedName>
    <definedName function="false" hidden="false" localSheetId="8" name="ZA393" vbProcedure="false">CURVES!$J$80+"aJ80"+17153+0+1</definedName>
    <definedName function="false" hidden="false" localSheetId="8" name="ZA394" vbProcedure="false">CURVES!$J$81+"aJ81"+17153+0+1</definedName>
    <definedName function="false" hidden="false" localSheetId="8" name="ZA395" vbProcedure="false">CURVES!$J$82+"aJ82"+17153+0+1</definedName>
    <definedName function="false" hidden="false" localSheetId="8" name="ZA396" vbProcedure="false">CURVES!$J$83+"aJ83"+17153+0+1</definedName>
    <definedName function="false" hidden="false" localSheetId="8" name="ZA397" vbProcedure="false">CURVES!$J$84+"aJ84"+17153+0+1</definedName>
    <definedName function="false" hidden="false" localSheetId="8" name="ZA398" vbProcedure="false">CURVES!$J$85+"aJ85"+17153+0+1</definedName>
    <definedName function="false" hidden="false" localSheetId="8" name="ZA399" vbProcedure="false">CURVES!$J$86+"aJ86"+17153+0+1</definedName>
    <definedName function="false" hidden="false" localSheetId="8" name="ZA400" vbProcedure="false">CURVES!$J$87+"aJ87"+17153+0+1</definedName>
    <definedName function="false" hidden="false" localSheetId="8" name="ZA401" vbProcedure="false">CURVES!$J$88+"aJ88"+17153+0+1</definedName>
    <definedName function="false" hidden="false" localSheetId="8" name="ZA402" vbProcedure="false">CURVES!$J$89+"aJ89"+17153+0+1</definedName>
    <definedName function="false" hidden="false" localSheetId="8" name="ZA403" vbProcedure="false">CURVES!$J$90+"aJ90"+17153+0+1</definedName>
    <definedName function="false" hidden="false" localSheetId="8" name="ZA404" vbProcedure="false">CURVES!$J$91+"aJ91"+17153+0+1</definedName>
    <definedName function="false" hidden="false" localSheetId="8" name="ZA405" vbProcedure="false">CURVES!$J$92+"aJ92"+17153+0+1</definedName>
    <definedName function="false" hidden="false" localSheetId="8" name="ZA406" vbProcedure="false">CURVES!$J$93+"aJ93"+17153+0+1</definedName>
    <definedName function="false" hidden="false" localSheetId="8" name="ZA407" vbProcedure="false">CURVES!$J$94+"aJ94"+17153+0+1</definedName>
    <definedName function="false" hidden="false" localSheetId="8" name="ZA408" vbProcedure="false">CURVES!$J$95+"aJ95"+17153+0+1</definedName>
    <definedName function="false" hidden="false" localSheetId="8" name="ZA409" vbProcedure="false">CURVES!$J$96+"aJ96"+17153+0+1</definedName>
    <definedName function="false" hidden="false" localSheetId="8" name="ZA410" vbProcedure="false">CURVES!$J$97+"aJ97"+17153+0+1</definedName>
    <definedName function="false" hidden="false" localSheetId="8" name="ZA411" vbProcedure="false">CURVES!$J$98+"aJ98"+17153+0+1</definedName>
    <definedName function="false" hidden="false" localSheetId="8" name="ZA412" vbProcedure="false">CURVES!$J$99+"aJ99"+17153+0+1</definedName>
    <definedName function="false" hidden="false" localSheetId="8" name="ZA413" vbProcedure="false">CURVES!$J$100+"aJ100"+17153+0+1</definedName>
    <definedName function="false" hidden="false" localSheetId="8" name="ZA414" vbProcedure="false">CURVES!$J$101+"aJ101"+17153+0+1</definedName>
    <definedName function="false" hidden="false" localSheetId="8" name="ZA415" vbProcedure="false">CURVES!$J$102+"aJ102"+17153+0+1</definedName>
    <definedName function="false" hidden="false" localSheetId="8" name="ZA416" vbProcedure="false">CURVES!$J$103+"aJ103"+17153+0+1</definedName>
    <definedName function="false" hidden="false" localSheetId="8" name="ZA417" vbProcedure="false">CURVES!$J$104+"aJ104"+17153+0+1</definedName>
    <definedName function="false" hidden="false" localSheetId="8" name="ZA418" vbProcedure="false">CURVES!$J$105+"aJ105"+17153+0+1</definedName>
    <definedName function="false" hidden="false" localSheetId="8" name="ZA419" vbProcedure="false">CURVES!$J$106+"aJ106"+17153+0+1</definedName>
    <definedName function="false" hidden="false" localSheetId="8" name="ZA420" vbProcedure="false">CURVES!$J$107+"aJ107"+17153+0+1</definedName>
    <definedName function="false" hidden="false" localSheetId="8" name="ZA421" vbProcedure="false">CURVES!$J$108+"aJ108"+17153+0+1</definedName>
    <definedName function="false" hidden="false" localSheetId="8" name="ZA422" vbProcedure="false">CURVES!$J$109+"aJ109"+17153+0+1</definedName>
    <definedName function="false" hidden="false" localSheetId="8" name="ZA423" vbProcedure="false">CURVES!$J$110+"aJ110"+17153+0+1</definedName>
    <definedName function="false" hidden="false" localSheetId="8" name="ZA424" vbProcedure="false">CURVES!$J$111+"aJ111"+17153+0+1</definedName>
    <definedName function="false" hidden="false" localSheetId="8" name="ZA425" vbProcedure="false">CURVES!$J$112+"aJ112"+17153+0+1</definedName>
    <definedName function="false" hidden="false" localSheetId="8" name="ZA426" vbProcedure="false">CURVES!$J$113+"aJ113"+17153+0+1</definedName>
    <definedName function="false" hidden="false" localSheetId="8" name="ZA427" vbProcedure="false">CURVES!$J$114+"aJ114"+17153+0+1</definedName>
    <definedName function="false" hidden="false" localSheetId="8" name="ZA428" vbProcedure="false">CURVES!$J$115+"aJ115"+17153+0+1</definedName>
    <definedName function="false" hidden="false" localSheetId="8" name="ZA429" vbProcedure="false">CURVES!$J$116+"aJ116"+17153+0+1</definedName>
    <definedName function="false" hidden="false" localSheetId="8" name="ZA430" vbProcedure="false">CURVES!$J$117+"aJ117"+17153+0+1</definedName>
    <definedName function="false" hidden="false" localSheetId="8" name="ZA431" vbProcedure="false">CURVES!$J$118+"aJ118"+17153+0+1</definedName>
    <definedName function="false" hidden="false" localSheetId="8" name="ZA432" vbProcedure="false">CURVES!$J$119+"aJ119"+17153+0+1</definedName>
    <definedName function="false" hidden="false" localSheetId="8" name="ZA433" vbProcedure="false">CURVES!$J$120+"aJ120"+17153+0+1</definedName>
    <definedName function="false" hidden="false" localSheetId="8" name="ZA434" vbProcedure="false">CURVES!$J$121+"aJ121"+17153+0+1</definedName>
    <definedName function="false" hidden="false" localSheetId="8" name="ZA435" vbProcedure="false">CURVES!$J$122+"aJ122"+17153+0+1</definedName>
    <definedName function="false" hidden="false" localSheetId="8" name="ZA436" vbProcedure="false">CURVES!$J$123+"aJ123"+17153+0+1</definedName>
    <definedName function="false" hidden="false" localSheetId="8" name="ZA437" vbProcedure="false">CURVES!$J$124+"aJ124"+17153+0+1</definedName>
    <definedName function="false" hidden="false" localSheetId="8" name="ZA438" vbProcedure="false">CURVES!$J$125+"aJ125"+17153+0+1</definedName>
    <definedName function="false" hidden="false" localSheetId="8" name="ZA439" vbProcedure="false">CURVES!$J$126+"aJ126"+17153+0+1</definedName>
    <definedName function="false" hidden="false" localSheetId="8" name="ZA440" vbProcedure="false">CURVES!$J$127+"aJ127"+17153+0+1</definedName>
    <definedName function="false" hidden="false" localSheetId="8" name="ZA441" vbProcedure="false">CURVES!$J$128+"aJ128"+17153+0+1</definedName>
    <definedName function="false" hidden="false" localSheetId="8" name="ZA442" vbProcedure="false">CURVES!$J$129+"aJ129"+17153+0+1</definedName>
    <definedName function="false" hidden="false" localSheetId="8" name="ZA443" vbProcedure="false">CURVES!$J$130+"aJ130"+17153+0+1</definedName>
    <definedName function="false" hidden="false" localSheetId="8" name="ZA444" vbProcedure="false">CURVES!$J$131+"aJ131"+17153+0+1</definedName>
    <definedName function="false" hidden="false" localSheetId="8" name="ZA445" vbProcedure="false">CURVES!$J$132+"aJ132"+17153+0+1</definedName>
    <definedName function="false" hidden="false" localSheetId="8" name="ZA446" vbProcedure="false">CURVES!$J$133+"aJ133"+17153+0+1</definedName>
    <definedName function="false" hidden="false" localSheetId="8" name="ZA447" vbProcedure="false">CURVES!$J$134+"aJ134"+17153+0+1</definedName>
    <definedName function="false" hidden="false" localSheetId="8" name="ZA448" vbProcedure="false">CURVES!$J$135+"aJ135"+17153+0+1</definedName>
    <definedName function="false" hidden="false" localSheetId="8" name="ZA449" vbProcedure="false">CURVES!$J$136+"aJ136"+17153+0+1</definedName>
    <definedName function="false" hidden="false" localSheetId="8" name="ZA450" vbProcedure="false">CURVES!$J$137+"aJ137"+17153+0+1</definedName>
    <definedName function="false" hidden="false" localSheetId="8" name="ZA451" vbProcedure="false">CURVES!$J$138+"aJ138"+17153+0+1</definedName>
    <definedName function="false" hidden="false" localSheetId="8" name="ZA452" vbProcedure="false">CURVES!$J$139+"aJ139"+17153+0+1</definedName>
    <definedName function="false" hidden="false" localSheetId="8" name="ZA453" vbProcedure="false">CURVES!$J$140+"aJ140"+17153+0+1</definedName>
    <definedName function="false" hidden="false" localSheetId="8" name="ZA454" vbProcedure="false">CURVES!$J$141+"aJ141"+17153+0+1</definedName>
    <definedName function="false" hidden="false" localSheetId="8" name="ZA455" vbProcedure="false">CURVES!$J$142+"aJ142"+17153+0+1</definedName>
    <definedName function="false" hidden="false" localSheetId="8" name="ZA456" vbProcedure="false">CURVES!$J$143+"aJ143"+17153+0+1</definedName>
    <definedName function="false" hidden="false" localSheetId="8" name="ZA457" vbProcedure="false">CURVES!$J$144+"aJ144"+17153+0+1</definedName>
    <definedName function="false" hidden="false" localSheetId="8" name="ZA458" vbProcedure="false">CURVES!$J$145+"aJ145"+17153+0+1</definedName>
    <definedName function="false" hidden="false" localSheetId="8" name="ZA459" vbProcedure="false">CURVES!$J$146+"aJ146"+17153+0+1</definedName>
    <definedName function="false" hidden="false" localSheetId="8" name="ZA460" vbProcedure="false">CURVES!$J$147+"aJ147"+17153+0+1</definedName>
    <definedName function="false" hidden="false" localSheetId="8" name="ZA461" vbProcedure="false">CURVES!$J$148+"aJ148"+17153+0+1</definedName>
    <definedName function="false" hidden="false" localSheetId="8" name="ZA462" vbProcedure="false">CURVES!$J$149+"aJ149"+17153+0+1</definedName>
    <definedName function="false" hidden="false" localSheetId="8" name="ZA463" vbProcedure="false">CURVES!$J$150+"aJ150"+17153+0+1</definedName>
    <definedName function="false" hidden="false" localSheetId="8" name="ZA464" vbProcedure="false">CURVES!$J$151+"aJ151"+17153+0+1</definedName>
    <definedName function="false" hidden="false" localSheetId="8" name="ZA465" vbProcedure="false">CURVES!$J$152+"aJ152"+17153+0+1</definedName>
    <definedName function="false" hidden="false" localSheetId="8" name="ZA466" vbProcedure="false">CURVES!$J$153+"aJ153"+17153+0+1</definedName>
    <definedName function="false" hidden="false" localSheetId="8" name="ZA467" vbProcedure="false">CURVES!$J$154+"aJ154"+17153+0+1</definedName>
    <definedName function="false" hidden="false" localSheetId="8" name="ZA468" vbProcedure="false">CURVES!$J$155+"aJ155"+17153+0+1</definedName>
    <definedName function="false" hidden="false" localSheetId="8" name="ZA469" vbProcedure="false">CURVES!$J$156+"aJ156"+17153+0+1</definedName>
    <definedName function="false" hidden="false" localSheetId="8" name="ZA470" vbProcedure="false">CURVES!$J$157+"aJ157"+17153+0+1</definedName>
    <definedName function="false" hidden="false" localSheetId="8" name="ZA471" vbProcedure="false">CURVES!$J$158+"aJ158"+17153+0+1</definedName>
    <definedName function="false" hidden="false" localSheetId="8" name="ZA472" vbProcedure="false">CURVES!$J$159+"aJ159"+17153+0+1</definedName>
    <definedName function="false" hidden="false" localSheetId="8" name="ZA473" vbProcedure="false">CURVES!$J$160+"aJ160"+17153+0+1</definedName>
    <definedName function="false" hidden="false" localSheetId="8" name="ZA474" vbProcedure="false">CURVES!$J$161+"aJ161"+17153+0+1</definedName>
    <definedName function="false" hidden="false" localSheetId="8" name="ZA475" vbProcedure="false">CURVES!$J$162+"aJ162"+17153+0+1</definedName>
    <definedName function="false" hidden="false" localSheetId="8" name="ZA476" vbProcedure="false">CURVES!$J$163+"aJ163"+17153+0+1</definedName>
    <definedName function="false" hidden="false" localSheetId="8" name="ZA477" vbProcedure="false">CURVES!$J$164+"aJ164"+17153+0+1</definedName>
    <definedName function="false" hidden="false" localSheetId="8" name="ZA478" vbProcedure="false">CURVES!$J$165+"aJ165"+17153+0+1</definedName>
    <definedName function="false" hidden="false" localSheetId="8" name="ZA479" vbProcedure="false">CURVES!$J$166+"aJ166"+17153+0+1</definedName>
    <definedName function="false" hidden="false" localSheetId="8" name="ZA480" vbProcedure="false">CURVES!$J$167+"aJ167"+17153+0+1</definedName>
    <definedName function="false" hidden="false" localSheetId="8" name="ZA481" vbProcedure="false">CURVES!$J$168+"aJ168"+17153+0+1</definedName>
    <definedName function="false" hidden="false" localSheetId="8" name="ZA482" vbProcedure="false">CURVES!$J$169+"aJ169"+17153+0+1</definedName>
    <definedName function="false" hidden="false" localSheetId="8" name="ZA483" vbProcedure="false">CURVES!$J$170+"aJ170"+17153+0+1</definedName>
    <definedName function="false" hidden="false" localSheetId="8" name="ZA484" vbProcedure="false">CURVES!$J$171+"aJ171"+17153+0+1</definedName>
    <definedName function="false" hidden="false" localSheetId="8" name="ZA485" vbProcedure="false">CURVES!$J$172+"aJ172"+17153+0+1</definedName>
    <definedName function="false" hidden="false" localSheetId="8" name="ZA486" vbProcedure="false">CURVES!$J$173+"aJ173"+17153+0+1</definedName>
    <definedName function="false" hidden="false" localSheetId="8" name="ZA487" vbProcedure="false">CURVES!$J$174+"aJ174"+17153+0+1</definedName>
    <definedName function="false" hidden="false" localSheetId="8" name="ZA488" vbProcedure="false">CURVES!$J$175+"aJ175"+17153+0+1</definedName>
    <definedName function="false" hidden="false" localSheetId="8" name="ZA489" vbProcedure="false">CURVES!$J$176+"aJ176"+17153+0+1</definedName>
    <definedName function="false" hidden="false" localSheetId="8" name="ZA490" vbProcedure="false">CURVES!$J$177+"aJ177"+17153+0+1</definedName>
    <definedName function="false" hidden="false" localSheetId="8" name="ZA491" vbProcedure="false">CURVES!$J$178+"aJ178"+17153+0+1</definedName>
    <definedName function="false" hidden="false" localSheetId="8" name="ZA492" vbProcedure="false">CURVES!$J$179+"aJ179"+17153+0+1</definedName>
    <definedName function="false" hidden="false" localSheetId="8" name="ZA493" vbProcedure="false">CURVES!$J$180+"aJ180"+17153+0+1</definedName>
    <definedName function="false" hidden="false" localSheetId="8" name="ZA494" vbProcedure="false">CURVES!$J$181+"aJ181"+17153+0+1</definedName>
    <definedName function="false" hidden="false" localSheetId="8" name="ZA495" vbProcedure="false">CURVES!$J$182+"aJ182"+17153+0+1</definedName>
    <definedName function="false" hidden="false" localSheetId="8" name="ZA496" vbProcedure="false">CURVES!$J$183+"aJ183"+17153+0+1</definedName>
    <definedName function="false" hidden="false" localSheetId="8" name="ZA497" vbProcedure="false">CURVES!$J$184+"aJ184"+17153+0+1</definedName>
    <definedName function="false" hidden="false" localSheetId="8" name="ZA498" vbProcedure="false">CURVES!$J$185+"aJ185"+17153+0+1</definedName>
    <definedName function="false" hidden="false" localSheetId="8" name="ZA499" vbProcedure="false">CURVES!$J$186+"aJ186"+17153+0+1</definedName>
    <definedName function="false" hidden="false" localSheetId="8" name="ZA500" vbProcedure="false">CURVES!$J$187+"aJ187"+17153+0+1</definedName>
    <definedName function="false" hidden="false" localSheetId="8" name="ZA501" vbProcedure="false">CURVES!$J$188+"aJ188"+17153+0+1</definedName>
    <definedName function="false" hidden="false" localSheetId="8" name="ZA502" vbProcedure="false">CURVES!$J$189+"aJ189"+17153+0+1</definedName>
    <definedName function="false" hidden="false" localSheetId="8" name="ZA503" vbProcedure="false">CURVES!$J$190+"aJ190"+17153+0+1</definedName>
    <definedName function="false" hidden="false" localSheetId="8" name="ZA504" vbProcedure="false">CURVES!$J$191+"aJ191"+17153+0+1</definedName>
    <definedName function="false" hidden="false" localSheetId="8" name="ZA505" vbProcedure="false">CURVES!$J$192+"aJ192"+17153+0+1</definedName>
    <definedName function="false" hidden="false" localSheetId="8" name="ZA506" vbProcedure="false">CURVES!$J$193+"aJ193"+17153+0+1</definedName>
    <definedName function="false" hidden="false" localSheetId="8" name="ZA507" vbProcedure="false">CURVES!$J$194+"aJ194"+17153+0+1</definedName>
    <definedName function="false" hidden="false" localSheetId="8" name="ZA508" vbProcedure="false">CURVES!$J$195+"aJ195"+17153+0+1</definedName>
    <definedName function="false" hidden="false" localSheetId="8" name="ZA509" vbProcedure="false">CURVES!$J$196+"aJ196"+17153+0+1</definedName>
    <definedName function="false" hidden="false" localSheetId="8" name="ZA510" vbProcedure="false">CURVES!$J$197+"aJ197"+17153+0+1</definedName>
    <definedName function="false" hidden="false" localSheetId="8" name="ZA511" vbProcedure="false">CURVES!$J$198+"aJ198"+17153+0+1</definedName>
    <definedName function="false" hidden="false" localSheetId="8" name="ZA512" vbProcedure="false">CURVES!$J$199+"aJ199"+17153+0+1</definedName>
    <definedName function="false" hidden="false" localSheetId="8" name="ZA513" vbProcedure="false">CURVES!$J$200+"aJ200"+17153+0+1</definedName>
    <definedName function="false" hidden="false" localSheetId="8" name="ZA514" vbProcedure="false">CURVES!$J$201+"aJ201"+17153+0+1</definedName>
    <definedName function="false" hidden="false" localSheetId="8" name="ZA515" vbProcedure="false">CURVES!$J$202+"aJ202"+17153+0+1</definedName>
    <definedName function="false" hidden="false" localSheetId="8" name="ZA516" vbProcedure="false">CURVES!$J$203+"aJ203"+17153+0+1</definedName>
    <definedName function="false" hidden="false" localSheetId="8" name="ZA517" vbProcedure="false">CURVES!$J$204+"aJ204"+17153+0+1</definedName>
    <definedName function="false" hidden="false" localSheetId="8" name="ZA518" vbProcedure="false">CURVES!$J$205+"aJ205"+17153+0+1</definedName>
    <definedName function="false" hidden="false" localSheetId="8" name="ZA519" vbProcedure="false">CURVES!$J$206+"aJ206"+17153+0+1</definedName>
    <definedName function="false" hidden="false" localSheetId="8" name="ZA520" vbProcedure="false">CURVES!$J$207+"aJ207"+17153+0+1</definedName>
    <definedName function="false" hidden="false" localSheetId="8" name="ZA521" vbProcedure="false">CURVES!$J$208+"aJ208"+17153+0+1</definedName>
    <definedName function="false" hidden="false" localSheetId="8" name="ZA522" vbProcedure="false">CURVES!$J$209+"aJ209"+17153+0+1</definedName>
    <definedName function="false" hidden="false" localSheetId="8" name="ZA523" vbProcedure="false">CURVES!$J$210+"aJ210"+17153+0+1</definedName>
    <definedName function="false" hidden="false" localSheetId="8" name="ZA524" vbProcedure="false">CURVES!$J$211+"aJ211"+17153+0+1</definedName>
    <definedName function="false" hidden="false" localSheetId="8" name="ZA525" vbProcedure="false">CURVES!$J$212+"aJ212"+17153+0+1</definedName>
    <definedName function="false" hidden="false" localSheetId="8" name="ZA526" vbProcedure="false">CURVES!$J$213+"aJ213"+17153+0+1</definedName>
    <definedName function="false" hidden="false" localSheetId="8" name="ZA527" vbProcedure="false">CURVES!$J$214+"aJ214"+17153+0+1</definedName>
    <definedName function="false" hidden="false" localSheetId="8" name="ZA528" vbProcedure="false">CURVES!$J$215+"aJ215"+17153+0+1</definedName>
    <definedName function="false" hidden="false" localSheetId="8" name="ZA529" vbProcedure="false">CURVES!$J$216+"aJ216"+17153+0+1</definedName>
    <definedName function="false" hidden="false" localSheetId="8" name="ZA530" vbProcedure="false">CURVES!$J$217+"aJ217"+17153+0+1</definedName>
    <definedName function="false" hidden="false" localSheetId="8" name="ZA531" vbProcedure="false">CURVES!$J$218+"aJ218"+17153+0+1</definedName>
    <definedName function="false" hidden="false" localSheetId="8" name="ZA532" vbProcedure="false">CURVES!$J$219+"aJ219"+17153+0+1</definedName>
    <definedName function="false" hidden="false" localSheetId="8" name="ZA533" vbProcedure="false">CURVES!$J$220+"aJ220"+17153+0+1</definedName>
    <definedName function="false" hidden="false" localSheetId="8" name="ZA534" vbProcedure="false">CURVES!$J$221+"aJ221"+17153+0+1</definedName>
    <definedName function="false" hidden="false" localSheetId="8" name="ZA535" vbProcedure="false">CURVES!$J$222+"aJ222"+17153+0+1</definedName>
    <definedName function="false" hidden="false" localSheetId="8" name="ZA536" vbProcedure="false">CURVES!$J$223+"aJ223"+17153+0+1</definedName>
    <definedName function="false" hidden="false" localSheetId="8" name="ZA537" vbProcedure="false">CURVES!$J$224+"aJ224"+17153+0+1</definedName>
    <definedName function="false" hidden="false" localSheetId="8" name="ZA538" vbProcedure="false">CURVES!$J$225+"aJ225"+17153+0+1</definedName>
    <definedName function="false" hidden="false" localSheetId="8" name="ZA539" vbProcedure="false">CURVES!$J$226+"aJ226"+17153+0+1</definedName>
    <definedName function="false" hidden="false" localSheetId="8" name="ZA540" vbProcedure="false">CURVES!$J$227+"aJ227"+17153+0+1</definedName>
    <definedName function="false" hidden="false" localSheetId="8" name="ZA541" vbProcedure="false">CURVES!$J$228+"aJ228"+17153+0+1</definedName>
    <definedName function="false" hidden="false" localSheetId="8" name="ZA542" vbProcedure="false">CURVES!$J$229+"aJ229"+17153+0+1</definedName>
    <definedName function="false" hidden="false" localSheetId="8" name="ZA543" vbProcedure="false">CURVES!$J$230+"aJ230"+17153+0+1</definedName>
    <definedName function="false" hidden="false" localSheetId="8" name="ZA544" vbProcedure="false">CURVES!$J$231+"aJ231"+17153+0+1</definedName>
    <definedName function="false" hidden="false" localSheetId="8" name="ZA545" vbProcedure="false">CURVES!$J$232+"aJ232"+17153+0+1</definedName>
    <definedName function="false" hidden="false" localSheetId="8" name="ZA546" vbProcedure="false">CURVES!$J$233+"aJ233"+17153+0+1</definedName>
    <definedName function="false" hidden="false" localSheetId="8" name="ZA547" vbProcedure="false">CURVES!$J$234+"aJ234"+17153+0+1</definedName>
    <definedName function="false" hidden="false" localSheetId="8" name="ZA548" vbProcedure="false">CURVES!$J$235+"aJ235"+17153+0+1</definedName>
    <definedName function="false" hidden="false" localSheetId="8" name="ZA549" vbProcedure="false">CURVES!$J$236+"aJ236"+17153+0+1</definedName>
    <definedName function="false" hidden="false" localSheetId="8" name="ZA550" vbProcedure="false">CURVES!$J$237+"aJ237"+17153+0+1</definedName>
    <definedName function="false" hidden="false" localSheetId="8" name="ZA551" vbProcedure="false">CURVES!$J$238+"aJ238"+17153+0+1</definedName>
    <definedName function="false" hidden="false" localSheetId="8" name="ZA552" vbProcedure="false">CURVES!$J$239+"aJ239"+17153+0+1</definedName>
    <definedName function="false" hidden="false" localSheetId="8" name="ZA553" vbProcedure="false">CURVES!$J$240+"aJ240"+17153+0+1</definedName>
    <definedName function="false" hidden="false" localSheetId="8" name="ZA554" vbProcedure="false">CURVES!$J$241+"aJ241"+17153+0+1</definedName>
    <definedName function="false" hidden="false" localSheetId="8" name="ZA555" vbProcedure="false">CURVES!$J$242+"aJ242"+17153+0+1</definedName>
    <definedName function="false" hidden="false" localSheetId="8" name="ZA556" vbProcedure="false">CURVES!$J$243+"aJ243"+17153+0+1</definedName>
    <definedName function="false" hidden="false" localSheetId="8" name="ZA557" vbProcedure="false">CURVES!$J$244+"aJ244"+17153+0+1</definedName>
    <definedName function="false" hidden="false" localSheetId="8" name="ZA558" vbProcedure="false">CURVES!$J$245+"aJ245"+17153+0+1</definedName>
    <definedName function="false" hidden="false" localSheetId="8" name="ZA559" vbProcedure="false">CURVES!$J$246+"aJ246"+17153+0+1</definedName>
    <definedName function="false" hidden="false" localSheetId="8" name="ZA560" vbProcedure="false">CURVES!$J$247+"aJ247"+17153+0+1</definedName>
    <definedName function="false" hidden="false" localSheetId="8" name="ZA561" vbProcedure="false">CURVES!$J$248+"aJ248"+17153+0+1</definedName>
    <definedName function="false" hidden="false" localSheetId="8" name="ZA562" vbProcedure="false">CURVES!$J$249+"aJ249"+17153+0+1</definedName>
    <definedName function="false" hidden="false" localSheetId="8" name="ZA563" vbProcedure="false">CURVES!$J$250+"aJ250"+17153+0+1</definedName>
    <definedName function="false" hidden="false" localSheetId="8" name="ZA564" vbProcedure="false">CURVES!$J$251+"aJ251"+17153+0+1</definedName>
    <definedName function="false" hidden="false" localSheetId="8" name="ZA565" vbProcedure="false">CURVES!$J$252+"aJ252"+17153+0+1</definedName>
    <definedName function="false" hidden="false" localSheetId="8" name="ZA566" vbProcedure="false">CURVES!$J$253+"aJ253"+17153+0+1</definedName>
    <definedName function="false" hidden="false" localSheetId="8" name="ZA567" vbProcedure="false">CURVES!$J$254+"aJ254"+17153+0+1</definedName>
    <definedName function="false" hidden="false" localSheetId="8" name="ZA568" vbProcedure="false">CURVES!$J$255+"aJ255"+17153+0+1</definedName>
    <definedName function="false" hidden="false" localSheetId="8" name="ZA569" vbProcedure="false">CURVES!$J$256+"aJ256"+17153+0+1</definedName>
    <definedName function="false" hidden="false" localSheetId="8" name="ZA570" vbProcedure="false">CURVES!$J$257+"aJ257"+17153+0+1</definedName>
    <definedName function="false" hidden="false" localSheetId="8" name="ZA571" vbProcedure="false">CURVES!$J$258+"aJ258"+17153+0+1</definedName>
    <definedName function="false" hidden="false" localSheetId="8" name="ZA572" vbProcedure="false">CURVES!$J$259+"aJ259"+17153+0+1</definedName>
    <definedName function="false" hidden="false" localSheetId="8" name="ZA573" vbProcedure="false">CURVES!$J$260+"aJ260"+17153+0+1</definedName>
    <definedName function="false" hidden="false" localSheetId="8" name="ZA574" vbProcedure="false">CURVES!$J$261+"aJ261"+17153+0+1</definedName>
    <definedName function="false" hidden="false" localSheetId="8" name="ZA575" vbProcedure="false">CURVES!$J$262+"aJ262"+17153+0+1</definedName>
    <definedName function="false" hidden="false" localSheetId="8" name="ZA576" vbProcedure="false">CURVES!$J$263+"aJ263"+17153+0+1</definedName>
    <definedName function="false" hidden="false" localSheetId="8" name="ZA577" vbProcedure="false">CURVES!$J$264+"aJ264"+17153+0+1</definedName>
    <definedName function="false" hidden="false" localSheetId="8" name="ZA578" vbProcedure="false">CURVES!$J$265+"aJ265"+17153+0+1</definedName>
    <definedName function="false" hidden="false" localSheetId="8" name="ZA579" vbProcedure="false">CURVES!$J$266+"aJ266"+17153+0+1</definedName>
    <definedName function="false" hidden="false" localSheetId="8" name="ZA580" vbProcedure="false">CURVES!$J$267+"aJ267"+17153+0+1</definedName>
    <definedName function="false" hidden="false" localSheetId="8" name="ZA581" vbProcedure="false">CURVES!$J$268+"aJ268"+17153+0+1</definedName>
    <definedName function="false" hidden="false" localSheetId="8" name="ZA582" vbProcedure="false">CURVES!$J$269+"aJ269"+17153+0+1</definedName>
    <definedName function="false" hidden="false" localSheetId="8" name="ZA583" vbProcedure="false">CURVES!$J$270+"aJ270"+17153+0+1</definedName>
    <definedName function="false" hidden="false" localSheetId="8" name="ZA584" vbProcedure="false">CURVES!$J$271+"aJ271"+17153+0+1</definedName>
    <definedName function="false" hidden="false" localSheetId="8" name="ZA585" vbProcedure="false">CURVES!$J$272+"aJ272"+17153+0+1</definedName>
    <definedName function="false" hidden="false" localSheetId="8" name="ZA586" vbProcedure="false">CURVES!$J$273+"aJ273"+17153+0+1</definedName>
    <definedName function="false" hidden="false" localSheetId="8" name="ZA587" vbProcedure="false">CURVES!$J$274+"aJ274"+17153+0+1</definedName>
    <definedName function="false" hidden="false" localSheetId="8" name="ZA588" vbProcedure="false">CURVES!$J$275+"aJ275"+17153+0+1</definedName>
    <definedName function="false" hidden="false" localSheetId="8" name="ZA589" vbProcedure="false">CURVES!$J$276+"aJ276"+17153+0+1</definedName>
    <definedName function="false" hidden="false" localSheetId="8" name="ZA590" vbProcedure="false">CURVES!$J$277+"aJ277"+17153+0+1</definedName>
    <definedName function="false" hidden="false" localSheetId="8" name="ZA591" vbProcedure="false">CURVES!$J$278+"aJ278"+17153+0+1</definedName>
    <definedName function="false" hidden="false" localSheetId="8" name="ZA592" vbProcedure="false">CURVES!$J$279+"aJ279"+17153+0+1</definedName>
    <definedName function="false" hidden="false" localSheetId="8" name="ZA593" vbProcedure="false">CURVES!$J$280+"aJ280"+17153+0+1</definedName>
    <definedName function="false" hidden="false" localSheetId="8" name="ZA594" vbProcedure="false">CURVES!$J$281+"aJ281"+17153+0+1</definedName>
    <definedName function="false" hidden="false" localSheetId="8" name="ZA595" vbProcedure="false">CURVES!$J$282+"aJ282"+17153+0+1</definedName>
    <definedName function="false" hidden="false" localSheetId="8" name="ZA596" vbProcedure="false">CURVES!$J$283+"aJ283"+17153+0+1</definedName>
    <definedName function="false" hidden="false" localSheetId="8" name="ZA597" vbProcedure="false">CURVES!$J$284+"aJ284"+17153+0+1</definedName>
    <definedName function="false" hidden="false" localSheetId="8" name="ZA598" vbProcedure="false">CURVES!$J$285+"aJ285"+17153+0+1</definedName>
    <definedName function="false" hidden="false" localSheetId="8" name="ZA599" vbProcedure="false">CURVES!$J$286+"aJ286"+17153+0+1</definedName>
    <definedName function="false" hidden="false" localSheetId="8" name="ZA600" vbProcedure="false">CURVES!$E$287+"aE287"+17153+0+1</definedName>
    <definedName function="false" hidden="false" localSheetId="8" name="ZA601" vbProcedure="false">CURVES!$E$288+"aE288"+17153+0+1</definedName>
    <definedName function="false" hidden="false" localSheetId="8" name="ZA602" vbProcedure="false">CURVES!$E$289+"aE289"+17153+0+1</definedName>
    <definedName function="false" hidden="false" localSheetId="8" name="ZA603" vbProcedure="false">CURVES!$E$290+"aE290"+17153+0+1</definedName>
    <definedName function="false" hidden="false" localSheetId="8" name="ZA604" vbProcedure="false">CURVES!$E$291+"aE291"+17153+0+1</definedName>
    <definedName function="false" hidden="false" localSheetId="8" name="ZA605" vbProcedure="false">CURVES!$E$292+"aE292"+17153+0+1</definedName>
    <definedName function="false" hidden="false" localSheetId="8" name="ZA606" vbProcedure="false">CURVES!$E$293+"aE293"+17153+0+1</definedName>
    <definedName function="false" hidden="false" localSheetId="8" name="ZA607" vbProcedure="false">CURVES!$E$294+"aE294"+17153+0+1</definedName>
    <definedName function="false" hidden="false" localSheetId="8" name="ZA608" vbProcedure="false">CURVES!$E$295+"aE295"+17153+0+1</definedName>
    <definedName function="false" hidden="false" localSheetId="8" name="ZA609" vbProcedure="false">CURVES!$E$296+"aE296"+17153+0+1</definedName>
    <definedName function="false" hidden="false" localSheetId="8" name="ZA610" vbProcedure="false">CURVES!$E$297+"aE297"+17153+0+1</definedName>
    <definedName function="false" hidden="false" localSheetId="8" name="ZA611" vbProcedure="false">CURVES!$E$298+"aE298"+17153+0+1</definedName>
    <definedName function="false" hidden="false" localSheetId="8" name="ZA612" vbProcedure="false">CURVES!$E$299+"aE299"+17153+0+1</definedName>
    <definedName function="false" hidden="false" localSheetId="8" name="ZA613" vbProcedure="false">CURVES!$E$300+"aE300"+17153+0+1</definedName>
    <definedName function="false" hidden="false" localSheetId="8" name="ZA614" vbProcedure="false">CURVES!$E$301+"aE301"+17153+0+1</definedName>
    <definedName function="false" hidden="false" localSheetId="8" name="ZA615" vbProcedure="false">CURVES!$E$302+"aE302"+17153+0+1</definedName>
    <definedName function="false" hidden="false" localSheetId="8" name="ZA616" vbProcedure="false">CURVES!$E$303+"aE303"+17153+0+1</definedName>
    <definedName function="false" hidden="false" localSheetId="8" name="ZA617" vbProcedure="false">CURVES!$E$304+"aE304"+17153+0+1</definedName>
    <definedName function="false" hidden="false" localSheetId="8" name="ZA618" vbProcedure="false">CURVES!$E$305+"aE305"+17153+0+1</definedName>
    <definedName function="false" hidden="false" localSheetId="8" name="ZA619" vbProcedure="false">CURVES!$E$306+"aE306"+17153+0+1</definedName>
    <definedName function="false" hidden="false" localSheetId="8" name="ZA620" vbProcedure="false">CURVES!$E$307+"aE307"+17153+0+1</definedName>
    <definedName function="false" hidden="false" localSheetId="8" name="ZA621" vbProcedure="false">CURVES!$E$308+"aE308"+17153+0+1</definedName>
    <definedName function="false" hidden="false" localSheetId="8" name="ZA622" vbProcedure="false">CURVES!$E$309+"aE309"+17153+0+1</definedName>
    <definedName function="false" hidden="false" localSheetId="8" name="ZA623" vbProcedure="false">CURVES!$E$310+"aE310"+17153+0+1</definedName>
    <definedName function="false" hidden="false" localSheetId="8" name="ZA624" vbProcedure="false">CURVES!$E$311+"aE311"+17153+0+1</definedName>
    <definedName function="false" hidden="false" localSheetId="8" name="ZA625" vbProcedure="false">CURVES!$E$312+"aE312"+17153+0+1</definedName>
    <definedName function="false" hidden="false" localSheetId="8" name="ZA626" vbProcedure="false">CURVES!$E$313+"aE313"+17153+0+1</definedName>
    <definedName function="false" hidden="false" localSheetId="8" name="ZA627" vbProcedure="false">CURVES!$E$314+"aE314"+17153+0+1</definedName>
    <definedName function="false" hidden="false" localSheetId="8" name="ZA628" vbProcedure="false">CURVES!$E$315+"aE315"+17153+0+1</definedName>
    <definedName function="false" hidden="false" localSheetId="8" name="ZA629" vbProcedure="false">CURVES!$E$316+"aE316"+17153+0+1</definedName>
    <definedName function="false" hidden="false" localSheetId="8" name="ZA630" vbProcedure="false">CURVES!$E$317+"aE317"+17153+0+1</definedName>
    <definedName function="false" hidden="false" localSheetId="8" name="ZA631" vbProcedure="false">CURVES!$E$318+"aE318"+17153+0+1</definedName>
    <definedName function="false" hidden="false" localSheetId="8" name="ZA632" vbProcedure="false">CURVES!$E$319+"aE319"+17153+0+1</definedName>
    <definedName function="false" hidden="false" localSheetId="8" name="ZA633" vbProcedure="false">CURVES!$E$320+"aE320"+17153+0+1</definedName>
    <definedName function="false" hidden="false" localSheetId="8" name="ZA634" vbProcedure="false">CURVES!$E$321+"aE321"+17153+0+1</definedName>
    <definedName function="false" hidden="false" localSheetId="8" name="ZA635" vbProcedure="false">CURVES!$E$322+"aE322"+17153+0+1</definedName>
    <definedName function="false" hidden="false" localSheetId="8" name="ZA636" vbProcedure="false">CURVES!$E$323+"aE323"+17153+0+1</definedName>
    <definedName function="false" hidden="false" localSheetId="8" name="ZA637" vbProcedure="false">CURVES!$E$324+"aE324"+17153+0+1</definedName>
    <definedName function="false" hidden="false" localSheetId="8" name="ZA638" vbProcedure="false">CURVES!$E$325+"aE325"+17153+0+1</definedName>
    <definedName function="false" hidden="false" localSheetId="8" name="ZA639" vbProcedure="false">CURVES!$E$326+"aE326"+17153+0+1</definedName>
    <definedName function="false" hidden="false" localSheetId="8" name="ZA640" vbProcedure="false">CURVES!$E$327+"aE327"+17153+0+1</definedName>
    <definedName function="false" hidden="false" localSheetId="8" name="ZA641" vbProcedure="false">CURVES!$E$328+"aE328"+17153+0+1</definedName>
    <definedName function="false" hidden="false" localSheetId="8" name="ZA642" vbProcedure="false">CURVES!$E$329+"aE329"+17153+0+1</definedName>
    <definedName function="false" hidden="false" localSheetId="8" name="ZA643" vbProcedure="false">CURVES!$E$330+"aE330"+17153+0+1</definedName>
    <definedName function="false" hidden="false" localSheetId="8" name="ZA644" vbProcedure="false">CURVES!$E$331+"aE331"+17153+0+1</definedName>
    <definedName function="false" hidden="false" localSheetId="8" name="ZA645" vbProcedure="false">CURVES!$E$332+"aE332"+17153+0+1</definedName>
    <definedName function="false" hidden="false" localSheetId="8" name="ZA646" vbProcedure="false">CURVES!$E$333+"aE333"+17153+0+1</definedName>
    <definedName function="false" hidden="false" localSheetId="8" name="ZA647" vbProcedure="false">CURVES!$E$334+"aE334"+17153+0+1</definedName>
    <definedName function="false" hidden="false" localSheetId="8" name="ZA648" vbProcedure="false">CURVES!$E$335+"aE335"+17153+0+1</definedName>
    <definedName function="false" hidden="false" localSheetId="8" name="ZA649" vbProcedure="false">CURVES!$E$336+"aE336"+17153+0+1</definedName>
    <definedName function="false" hidden="false" localSheetId="8" name="ZA650" vbProcedure="false">CURVES!$E$337+"aE337"+17153+0+1</definedName>
    <definedName function="false" hidden="false" localSheetId="8" name="ZA651" vbProcedure="false">CURVES!$E$338+"aE338"+17153+0+1</definedName>
    <definedName function="false" hidden="false" localSheetId="8" name="ZA652" vbProcedure="false">CURVES!$E$339+"aE339"+17153+0+1</definedName>
    <definedName function="false" hidden="false" localSheetId="8" name="ZA653" vbProcedure="false">CURVES!$E$340+"aE340"+17153+0+1</definedName>
    <definedName function="false" hidden="false" localSheetId="8" name="ZA654" vbProcedure="false">CURVES!$E$341+"aE341"+17153+0+1</definedName>
    <definedName function="false" hidden="false" localSheetId="8" name="ZA655" vbProcedure="false">CURVES!$E$342+"aE342"+17153+0+1</definedName>
    <definedName function="false" hidden="false" localSheetId="8" name="ZA656" vbProcedure="false">CURVES!$E$343+"aE343"+17153+0+1</definedName>
    <definedName function="false" hidden="false" localSheetId="8" name="ZA657" vbProcedure="false">CURVES!$E$344+"aE344"+17153+0+1</definedName>
    <definedName function="false" hidden="false" localSheetId="8" name="ZA658" vbProcedure="false">CURVES!$E$345+"aE345"+17153+0+1</definedName>
    <definedName function="false" hidden="false" localSheetId="8" name="ZA659" vbProcedure="false">CURVES!$E$346+"aE346"+17153+0+1</definedName>
    <definedName function="false" hidden="false" localSheetId="8" name="ZA660" vbProcedure="false">CURVES!$E$347+"aE347"+17153+0+1</definedName>
    <definedName function="false" hidden="false" localSheetId="8" name="ZA661" vbProcedure="false">CURVES!$E$348+"aE348"+17153+0+1</definedName>
    <definedName function="false" hidden="false" localSheetId="8" name="ZA662" vbProcedure="false">CURVES!$E$349+"aE349"+17153+0+1</definedName>
    <definedName function="false" hidden="false" localSheetId="8" name="ZA663" vbProcedure="false">CURVES!$E$350+"aE350"+17153+0+1</definedName>
    <definedName function="false" hidden="false" localSheetId="8" name="ZA664" vbProcedure="false">CURVES!$E$351+"aE351"+17153+0+1</definedName>
    <definedName function="false" hidden="false" localSheetId="8" name="ZA665" vbProcedure="false">CURVES!$E$352+"aE352"+17153+0+1</definedName>
    <definedName function="false" hidden="false" localSheetId="8" name="ZA666" vbProcedure="false">CURVES!$E$353+"aE353"+17153+0+1</definedName>
    <definedName function="false" hidden="false" localSheetId="8" name="ZA667" vbProcedure="false">CURVES!$E$354+"aE354"+17153+0+1</definedName>
    <definedName function="false" hidden="false" localSheetId="8" name="ZA668" vbProcedure="false">CURVES!$E$355+"aE355"+17153+0+1</definedName>
    <definedName function="false" hidden="false" localSheetId="8" name="ZA669" vbProcedure="false">CURVES!$E$356+"aE356"+17153+0+1</definedName>
    <definedName function="false" hidden="false" localSheetId="8" name="ZA670" vbProcedure="false">CURVES!$E$357+"aE357"+17153+0+1</definedName>
    <definedName function="false" hidden="false" localSheetId="8" name="ZA671" vbProcedure="false">CURVES!$E$358+"aE358"+17153+0+1</definedName>
    <definedName function="false" hidden="false" localSheetId="8" name="ZA672" vbProcedure="false">CURVES!$E$359+"aE359"+17153+0+1</definedName>
    <definedName function="false" hidden="false" localSheetId="8" name="ZA673" vbProcedure="false">CURVES!$E$360+"aE360"+17153+0+1</definedName>
    <definedName function="false" hidden="false" localSheetId="8" name="ZA674" vbProcedure="false">CURVES!$E$361+"aE361"+17153+0+1</definedName>
    <definedName function="false" hidden="false" localSheetId="8" name="ZA675" vbProcedure="false">CURVES!$E$362+"aE362"+17153+0+1</definedName>
    <definedName function="false" hidden="false" localSheetId="8" name="ZA676" vbProcedure="false">CURVES!$E$363+"aE363"+17153+0+1</definedName>
    <definedName function="false" hidden="false" localSheetId="8" name="ZA677" vbProcedure="false">CURVES!$J$287+"aJ287"+17153+0+1</definedName>
    <definedName function="false" hidden="false" localSheetId="8" name="ZA678" vbProcedure="false">CURVES!$J$288+"aJ288"+17153+0+1</definedName>
    <definedName function="false" hidden="false" localSheetId="8" name="ZA679" vbProcedure="false">CURVES!$J$289+"aJ289"+17153+0+1</definedName>
    <definedName function="false" hidden="false" localSheetId="8" name="ZA680" vbProcedure="false">CURVES!$J$290+"aJ290"+17153+0+1</definedName>
    <definedName function="false" hidden="false" localSheetId="8" name="ZA681" vbProcedure="false">CURVES!$J$291+"aJ291"+17153+0+1</definedName>
    <definedName function="false" hidden="false" localSheetId="8" name="ZA682" vbProcedure="false">CURVES!$J$292+"aJ292"+17153+0+1</definedName>
    <definedName function="false" hidden="false" localSheetId="8" name="ZA683" vbProcedure="false">CURVES!$J$293+"aJ293"+17153+0+1</definedName>
    <definedName function="false" hidden="false" localSheetId="8" name="ZA684" vbProcedure="false">CURVES!$J$294+"aJ294"+17153+0+1</definedName>
    <definedName function="false" hidden="false" localSheetId="8" name="ZA685" vbProcedure="false">CURVES!$J$295+"aJ295"+17153+0+1</definedName>
    <definedName function="false" hidden="false" localSheetId="8" name="ZA686" vbProcedure="false">CURVES!$J$296+"aJ296"+17153+0+1</definedName>
    <definedName function="false" hidden="false" localSheetId="8" name="ZA687" vbProcedure="false">CURVES!$J$297+"aJ297"+17153+0+1</definedName>
    <definedName function="false" hidden="false" localSheetId="8" name="ZA688" vbProcedure="false">CURVES!$J$298+"aJ298"+17153+0+1</definedName>
    <definedName function="false" hidden="false" localSheetId="8" name="ZA689" vbProcedure="false">CURVES!$J$299+"aJ299"+17153+0+1</definedName>
    <definedName function="false" hidden="false" localSheetId="8" name="ZA690" vbProcedure="false">CURVES!$J$300+"aJ300"+17153+0+1</definedName>
    <definedName function="false" hidden="false" localSheetId="8" name="ZA691" vbProcedure="false">CURVES!$J$301+"aJ301"+17153+0+1</definedName>
    <definedName function="false" hidden="false" localSheetId="8" name="ZA692" vbProcedure="false">CURVES!$J$302+"aJ302"+17153+0+1</definedName>
    <definedName function="false" hidden="false" localSheetId="8" name="ZA693" vbProcedure="false">CURVES!$J$303+"aJ303"+17153+0+1</definedName>
    <definedName function="false" hidden="false" localSheetId="8" name="ZA694" vbProcedure="false">CURVES!$J$304+"aJ304"+17153+0+1</definedName>
    <definedName function="false" hidden="false" localSheetId="8" name="ZA695" vbProcedure="false">CURVES!$J$305+"aJ305"+17153+0+1</definedName>
    <definedName function="false" hidden="false" localSheetId="8" name="ZA696" vbProcedure="false">CURVES!$J$306+"aJ306"+17153+0+1</definedName>
    <definedName function="false" hidden="false" localSheetId="8" name="ZA697" vbProcedure="false">CURVES!$J$307+"aJ307"+17153+0+1</definedName>
    <definedName function="false" hidden="false" localSheetId="8" name="ZA698" vbProcedure="false">CURVES!$J$308+"aJ308"+17153+0+1</definedName>
    <definedName function="false" hidden="false" localSheetId="8" name="ZA699" vbProcedure="false">CURVES!$J$309+"aJ309"+17153+0+1</definedName>
    <definedName function="false" hidden="false" localSheetId="8" name="ZA700" vbProcedure="false">CURVES!$J$310+"aJ310"+17153+0+1</definedName>
    <definedName function="false" hidden="false" localSheetId="8" name="ZA701" vbProcedure="false">CURVES!$J$311+"aJ311"+17153+0+1</definedName>
    <definedName function="false" hidden="false" localSheetId="8" name="ZA702" vbProcedure="false">CURVES!$J$312+"aJ312"+17153+0+1</definedName>
    <definedName function="false" hidden="false" localSheetId="8" name="ZA703" vbProcedure="false">CURVES!$J$313+"aJ313"+17153+0+1</definedName>
    <definedName function="false" hidden="false" localSheetId="8" name="ZA704" vbProcedure="false">CURVES!$J$314+"aJ314"+17153+0+1</definedName>
    <definedName function="false" hidden="false" localSheetId="8" name="ZA705" vbProcedure="false">CURVES!$J$315+"aJ315"+17153+0+1</definedName>
    <definedName function="false" hidden="false" localSheetId="8" name="ZA706" vbProcedure="false">CURVES!$J$316+"aJ316"+17153+0+1</definedName>
    <definedName function="false" hidden="false" localSheetId="8" name="ZA707" vbProcedure="false">CURVES!$J$317+"aJ317"+17153+0+1</definedName>
    <definedName function="false" hidden="false" localSheetId="8" name="ZA708" vbProcedure="false">CURVES!$J$318+"aJ318"+17153+0+1</definedName>
    <definedName function="false" hidden="false" localSheetId="8" name="ZA709" vbProcedure="false">CURVES!$J$319+"aJ319"+17153+0+1</definedName>
    <definedName function="false" hidden="false" localSheetId="8" name="ZA710" vbProcedure="false">CURVES!$J$320+"aJ320"+17153+0+1</definedName>
    <definedName function="false" hidden="false" localSheetId="8" name="ZA711" vbProcedure="false">CURVES!$J$321+"aJ321"+17153+0+1</definedName>
    <definedName function="false" hidden="false" localSheetId="8" name="ZA712" vbProcedure="false">CURVES!$J$322+"aJ322"+17153+0+1</definedName>
    <definedName function="false" hidden="false" localSheetId="8" name="ZA713" vbProcedure="false">CURVES!$J$323+"aJ323"+17153+0+1</definedName>
    <definedName function="false" hidden="false" localSheetId="8" name="ZA714" vbProcedure="false">CURVES!$J$324+"aJ324"+17153+0+1</definedName>
    <definedName function="false" hidden="false" localSheetId="8" name="ZA715" vbProcedure="false">CURVES!$J$325+"aJ325"+17153+0+1</definedName>
    <definedName function="false" hidden="false" localSheetId="8" name="ZA716" vbProcedure="false">CURVES!$J$326+"aJ326"+17153+0+1</definedName>
    <definedName function="false" hidden="false" localSheetId="8" name="ZA717" vbProcedure="false">CURVES!$J$327+"aJ327"+17153+0+1</definedName>
    <definedName function="false" hidden="false" localSheetId="8" name="ZA718" vbProcedure="false">CURVES!$J$328+"aJ328"+17153+0+1</definedName>
    <definedName function="false" hidden="false" localSheetId="8" name="ZA719" vbProcedure="false">CURVES!$J$329+"aJ329"+17153+0+1</definedName>
    <definedName function="false" hidden="false" localSheetId="8" name="ZA720" vbProcedure="false">CURVES!$J$330+"aJ330"+17153+0+1</definedName>
    <definedName function="false" hidden="false" localSheetId="8" name="ZA721" vbProcedure="false">CURVES!$J$331+"aJ331"+17153+0+1</definedName>
    <definedName function="false" hidden="false" localSheetId="8" name="ZA722" vbProcedure="false">CURVES!$J$332+"aJ332"+17153+0+1</definedName>
    <definedName function="false" hidden="false" localSheetId="8" name="ZA723" vbProcedure="false">CURVES!$J$333+"aJ333"+17153+0+1</definedName>
    <definedName function="false" hidden="false" localSheetId="8" name="ZA724" vbProcedure="false">CURVES!$J$334+"aJ334"+17153+0+1</definedName>
    <definedName function="false" hidden="false" localSheetId="8" name="ZA725" vbProcedure="false">CURVES!$J$335+"aJ335"+17153+0+1</definedName>
    <definedName function="false" hidden="false" localSheetId="8" name="ZA726" vbProcedure="false">CURVES!$J$336+"aJ336"+17153+0+1</definedName>
    <definedName function="false" hidden="false" localSheetId="8" name="ZA727" vbProcedure="false">CURVES!$J$337+"aJ337"+17153+0+1</definedName>
    <definedName function="false" hidden="false" localSheetId="8" name="ZA728" vbProcedure="false">CURVES!$J$338+"aJ338"+17153+0+1</definedName>
    <definedName function="false" hidden="false" localSheetId="8" name="ZA729" vbProcedure="false">CURVES!$J$339+"aJ339"+17153+0+1</definedName>
    <definedName function="false" hidden="false" localSheetId="8" name="ZA730" vbProcedure="false">CURVES!$J$340+"aJ340"+17153+0+1</definedName>
    <definedName function="false" hidden="false" localSheetId="8" name="ZA731" vbProcedure="false">CURVES!$J$341+"aJ341"+17153+0+1</definedName>
    <definedName function="false" hidden="false" localSheetId="8" name="ZA732" vbProcedure="false">CURVES!$J$342+"aJ342"+17153+0+1</definedName>
    <definedName function="false" hidden="false" localSheetId="8" name="ZA733" vbProcedure="false">CURVES!$J$343+"aJ343"+17153+0+1</definedName>
    <definedName function="false" hidden="false" localSheetId="8" name="ZA734" vbProcedure="false">CURVES!$J$344+"aJ344"+17153+0+1</definedName>
    <definedName function="false" hidden="false" localSheetId="8" name="ZA735" vbProcedure="false">CURVES!$J$345+"aJ345"+17153+0+1</definedName>
    <definedName function="false" hidden="false" localSheetId="8" name="ZA736" vbProcedure="false">CURVES!$J$346+"aJ346"+17153+0+1</definedName>
    <definedName function="false" hidden="false" localSheetId="8" name="ZA737" vbProcedure="false">CURVES!$J$347+"aJ347"+17153+0+1</definedName>
    <definedName function="false" hidden="false" localSheetId="8" name="ZA738" vbProcedure="false">CURVES!$J$348+"aJ348"+17153+0+1</definedName>
    <definedName function="false" hidden="false" localSheetId="8" name="ZA739" vbProcedure="false">CURVES!$J$349+"aJ349"+17153+0+1</definedName>
    <definedName function="false" hidden="false" localSheetId="8" name="ZA740" vbProcedure="false">CURVES!$J$350+"aJ350"+17153+0+1</definedName>
    <definedName function="false" hidden="false" localSheetId="8" name="ZA741" vbProcedure="false">CURVES!$J$351+"aJ351"+17153+0+1</definedName>
    <definedName function="false" hidden="false" localSheetId="8" name="ZA742" vbProcedure="false">CURVES!$J$352+"aJ352"+17153+0+1</definedName>
    <definedName function="false" hidden="false" localSheetId="8" name="ZA743" vbProcedure="false">CURVES!$J$353+"aJ353"+17153+0+1</definedName>
    <definedName function="false" hidden="false" localSheetId="8" name="ZA744" vbProcedure="false">CURVES!$J$354+"aJ354"+17153+0+1</definedName>
    <definedName function="false" hidden="false" localSheetId="8" name="ZA745" vbProcedure="false">CURVES!$J$355+"aJ355"+17153+0+1</definedName>
    <definedName function="false" hidden="false" localSheetId="8" name="ZA746" vbProcedure="false">CURVES!$J$356+"aJ356"+17153+0+1</definedName>
    <definedName function="false" hidden="false" localSheetId="8" name="ZA747" vbProcedure="false">CURVES!$J$357+"aJ357"+17153+0+1</definedName>
    <definedName function="false" hidden="false" localSheetId="8" name="ZA748" vbProcedure="false">CURVES!$J$358+"aJ358"+17153+0+1</definedName>
    <definedName function="false" hidden="false" localSheetId="8" name="ZA749" vbProcedure="false">CURVES!$J$359+"aJ359"+17153+0+1</definedName>
    <definedName function="false" hidden="false" localSheetId="8" name="ZA750" vbProcedure="false">CURVES!$J$360+"aJ360"+17153+0+1</definedName>
    <definedName function="false" hidden="false" localSheetId="8" name="ZA751" vbProcedure="false">CURVES!$J$361+"aJ361"+17153+0+1</definedName>
    <definedName function="false" hidden="false" localSheetId="8" name="ZA752" vbProcedure="false">CURVES!$J$362+"aJ362"+17153+0+1</definedName>
    <definedName function="false" hidden="false" localSheetId="8" name="ZA753" vbProcedure="false">CURVES!$J$363+"aJ363"+17153+0+1</definedName>
    <definedName function="false" hidden="false" localSheetId="9" name="driftswitch" vbProcedure="false">USInf97!$F$8</definedName>
    <definedName function="false" hidden="false" localSheetId="9" name="shiftswitch4" vbProcedure="false">USInf97!$F$7</definedName>
    <definedName function="false" hidden="false" localSheetId="9" name="ZA0" vbProcedure="false">"Crystal Ball Data : Ver. 4.0.5"</definedName>
    <definedName function="false" hidden="false" localSheetId="9" name="ZA0A" vbProcedure="false">924+9400</definedName>
    <definedName function="false" hidden="false" localSheetId="9" name="ZA0C" vbProcedure="false">0+0</definedName>
    <definedName function="false" hidden="false" localSheetId="9" name="ZA0D" vbProcedure="false">0+0</definedName>
    <definedName function="false" hidden="false" localSheetId="9" name="ZA0F" vbProcedure="false">2+116</definedName>
    <definedName function="false" hidden="false" localSheetId="9" name="ZA0T" vbProcedure="false">-1505156911+0</definedName>
    <definedName function="false" hidden="false" localSheetId="9" name="ZA853" vbProcedure="false">USInf97!$B$34+"aB34"+16929+0+1</definedName>
    <definedName function="false" hidden="false" localSheetId="9" name="ZA854" vbProcedure="false">USInf97!$B$35+"aB35"+16929+0+1</definedName>
    <definedName function="false" hidden="false" localSheetId="9" name="ZA855" vbProcedure="false">USInf97!$B$36+"aB36"+16929+0+1</definedName>
    <definedName function="false" hidden="false" localSheetId="9" name="ZA856" vbProcedure="false">USInf97!$B$37+"aB37"+16929+0+1</definedName>
    <definedName function="false" hidden="false" localSheetId="9" name="ZA857" vbProcedure="false">USInf97!$B$38+"aB38"+16929+0+1</definedName>
    <definedName function="false" hidden="false" localSheetId="9" name="ZA858" vbProcedure="false">USInf97!$B$39+"aB39"+16929+0+1</definedName>
    <definedName function="false" hidden="false" localSheetId="9" name="ZA859" vbProcedure="false">USInf97!$B$40+"aB40"+16929+0+1</definedName>
    <definedName function="false" hidden="false" localSheetId="9" name="ZA860" vbProcedure="false">USInf97!$B$41+"aB41"+16929+0+1</definedName>
    <definedName function="false" hidden="false" localSheetId="9" name="ZA861" vbProcedure="false">USInf97!$B$42+"aB42"+16929+0+1</definedName>
    <definedName function="false" hidden="false" localSheetId="9" name="ZA862" vbProcedure="false">USInf97!$B$43+"aB43"+16929+0+1</definedName>
    <definedName function="false" hidden="false" localSheetId="9" name="ZA863" vbProcedure="false">USInf97!$B$44+"aB44"+16929+0+1</definedName>
    <definedName function="false" hidden="false" localSheetId="9" name="ZA864" vbProcedure="false">USInf97!$B$45+"aB45"+16929+0+1</definedName>
    <definedName function="false" hidden="false" localSheetId="9" name="ZA865" vbProcedure="false">USInf97!$B$46+"aB46"+16929+0+1</definedName>
    <definedName function="false" hidden="false" localSheetId="9" name="ZA866" vbProcedure="false">USInf97!$B$47+"aB47"+16929+0+1</definedName>
    <definedName function="false" hidden="false" localSheetId="9" name="ZA867" vbProcedure="false">USInf97!$B$48+"aB48"+16929+0+1</definedName>
    <definedName function="false" hidden="false" localSheetId="9" name="ZA868" vbProcedure="false">USInf97!$B$49+"aB49"+16929+0+1</definedName>
    <definedName function="false" hidden="false" localSheetId="9" name="ZA869" vbProcedure="false">USInf97!$B$50+"aB50"+16929+0+1</definedName>
    <definedName function="false" hidden="false" localSheetId="9" name="ZA870" vbProcedure="false">USInf97!$B$51+"aB51"+16929+0+1</definedName>
    <definedName function="false" hidden="false" localSheetId="9" name="ZA871" vbProcedure="false">USInf97!$B$52+"aB52"+16929+0+1</definedName>
    <definedName function="false" hidden="false" localSheetId="9" name="ZA872" vbProcedure="false">USInf97!$B$53+"aB53"+16929+0+1</definedName>
    <definedName function="false" hidden="false" localSheetId="9" name="ZA873" vbProcedure="false">USInf97!$B$54+"aB54"+16929+0+1</definedName>
    <definedName function="false" hidden="false" localSheetId="9" name="ZA874" vbProcedure="false">USInf97!$B$55+"aB55"+16929+0+1</definedName>
    <definedName function="false" hidden="false" localSheetId="9" name="ZA875" vbProcedure="false">USInf97!$B$56+"aB56"+16929+0+1</definedName>
    <definedName function="false" hidden="false" localSheetId="9" name="ZA876" vbProcedure="false">USInf97!$B$57+"aB57"+16929+0+1</definedName>
    <definedName function="false" hidden="false" localSheetId="9" name="ZA877" vbProcedure="false">USInf97!$B$58+"aB58"+16929+0+1</definedName>
    <definedName function="false" hidden="false" localSheetId="9" name="ZA878" vbProcedure="false">USInf97!$B$59+"aB59"+16929+0+1</definedName>
    <definedName function="false" hidden="false" localSheetId="9" name="ZA879" vbProcedure="false">USInf97!$B$60+"aB60"+16929+0+1</definedName>
    <definedName function="false" hidden="false" localSheetId="9" name="ZA880" vbProcedure="false">USInf97!$B$61+"aB61"+16929+0+1</definedName>
    <definedName function="false" hidden="false" localSheetId="9" name="ZA881" vbProcedure="false">USInf97!$B$62+"aB62"+16929+0+1</definedName>
    <definedName function="false" hidden="false" localSheetId="9" name="ZA882" vbProcedure="false">USInf97!$B$63+"aB63"+16929+0+1</definedName>
    <definedName function="false" hidden="false" localSheetId="9" name="ZA883" vbProcedure="false">USInf97!$B$64+"aB64"+16929+0+1</definedName>
    <definedName function="false" hidden="false" localSheetId="9" name="ZA884" vbProcedure="false">USInf97!$B$65+"aB65"+16929+0+1</definedName>
    <definedName function="false" hidden="false" localSheetId="9" name="ZA885" vbProcedure="false">USInf97!$B$66+"aB66"+16929+0+1</definedName>
    <definedName function="false" hidden="false" localSheetId="9" name="ZA886" vbProcedure="false">USInf97!$B$67+"aB67"+16929+0+1</definedName>
    <definedName function="false" hidden="false" localSheetId="9" name="ZA887" vbProcedure="false">USInf97!$B$68+"aB68"+16929+0+1</definedName>
    <definedName function="false" hidden="false" localSheetId="9" name="ZA888" vbProcedure="false">USInf97!$B$69+"aB69"+16929+0+1</definedName>
    <definedName function="false" hidden="false" localSheetId="9" name="ZA889" vbProcedure="false">USInf97!$B$70+"aB70"+16929+0+1</definedName>
    <definedName function="false" hidden="false" localSheetId="9" name="ZA890" vbProcedure="false">USInf97!$B$71+"aB71"+16929+0+1</definedName>
    <definedName function="false" hidden="false" localSheetId="9" name="ZA891" vbProcedure="false">USInf97!$B$72+"aB72"+16929+0+1</definedName>
    <definedName function="false" hidden="false" localSheetId="9" name="ZA892" vbProcedure="false">USInf97!$B$73+"aB73"+16929+0+1</definedName>
    <definedName function="false" hidden="false" localSheetId="9" name="ZA893" vbProcedure="false">USInf97!$B$74+"aB74"+16929+0+1</definedName>
    <definedName function="false" hidden="false" localSheetId="9" name="ZA894" vbProcedure="false">USInf97!$B$75+"aB75"+16929+0+1</definedName>
    <definedName function="false" hidden="false" localSheetId="9" name="ZA895" vbProcedure="false">USInf97!$B$76+"aB76"+16929+0+1</definedName>
    <definedName function="false" hidden="false" localSheetId="9" name="ZA896" vbProcedure="false">USInf97!$B$77+"aB77"+16929+0+1</definedName>
    <definedName function="false" hidden="false" localSheetId="9" name="ZA897" vbProcedure="false">USInf97!$B$78+"aB78"+16929+0+1</definedName>
    <definedName function="false" hidden="false" localSheetId="9" name="ZA898" vbProcedure="false">USInf97!$B$79+"aB79"+16929+0+1</definedName>
    <definedName function="false" hidden="false" localSheetId="9" name="ZA899" vbProcedure="false">USInf97!$B$80+"aB80"+16929+0+1</definedName>
    <definedName function="false" hidden="false" localSheetId="9" name="ZA9001" vbProcedure="false">USInf97!$B$81+"aB81"+16929+0+1</definedName>
    <definedName function="false" hidden="false" localSheetId="9" name="ZA9002" vbProcedure="false">USInf97!$B$82+"aB82"+16929+0+1</definedName>
    <definedName function="false" hidden="false" localSheetId="9" name="ZA9003" vbProcedure="false">USInf97!$B$83+"aB83"+16929+0+1</definedName>
    <definedName function="false" hidden="false" localSheetId="9" name="ZA9004" vbProcedure="false">USInf97!$B$84+"aB84"+16929+0+1</definedName>
    <definedName function="false" hidden="false" localSheetId="9" name="ZA9005" vbProcedure="false">USInf97!$B$85+"aB85"+16929+0+1</definedName>
    <definedName function="false" hidden="false" localSheetId="9" name="ZA9006" vbProcedure="false">USInf97!$B$86+"aB86"+16929+0+1</definedName>
    <definedName function="false" hidden="false" localSheetId="9" name="ZA9007" vbProcedure="false">USInf97!$B$87+"aB87"+16929+0+1</definedName>
    <definedName function="false" hidden="false" localSheetId="9" name="ZA9008" vbProcedure="false">USInf97!$B$88+"aB88"+16929+0+1</definedName>
    <definedName function="false" hidden="false" localSheetId="9" name="ZA9009" vbProcedure="false">USInf97!$B$89+"aB89"+16929+0+1</definedName>
    <definedName function="false" hidden="false" localSheetId="9" name="ZA9010" vbProcedure="false">USInf97!$B$90+"aB90"+16929+0+1</definedName>
    <definedName function="false" hidden="false" localSheetId="9" name="ZA9011" vbProcedure="false">USInf97!$B$91+"aB91"+16929+0+1</definedName>
    <definedName function="false" hidden="false" localSheetId="9" name="ZA9012" vbProcedure="false">USInf97!$B$92+"aB92"+16929+0+1</definedName>
    <definedName function="false" hidden="false" localSheetId="9" name="ZA9013" vbProcedure="false">USInf97!$B$93+"aB93"+16929+0+1</definedName>
    <definedName function="false" hidden="false" localSheetId="9" name="ZA9014" vbProcedure="false">USInf97!$B$94+"aB94"+16929+0+1</definedName>
    <definedName function="false" hidden="false" localSheetId="9" name="ZA9015" vbProcedure="false">USInf97!$B$95+"aB95"+16929+0+1</definedName>
    <definedName function="false" hidden="false" localSheetId="9" name="ZA9016" vbProcedure="false">USInf97!$B$96+"aB96"+16929+0+1</definedName>
    <definedName function="false" hidden="false" localSheetId="9" name="ZA9017" vbProcedure="false">USInf97!$B$97+"aB97"+16929+0+1</definedName>
    <definedName function="false" hidden="false" localSheetId="9" name="ZA9018" vbProcedure="false">USInf97!$B$98+"aB98"+16929+0+1</definedName>
    <definedName function="false" hidden="false" localSheetId="9" name="ZA9019" vbProcedure="false">USInf97!$B$99+"aB99"+16929+0+1</definedName>
    <definedName function="false" hidden="false" localSheetId="9" name="ZA9020" vbProcedure="false">USInf97!$B$100+"aB100"+16929+0+1</definedName>
    <definedName function="false" hidden="false" localSheetId="9" name="ZA9021" vbProcedure="false">USInf97!$B$101+"aB101"+16929+0+1</definedName>
    <definedName function="false" hidden="false" localSheetId="9" name="ZA9022" vbProcedure="false">USInf97!$B$102+"aB102"+16929+0+1</definedName>
    <definedName function="false" hidden="false" localSheetId="9" name="ZA9023" vbProcedure="false">USInf97!$B$103+"aB103"+16929+0+1</definedName>
    <definedName function="false" hidden="false" localSheetId="9" name="ZA9024" vbProcedure="false">USInf97!$B$104+"aB104"+16929+0+1</definedName>
    <definedName function="false" hidden="false" localSheetId="9" name="ZA9025" vbProcedure="false">USInf97!$B$105+"aB105"+16929+0+1</definedName>
    <definedName function="false" hidden="false" localSheetId="9" name="ZA9026" vbProcedure="false">USInf97!$B$106+"aB106"+16929+0+1</definedName>
    <definedName function="false" hidden="false" localSheetId="9" name="ZA9027" vbProcedure="false">USInf97!$B$107+"aB107"+16929+0+1</definedName>
    <definedName function="false" hidden="false" localSheetId="9" name="ZA9028" vbProcedure="false">USInf97!$B$108+"aB108"+16929+0+1</definedName>
    <definedName function="false" hidden="false" localSheetId="9" name="ZA9029" vbProcedure="false">USInf97!$B$109+"aB109"+16929+0+1</definedName>
    <definedName function="false" hidden="false" localSheetId="9" name="ZA9030" vbProcedure="false">USInf97!$B$110+"aB110"+16929+0+1</definedName>
    <definedName function="false" hidden="false" localSheetId="9" name="ZA9031" vbProcedure="false">USInf97!$B$111+"aB111"+16929+0+1</definedName>
    <definedName function="false" hidden="false" localSheetId="9" name="ZA9032" vbProcedure="false">USInf97!$B$112+"aB112"+16929+0+1</definedName>
    <definedName function="false" hidden="false" localSheetId="9" name="ZA9033" vbProcedure="false">USInf97!$B$113+"aB113"+16929+0+1</definedName>
    <definedName function="false" hidden="false" localSheetId="9" name="ZA9034" vbProcedure="false">USInf97!$B$114+"aB114"+16929+0+1</definedName>
    <definedName function="false" hidden="false" localSheetId="9" name="ZA9035" vbProcedure="false">USInf97!$B$115+"aB115"+16929+0+1</definedName>
    <definedName function="false" hidden="false" localSheetId="9" name="ZA9036" vbProcedure="false">USInf97!$B$116+"aB116"+16929+0+1</definedName>
    <definedName function="false" hidden="false" localSheetId="9" name="ZA9037" vbProcedure="false">USInf97!$B$117+"aB117"+16929+0+1</definedName>
    <definedName function="false" hidden="false" localSheetId="9" name="ZA9038" vbProcedure="false">USInf97!$B$118+"aB118"+16929+0+1</definedName>
    <definedName function="false" hidden="false" localSheetId="9" name="ZA9039" vbProcedure="false">USInf97!$B$119+"aB119"+16929+0+1</definedName>
    <definedName function="false" hidden="false" localSheetId="9" name="ZA9040" vbProcedure="false">USInf97!$B$120+"aB120"+16929+0+1</definedName>
    <definedName function="false" hidden="false" localSheetId="9" name="ZA9041" vbProcedure="false">USInf97!$B$121+"aB121"+16929+0+1</definedName>
    <definedName function="false" hidden="false" localSheetId="9" name="ZA9042" vbProcedure="false">USInf97!$B$122+"aB122"+16929+0+1</definedName>
    <definedName function="false" hidden="false" localSheetId="9" name="ZA9043" vbProcedure="false">USInf97!$B$123+"aB123"+16929+0+1</definedName>
    <definedName function="false" hidden="false" localSheetId="9" name="ZA9044" vbProcedure="false">USInf97!$B$124+"aB124"+16929+0+1</definedName>
    <definedName function="false" hidden="false" localSheetId="9" name="ZA9045" vbProcedure="false">USInf97!$B$125+"aB125"+16929+0+1</definedName>
    <definedName function="false" hidden="false" localSheetId="9" name="ZA9046" vbProcedure="false">USInf97!$B$126+"aB126"+16929+0+1</definedName>
    <definedName function="false" hidden="false" localSheetId="9" name="ZA9047" vbProcedure="false">USInf97!$B$127+"aB127"+16929+0+1</definedName>
    <definedName function="false" hidden="false" localSheetId="9" name="ZA9048" vbProcedure="false">USInf97!$B$128+"aB128"+16929+0+1</definedName>
    <definedName function="false" hidden="false" localSheetId="9" name="ZA9049" vbProcedure="false">USInf97!$B$129+"aB129"+16929+0+1</definedName>
    <definedName function="false" hidden="false" localSheetId="9" name="ZA9050" vbProcedure="false">USInf97!$B$130+"aB130"+16929+0+1</definedName>
    <definedName function="false" hidden="false" localSheetId="9" name="ZA9051" vbProcedure="false">USInf97!$B$131+"aB131"+16929+0+1</definedName>
    <definedName function="false" hidden="false" localSheetId="9" name="ZA9052" vbProcedure="false">USInf97!$B$132+"aB132"+16929+0+1</definedName>
    <definedName function="false" hidden="false" localSheetId="9" name="ZA9053" vbProcedure="false">USInf97!$B$133+"aB133"+16929+0+1</definedName>
    <definedName function="false" hidden="false" localSheetId="9" name="ZA9054" vbProcedure="false">USInf97!$B$134+"aB134"+16929+0+1</definedName>
    <definedName function="false" hidden="false" localSheetId="9" name="ZA9055" vbProcedure="false">USInf97!$B$135+"aB135"+16929+0+1</definedName>
    <definedName function="false" hidden="false" localSheetId="9" name="ZA9056" vbProcedure="false">USInf97!$B$136+"aB136"+16929+0+1</definedName>
    <definedName function="false" hidden="false" localSheetId="9" name="ZA9057" vbProcedure="false">USInf97!$B$137+"aB137"+16929+0+1</definedName>
    <definedName function="false" hidden="false" localSheetId="9" name="ZA9058" vbProcedure="false">USInf97!$B$138+"aB138"+16929+0+1</definedName>
    <definedName function="false" hidden="false" localSheetId="9" name="ZA9059" vbProcedure="false">USInf97!$B$139+"aB139"+16929+0+1</definedName>
    <definedName function="false" hidden="false" localSheetId="9" name="ZA9060" vbProcedure="false">USInf97!$B$140+"aB140"+16929+0+1</definedName>
    <definedName function="false" hidden="false" localSheetId="9" name="ZA9061" vbProcedure="false">USInf97!$B$141+"aB141"+16929+0+1</definedName>
    <definedName function="false" hidden="false" localSheetId="9" name="ZA9062" vbProcedure="false">USInf97!$B$142+"aB142"+16929+0+1</definedName>
    <definedName function="false" hidden="false" localSheetId="9" name="ZA9063" vbProcedure="false">USInf97!$B$143+"aB143"+16929+0+1</definedName>
    <definedName function="false" hidden="false" localSheetId="9" name="ZA9064" vbProcedure="false">USInf97!$B$144+"aB144"+16929+0+1</definedName>
    <definedName function="false" hidden="false" localSheetId="9" name="ZA9065" vbProcedure="false">USInf97!$B$145+"aB145"+16929+0+1</definedName>
    <definedName function="false" hidden="false" localSheetId="9" name="ZA9066" vbProcedure="false">USInf97!$B$146+"aB146"+16929+0+1</definedName>
    <definedName function="false" hidden="false" localSheetId="9" name="ZA9067" vbProcedure="false">USInf97!$B$147+"aB147"+16929+0+1</definedName>
    <definedName function="false" hidden="false" localSheetId="9" name="ZA9068" vbProcedure="false">USInf97!$B$148+"aB148"+16929+0+1</definedName>
    <definedName function="false" hidden="false" localSheetId="9" name="ZA9069" vbProcedure="false">USInf97!$B$149+"aB149"+16929+0+1</definedName>
    <definedName function="false" hidden="false" localSheetId="9" name="ZA9070" vbProcedure="false">USInf97!$B$150+"aB150"+16929+0+1</definedName>
    <definedName function="false" hidden="false" localSheetId="9" name="ZA9071" vbProcedure="false">USInf97!$B$151+"aB151"+16929+0+1</definedName>
    <definedName function="false" hidden="false" localSheetId="9" name="ZA9072" vbProcedure="false">USInf97!$B$152+"aB152"+16929+0+1</definedName>
    <definedName function="false" hidden="false" localSheetId="9" name="ZA9073" vbProcedure="false">USInf97!$B$153+"aB153"+16929+0+1</definedName>
    <definedName function="false" hidden="false" localSheetId="9" name="ZA9074" vbProcedure="false">USInf97!$B$154+"aB154"+16929+0+1</definedName>
    <definedName function="false" hidden="false" localSheetId="9" name="ZA9075" vbProcedure="false">USInf97!$B$155+"aB155"+16929+0+1</definedName>
    <definedName function="false" hidden="false" localSheetId="9" name="ZA9076" vbProcedure="false">USInf97!$B$156+"aB156"+16929+0+1</definedName>
    <definedName function="false" hidden="false" localSheetId="9" name="ZA9077" vbProcedure="false">USInf97!$B$157+"aB157"+16929+0+1</definedName>
    <definedName function="false" hidden="false" localSheetId="9" name="ZA9078" vbProcedure="false">USInf97!$B$158+"aB158"+16929+0+1</definedName>
    <definedName function="false" hidden="false" localSheetId="9" name="ZA9079" vbProcedure="false">USInf97!$B$159+"aB159"+16929+0+1</definedName>
    <definedName function="false" hidden="false" localSheetId="9" name="ZA9080" vbProcedure="false">USInf97!$B$160+"aB160"+16929+0+1</definedName>
    <definedName function="false" hidden="false" localSheetId="9" name="ZA9081" vbProcedure="false">USInf97!$B$161+"aB161"+16929+0+1</definedName>
    <definedName function="false" hidden="false" localSheetId="9" name="ZA9082" vbProcedure="false">USInf97!$B$162+"aB162"+16929+0+1</definedName>
    <definedName function="false" hidden="false" localSheetId="9" name="ZA9083" vbProcedure="false">USInf97!$B$163+"aB163"+16929+0+1</definedName>
    <definedName function="false" hidden="false" localSheetId="9" name="ZA9084" vbProcedure="false">USInf97!$B$164+"aB164"+16929+0+1</definedName>
    <definedName function="false" hidden="false" localSheetId="9" name="ZA9085" vbProcedure="false">USInf97!$B$165+"aB165"+16929+0+1</definedName>
    <definedName function="false" hidden="false" localSheetId="9" name="ZA9086" vbProcedure="false">USInf97!$B$166+"aB166"+16929+0+1</definedName>
    <definedName function="false" hidden="false" localSheetId="9" name="ZA9087" vbProcedure="false">USInf97!$B$167+"aB167"+16929+0+1</definedName>
    <definedName function="false" hidden="false" localSheetId="9" name="ZA9088" vbProcedure="false">USInf97!$B$168+"aB168"+16929+0+1</definedName>
    <definedName function="false" hidden="false" localSheetId="9" name="ZA9089" vbProcedure="false">USInf97!$B$169+"aB169"+16929+0+1</definedName>
    <definedName function="false" hidden="false" localSheetId="9" name="ZA9090" vbProcedure="false">USInf97!$B$170+"aB170"+16929+0+1</definedName>
    <definedName function="false" hidden="false" localSheetId="9" name="ZA9091" vbProcedure="false">USInf97!$B$171+"aB171"+16929+0+1</definedName>
    <definedName function="false" hidden="false" localSheetId="9" name="ZA9092" vbProcedure="false">USInf97!$B$172+"aB172"+16929+0+1</definedName>
    <definedName function="false" hidden="false" localSheetId="9" name="ZA9093" vbProcedure="false">USInf97!$B$173+"aB173"+16929+0+1</definedName>
    <definedName function="false" hidden="false" localSheetId="9" name="ZA9094" vbProcedure="false">USInf97!$B$174+"aB174"+16929+0+1</definedName>
    <definedName function="false" hidden="false" localSheetId="9" name="ZA9095" vbProcedure="false">USInf97!$B$175+"aB175"+16929+0+1</definedName>
    <definedName function="false" hidden="false" localSheetId="9" name="ZA9096" vbProcedure="false">USInf97!$B$176+"aB176"+16929+0+1</definedName>
    <definedName function="false" hidden="false" localSheetId="9" name="ZA9097" vbProcedure="false">USInf97!$B$177+"aB177"+16929+0+1</definedName>
    <definedName function="false" hidden="false" localSheetId="9" name="ZA9098" vbProcedure="false">USInf97!$B$178+"aB178"+16929+0+1</definedName>
    <definedName function="false" hidden="false" localSheetId="9" name="ZA9099" vbProcedure="false">USInf97!$B$179+"aB179"+16929+0+1</definedName>
    <definedName function="false" hidden="false" localSheetId="9" name="ZA9100" vbProcedure="false">USInf97!$B$180+"aB180"+16929+0+1</definedName>
    <definedName function="false" hidden="false" localSheetId="9" name="ZA9101" vbProcedure="false">USInf97!$B$181+"aB181"+16929+0+1</definedName>
    <definedName function="false" hidden="false" localSheetId="9" name="ZA9102" vbProcedure="false">USInf97!$B$182+"aB182"+16929+0+1</definedName>
    <definedName function="false" hidden="false" localSheetId="9" name="ZA9103" vbProcedure="false">USInf97!$B$183+"aB183"+16929+0+1</definedName>
    <definedName function="false" hidden="false" localSheetId="9" name="ZA9104" vbProcedure="false">USInf97!$B$184+"aB184"+16929+0+1</definedName>
    <definedName function="false" hidden="false" localSheetId="9" name="ZA9105" vbProcedure="false">USInf97!$B$185+"aB185"+16929+0+1</definedName>
    <definedName function="false" hidden="false" localSheetId="9" name="ZA9106" vbProcedure="false">USInf97!$B$186+"aB186"+16929+0+1</definedName>
    <definedName function="false" hidden="false" localSheetId="9" name="ZA9107" vbProcedure="false">USInf97!$B$187+"aB187"+16929+0+1</definedName>
    <definedName function="false" hidden="false" localSheetId="9" name="ZA9108" vbProcedure="false">USInf97!$B$188+"aB188"+16929+0+1</definedName>
    <definedName function="false" hidden="false" localSheetId="9" name="ZA9109" vbProcedure="false">USInf97!$B$189+"aB189"+16929+0+1</definedName>
    <definedName function="false" hidden="false" localSheetId="9" name="ZA9110" vbProcedure="false">USInf97!$B$190+"aB190"+16929+0+1</definedName>
    <definedName function="false" hidden="false" localSheetId="9" name="ZA9111" vbProcedure="false">USInf97!$B$191+"aB191"+16929+0+1</definedName>
    <definedName function="false" hidden="false" localSheetId="9" name="ZA9112" vbProcedure="false">USInf97!$B$192+"aB192"+16929+0+1</definedName>
    <definedName function="false" hidden="false" localSheetId="9" name="ZA9113" vbProcedure="false">USInf97!$B$193+"aB193"+16929+0+1</definedName>
    <definedName function="false" hidden="false" localSheetId="9" name="ZA9114" vbProcedure="false">USInf97!$B$194+"aB194"+16929+0+1</definedName>
    <definedName function="false" hidden="false" localSheetId="9" name="ZA9115" vbProcedure="false">USInf97!$B$195+"aB195"+16929+0+1</definedName>
    <definedName function="false" hidden="false" localSheetId="9" name="ZA9116" vbProcedure="false">USInf97!$B$196+"aB196"+16929+0+1</definedName>
    <definedName function="false" hidden="false" localSheetId="9" name="ZA9117" vbProcedure="false">USInf97!$B$197+"aB197"+16929+0+1</definedName>
    <definedName function="false" hidden="false" localSheetId="9" name="ZA9118" vbProcedure="false">USInf97!$B$198+"aB198"+16929+0+1</definedName>
    <definedName function="false" hidden="false" localSheetId="9" name="ZA9119" vbProcedure="false">USInf97!$B$199+"aB199"+16929+0+1</definedName>
    <definedName function="false" hidden="false" localSheetId="9" name="ZA9120" vbProcedure="false">USInf97!$B$200+"aB200"+16929+0+1</definedName>
    <definedName function="false" hidden="false" localSheetId="9" name="ZA9121" vbProcedure="false">USInf97!$B$201+"aB201"+16929+0+1</definedName>
    <definedName function="false" hidden="false" localSheetId="9" name="ZA9122" vbProcedure="false">USInf97!$B$202+"aB202"+16929+0+1</definedName>
    <definedName function="false" hidden="false" localSheetId="9" name="ZA9123" vbProcedure="false">USInf97!$B$203+"aB203"+16929+0+1</definedName>
    <definedName function="false" hidden="false" localSheetId="9" name="ZA9124" vbProcedure="false">USInf97!$B$204+"aB204"+16929+0+1</definedName>
    <definedName function="false" hidden="false" localSheetId="9" name="ZA9125" vbProcedure="false">USInf97!$B$205+"aB205"+16929+0+1</definedName>
    <definedName function="false" hidden="false" localSheetId="9" name="ZA9126" vbProcedure="false">USInf97!$B$206+"aB206"+16929+0+1</definedName>
    <definedName function="false" hidden="false" localSheetId="9" name="ZA9127" vbProcedure="false">USInf97!$B$207+"aB207"+16929+0+1</definedName>
    <definedName function="false" hidden="false" localSheetId="9" name="ZA9128" vbProcedure="false">USInf97!$B$208+"aB208"+16929+0+1</definedName>
    <definedName function="false" hidden="false" localSheetId="9" name="ZA9129" vbProcedure="false">USInf97!$B$209+"aB209"+16929+0+1</definedName>
    <definedName function="false" hidden="false" localSheetId="9" name="ZA9130" vbProcedure="false">USInf97!$B$210+"aB210"+16929+0+1</definedName>
    <definedName function="false" hidden="false" localSheetId="9" name="ZA9131" vbProcedure="false">USInf97!$B$211+"aB211"+16929+0+1</definedName>
    <definedName function="false" hidden="false" localSheetId="9" name="ZA9132" vbProcedure="false">USInf97!$B$212+"aB212"+16929+0+1</definedName>
    <definedName function="false" hidden="false" localSheetId="9" name="ZA9133" vbProcedure="false">USInf97!$B$213+"aB213"+16929+0+1</definedName>
    <definedName function="false" hidden="false" localSheetId="9" name="ZA9134" vbProcedure="false">USInf97!$B$214+"aB214"+16929+0+1</definedName>
    <definedName function="false" hidden="false" localSheetId="9" name="ZA9135" vbProcedure="false">USInf97!$B$215+"aB215"+16929+0+1</definedName>
    <definedName function="false" hidden="false" localSheetId="9" name="ZA9136" vbProcedure="false">USInf97!$B$216+"aB216"+16929+0+1</definedName>
    <definedName function="false" hidden="false" localSheetId="9" name="ZA9137" vbProcedure="false">USInf97!$B$217+"aB217"+16929+0+1</definedName>
    <definedName function="false" hidden="false" localSheetId="9" name="ZA9138" vbProcedure="false">USInf97!$B$218+"aB218"+16929+0+1</definedName>
    <definedName function="false" hidden="false" localSheetId="9" name="ZA9139" vbProcedure="false">USInf97!$B$219+"aB219"+16929+0+1</definedName>
    <definedName function="false" hidden="false" localSheetId="9" name="ZA9140" vbProcedure="false">USInf97!$B$220+"aB220"+16929+0+1</definedName>
    <definedName function="false" hidden="false" localSheetId="9" name="ZA9141" vbProcedure="false">USInf97!$B$221+"aB221"+16929+0+1</definedName>
    <definedName function="false" hidden="false" localSheetId="9" name="ZA9142" vbProcedure="false">USInf97!$B$222+"aB222"+16929+0+1</definedName>
    <definedName function="false" hidden="false" localSheetId="9" name="ZA9143" vbProcedure="false">USInf97!$B$223+"aB223"+16929+0+1</definedName>
    <definedName function="false" hidden="false" localSheetId="9" name="ZA9144" vbProcedure="false">USInf97!$B$224+"aB224"+16929+0+1</definedName>
    <definedName function="false" hidden="false" localSheetId="9" name="ZA9145" vbProcedure="false">USInf97!$B$225+"aB225"+16929+0+1</definedName>
    <definedName function="false" hidden="false" localSheetId="9" name="ZA9146" vbProcedure="false">USInf97!$B$226+"aB226"+16929+0+1</definedName>
    <definedName function="false" hidden="false" localSheetId="9" name="ZA9147" vbProcedure="false">USInf97!$B$227+"aB227"+16929+0+1</definedName>
    <definedName function="false" hidden="false" localSheetId="9" name="ZA9148" vbProcedure="false">USInf97!$B$228+"aB228"+16929+0+1</definedName>
    <definedName function="false" hidden="false" localSheetId="9" name="ZA9149" vbProcedure="false">USInf97!$B$229+"aB229"+16929+0+1</definedName>
    <definedName function="false" hidden="false" localSheetId="9" name="ZA9150" vbProcedure="false">USInf97!$B$230+"aB230"+16929+0+1</definedName>
    <definedName function="false" hidden="false" localSheetId="9" name="ZA9151" vbProcedure="false">USInf97!$B$231+"aB231"+16929+0+1</definedName>
    <definedName function="false" hidden="false" localSheetId="9" name="ZA9152" vbProcedure="false">USInf97!$B$232+"aB232"+16929+0+1</definedName>
    <definedName function="false" hidden="false" localSheetId="9" name="ZA9153" vbProcedure="false">USInf97!$B$233+"aB233"+16929+0+1</definedName>
    <definedName function="false" hidden="false" localSheetId="9" name="ZA9154" vbProcedure="false">USInf97!$B$234+"aB234"+16929+0+1</definedName>
    <definedName function="false" hidden="false" localSheetId="9" name="ZA9155" vbProcedure="false">USInf97!$B$235+"aB235"+16929+0+1</definedName>
    <definedName function="false" hidden="false" localSheetId="9" name="ZA9156" vbProcedure="false">USInf97!$B$236+"aB236"+16929+0+1</definedName>
    <definedName function="false" hidden="false" localSheetId="9" name="ZA9157" vbProcedure="false">USInf97!$B$237+"aB237"+16929+0+1</definedName>
    <definedName function="false" hidden="false" localSheetId="9" name="ZA9158" vbProcedure="false">USInf97!$B$238+"aB238"+16929+0+1</definedName>
    <definedName function="false" hidden="false" localSheetId="9" name="ZA9159" vbProcedure="false">USInf97!$B$239+"aB239"+16929+0+1</definedName>
    <definedName function="false" hidden="false" localSheetId="9" name="ZA9160" vbProcedure="false">USInf97!$B$240+"aB240"+16929+0+1</definedName>
    <definedName function="false" hidden="false" localSheetId="9" name="ZA9161" vbProcedure="false">USInf97!$B$241+"aB241"+16929+0+1</definedName>
    <definedName function="false" hidden="false" localSheetId="9" name="ZA9162" vbProcedure="false">USInf97!$B$242+"aB242"+16929+0+1</definedName>
    <definedName function="false" hidden="false" localSheetId="9" name="ZA9163" vbProcedure="false">USInf97!$B$243+"aB243"+16929+0+1</definedName>
    <definedName function="false" hidden="false" localSheetId="9" name="ZA9164" vbProcedure="false">USInf97!$B$244+"aB244"+16929+0+1</definedName>
    <definedName function="false" hidden="false" localSheetId="9" name="ZA9165" vbProcedure="false">USInf97!$B$245+"aB245"+16929+0+1</definedName>
    <definedName function="false" hidden="false" localSheetId="9" name="ZA9166" vbProcedure="false">USInf97!$B$246+"aB246"+16929+0+1</definedName>
    <definedName function="false" hidden="false" localSheetId="9" name="ZA9167" vbProcedure="false">USInf97!$B$247+"aB247"+16929+0+1</definedName>
    <definedName function="false" hidden="false" localSheetId="9" name="ZA9168" vbProcedure="false">USInf97!$B$248+"aB248"+16929+0+1</definedName>
    <definedName function="false" hidden="false" localSheetId="9" name="ZA9169" vbProcedure="false">USInf97!$B$249+"aB249"+16929+0+1</definedName>
    <definedName function="false" hidden="false" localSheetId="9" name="ZA9170" vbProcedure="false">USInf97!$B$250+"aB250"+16929+0+1</definedName>
    <definedName function="false" hidden="false" localSheetId="9" name="ZA9171" vbProcedure="false">USInf97!$B$251+"aB251"+16929+0+1</definedName>
    <definedName function="false" hidden="false" localSheetId="9" name="ZA9172" vbProcedure="false">USInf97!$B$252+"aB252"+16929+0+1</definedName>
    <definedName function="false" hidden="false" localSheetId="9" name="ZA9173" vbProcedure="false">USInf97!$B$253+"aB253"+16929+0+1</definedName>
    <definedName function="false" hidden="false" localSheetId="9" name="ZA9174" vbProcedure="false">USInf97!$B$254+"aB254"+16929+0+1</definedName>
    <definedName function="false" hidden="false" localSheetId="9" name="ZA9175" vbProcedure="false">USInf97!$B$255+"aB255"+16929+0+1</definedName>
    <definedName function="false" hidden="false" localSheetId="9" name="ZA9176" vbProcedure="false">USInf97!$B$256+"aB256"+16929+0+1</definedName>
    <definedName function="false" hidden="false" localSheetId="9" name="ZA9177" vbProcedure="false">USInf97!$B$257+"aB257"+16929+0+1</definedName>
    <definedName function="false" hidden="false" localSheetId="9" name="ZA9178" vbProcedure="false">USInf97!$B$258+"aB258"+16929+0+1</definedName>
    <definedName function="false" hidden="false" localSheetId="9" name="ZA9179" vbProcedure="false">USInf97!$B$259+"aB259"+16929+0+1</definedName>
    <definedName function="false" hidden="false" localSheetId="9" name="ZA9180" vbProcedure="false">USInf97!$B$260+"aB260"+16929+0+1</definedName>
    <definedName function="false" hidden="false" localSheetId="9" name="ZA9181" vbProcedure="false">USInf97!$B$261+"aB261"+16929+0+1</definedName>
    <definedName function="false" hidden="false" localSheetId="9" name="ZA9182" vbProcedure="false">USInf97!$B$262+"aB262"+16929+0+1</definedName>
    <definedName function="false" hidden="false" localSheetId="9" name="ZA9183" vbProcedure="false">USInf97!$B$263+"aB263"+16929+0+1</definedName>
    <definedName function="false" hidden="false" localSheetId="9" name="ZA9184" vbProcedure="false">USInf97!$B$264+"aB264"+16929+0+1</definedName>
    <definedName function="false" hidden="false" localSheetId="9" name="ZA9185" vbProcedure="false">USInf97!$B$265+"aB265"+16929+0+1</definedName>
    <definedName function="false" hidden="false" localSheetId="9" name="ZA9186" vbProcedure="false">USInf97!$B$266+"aB266"+16929+0+1</definedName>
    <definedName function="false" hidden="false" localSheetId="9" name="ZA9187" vbProcedure="false">USInf97!$B$267+"aB267"+16929+0+1</definedName>
    <definedName function="false" hidden="false" localSheetId="9" name="ZA9188" vbProcedure="false">USInf97!$B$268+"aB268"+16929+0+1</definedName>
    <definedName function="false" hidden="false" localSheetId="9" name="ZA9189" vbProcedure="false">USInf97!$B$269+"aB269"+16929+0+1</definedName>
    <definedName function="false" hidden="false" localSheetId="9" name="ZA9190" vbProcedure="false">USInf97!$B$270+"aB270"+16929+0+1</definedName>
    <definedName function="false" hidden="false" localSheetId="9" name="ZA9191" vbProcedure="false">USInf97!$B$271+"aB271"+16929+0+1</definedName>
    <definedName function="false" hidden="false" localSheetId="9" name="ZA9192" vbProcedure="false">USInf97!$B$272+"aB272"+16929+0+1</definedName>
    <definedName function="false" hidden="false" localSheetId="9" name="ZA9193" vbProcedure="false">USInf97!$B$273+"aB273"+16929+0+1</definedName>
    <definedName function="false" hidden="false" localSheetId="9" name="ZA9194" vbProcedure="false">USInf97!$B$274+"aB274"+16929+0+1</definedName>
    <definedName function="false" hidden="false" localSheetId="9" name="ZA9195" vbProcedure="false">USInf97!$B$275+"aB275"+16929+0+1</definedName>
    <definedName function="false" hidden="false" localSheetId="9" name="ZA9196" vbProcedure="false">USInf97!$B$276+"aB276"+16929+0+1</definedName>
    <definedName function="false" hidden="false" localSheetId="9" name="ZA9197" vbProcedure="false">USInf97!$B$277+"aB277"+16929+0+1</definedName>
    <definedName function="false" hidden="false" localSheetId="9" name="ZA9198" vbProcedure="false">USInf97!$B$278+"aB278"+16929+0+1</definedName>
    <definedName function="false" hidden="false" localSheetId="9" name="ZA9199" vbProcedure="false">USInf97!$B$279+"aB279"+16929+0+1</definedName>
    <definedName function="false" hidden="false" localSheetId="9" name="ZA9200" vbProcedure="false">USInf97!$B$280+"aB280"+16929+0+1</definedName>
    <definedName function="false" hidden="false" localSheetId="9" name="ZA9201" vbProcedure="false">USInf97!$B$281+"aB281"+16929+0+1</definedName>
    <definedName function="false" hidden="false" localSheetId="9" name="ZA9202" vbProcedure="false">USInf97!$B$282+"aB282"+16929+0+1</definedName>
    <definedName function="false" hidden="false" localSheetId="9" name="ZA9203" vbProcedure="false">USInf97!$B$283+"aB283"+16929+0+1</definedName>
    <definedName function="false" hidden="false" localSheetId="9" name="ZA9204" vbProcedure="false">USInf97!$B$284+"aB284"+16929+0+1</definedName>
    <definedName function="false" hidden="false" localSheetId="9" name="ZA9205" vbProcedure="false">USInf97!$B$285+"aB285"+16929+0+1</definedName>
    <definedName function="false" hidden="false" localSheetId="9" name="ZA9206" vbProcedure="false">USInf97!$B$286+"aB286"+16929+0+1</definedName>
    <definedName function="false" hidden="false" localSheetId="9" name="ZA9207" vbProcedure="false">USInf97!$B$287+"aB287"+16929+0+1</definedName>
    <definedName function="false" hidden="false" localSheetId="9" name="ZA9208" vbProcedure="false">USInf97!$B$288+"aB288"+16929+0+1</definedName>
    <definedName function="false" hidden="false" localSheetId="9" name="ZA9209" vbProcedure="false">USInf97!$B$289+"aB289"+16929+0+1</definedName>
    <definedName function="false" hidden="false" localSheetId="9" name="ZA9210" vbProcedure="false">USInf97!$B$290+"aB290"+16929+0+1</definedName>
    <definedName function="false" hidden="false" localSheetId="9" name="ZA9211" vbProcedure="false">USInf97!$B$291+"aB291"+16929+0+1</definedName>
    <definedName function="false" hidden="false" localSheetId="9" name="ZA9212" vbProcedure="false">USInf97!$B$292+"aB292"+16929+0+1</definedName>
    <definedName function="false" hidden="false" localSheetId="9" name="ZA9213" vbProcedure="false">USInf97!$B$293+"aB293"+16929+0+1</definedName>
    <definedName function="false" hidden="false" localSheetId="9" name="ZA9214" vbProcedure="false">USInf97!$B$294+"aB294"+16929+0+1</definedName>
    <definedName function="false" hidden="false" localSheetId="9" name="ZA9215" vbProcedure="false">USInf97!$B$295+"aB295"+16929+0+1</definedName>
    <definedName function="false" hidden="false" localSheetId="9" name="ZA9216" vbProcedure="false">USInf97!$B$296+"aB296"+16929+0+1</definedName>
    <definedName function="false" hidden="false" localSheetId="9" name="ZA9217" vbProcedure="false">USInf97!$B$297+"aB297"+16929+0+1</definedName>
    <definedName function="false" hidden="false" localSheetId="9" name="ZA9218" vbProcedure="false">USInf97!$B$298+"aB298"+16929+0+1</definedName>
    <definedName function="false" hidden="false" localSheetId="9" name="ZA9219" vbProcedure="false">USInf97!$B$299+"aB299"+16929+0+1</definedName>
    <definedName function="false" hidden="false" localSheetId="9" name="ZA9220" vbProcedure="false">USInf97!$B$300+"aB300"+16929+0+1</definedName>
    <definedName function="false" hidden="false" localSheetId="9" name="ZA9221" vbProcedure="false">USInf97!$B$301+"aB301"+16929+0+1</definedName>
    <definedName function="false" hidden="false" localSheetId="9" name="ZA9222" vbProcedure="false">USInf97!$B$302+"aB302"+16929+0+1</definedName>
    <definedName function="false" hidden="false" localSheetId="9" name="ZA9223" vbProcedure="false">USInf97!$B$303+"aB303"+16929+0+1</definedName>
    <definedName function="false" hidden="false" localSheetId="9" name="ZA9224" vbProcedure="false">USInf97!$B$304+"aB304"+16929+0+1</definedName>
    <definedName function="false" hidden="false" localSheetId="9" name="ZA9225" vbProcedure="false">USInf97!$B$305+"aB305"+16929+0+1</definedName>
    <definedName function="false" hidden="false" localSheetId="9" name="ZA9226" vbProcedure="false">USInf97!$B$306+"aB306"+16929+0+1</definedName>
    <definedName function="false" hidden="false" localSheetId="9" name="ZA9227" vbProcedure="false">USInf97!$B$307+"aB307"+16929+0+1</definedName>
    <definedName function="false" hidden="false" localSheetId="9" name="ZA9228" vbProcedure="false">USInf97!$B$308+"aB308"+16929+0+1</definedName>
    <definedName function="false" hidden="false" localSheetId="9" name="ZA9229" vbProcedure="false">USInf97!$B$309+"aB309"+16929+0+1</definedName>
    <definedName function="false" hidden="false" localSheetId="9" name="ZA9230" vbProcedure="false">USInf97!$B$310+"aB310"+16929+0+1</definedName>
    <definedName function="false" hidden="false" localSheetId="9" name="ZA9231" vbProcedure="false">USInf97!$B$311+"aB311"+16929+0+1</definedName>
    <definedName function="false" hidden="false" localSheetId="9" name="ZA9232" vbProcedure="false">USInf97!$B$312+"aB312"+16929+0+1</definedName>
    <definedName function="false" hidden="false" localSheetId="9" name="ZA9233" vbProcedure="false">USInf97!$B$313+"aB313"+16929+0+1</definedName>
    <definedName function="false" hidden="false" localSheetId="9" name="ZA9234" vbProcedure="false">USInf97!$B$314+"aB314"+16929+0+1</definedName>
    <definedName function="false" hidden="false" localSheetId="9" name="ZA9235" vbProcedure="false">USInf97!$B$315+"aB315"+16929+0+1</definedName>
    <definedName function="false" hidden="false" localSheetId="9" name="ZA9236" vbProcedure="false">USInf97!$B$316+"aB316"+16929+0+1</definedName>
    <definedName function="false" hidden="false" localSheetId="9" name="ZA9237" vbProcedure="false">USInf97!$B$317+"aB317"+16929+0+1</definedName>
    <definedName function="false" hidden="false" localSheetId="9" name="ZA9238" vbProcedure="false">USInf97!$B$318+"aB318"+16929+0+1</definedName>
    <definedName function="false" hidden="false" localSheetId="9" name="ZA9239" vbProcedure="false">USInf97!$B$319+"aB319"+16929+0+1</definedName>
    <definedName function="false" hidden="false" localSheetId="9" name="ZA9240" vbProcedure="false">USInf97!$B$320+"aB320"+16929+0+1</definedName>
    <definedName function="false" hidden="false" localSheetId="9" name="ZA9241" vbProcedure="false">USInf97!$B$321+"aB321"+16929+0+1</definedName>
    <definedName function="false" hidden="false" localSheetId="9" name="ZA9242" vbProcedure="false">USInf97!$B$322+"aB322"+16929+0+1</definedName>
    <definedName function="false" hidden="false" localSheetId="9" name="ZA9243" vbProcedure="false">USInf97!$B$323+"aB323"+16929+0+1</definedName>
    <definedName function="false" hidden="false" localSheetId="9" name="ZA9244" vbProcedure="false">USInf97!$B$324+"aB324"+16929+0+1</definedName>
    <definedName function="false" hidden="false" localSheetId="9" name="ZA9245" vbProcedure="false">USInf97!$B$325+"aB325"+16929+0+1</definedName>
    <definedName function="false" hidden="false" localSheetId="9" name="ZA9246" vbProcedure="false">USInf97!$B$326+"aB326"+16929+0+1</definedName>
    <definedName function="false" hidden="false" localSheetId="9" name="ZA9247" vbProcedure="false">USInf97!$B$327+"aB327"+16929+0+1</definedName>
    <definedName function="false" hidden="false" localSheetId="9" name="ZA9248" vbProcedure="false">USInf97!$B$328+"aB328"+16929+0+1</definedName>
    <definedName function="false" hidden="false" localSheetId="9" name="ZA9249" vbProcedure="false">USInf97!$B$329+"aB329"+16929+0+1</definedName>
    <definedName function="false" hidden="false" localSheetId="9" name="ZA9250" vbProcedure="false">USInf97!$B$330+"aB330"+16929+0+1</definedName>
    <definedName function="false" hidden="false" localSheetId="9" name="ZA9251" vbProcedure="false">USInf97!$B$331+"aB331"+16929+0+1</definedName>
    <definedName function="false" hidden="false" localSheetId="9" name="ZA9252" vbProcedure="false">USInf97!$B$332+"aB332"+16929+0+1</definedName>
    <definedName function="false" hidden="false" localSheetId="9" name="ZA9253" vbProcedure="false">USInf97!$B$333+"aB333"+16929+0+1</definedName>
    <definedName function="false" hidden="false" localSheetId="9" name="ZA9254" vbProcedure="false">USInf97!$B$334+"aB334"+16929+0+1</definedName>
    <definedName function="false" hidden="false" localSheetId="9" name="ZA9255" vbProcedure="false">USInf97!$B$335+"aB335"+16929+0+1</definedName>
    <definedName function="false" hidden="false" localSheetId="9" name="ZA9256" vbProcedure="false">USInf97!$B$336+"aB336"+16929+0+1</definedName>
    <definedName function="false" hidden="false" localSheetId="9" name="ZA9257" vbProcedure="false">USInf97!$B$337+"aB337"+16929+0+1</definedName>
    <definedName function="false" hidden="false" localSheetId="9" name="ZA9258" vbProcedure="false">USInf97!$B$338+"aB338"+16929+0+1</definedName>
    <definedName function="false" hidden="false" localSheetId="9" name="ZA9259" vbProcedure="false">USInf97!$B$339+"aB339"+16929+0+1</definedName>
    <definedName function="false" hidden="false" localSheetId="9" name="ZA9260" vbProcedure="false">USInf97!$B$340+"aB340"+16929+0+1</definedName>
    <definedName function="false" hidden="false" localSheetId="9" name="ZA9261" vbProcedure="false">USInf97!$B$341+"aB341"+16929+0+1</definedName>
    <definedName function="false" hidden="false" localSheetId="9" name="ZA9262" vbProcedure="false">USInf97!$B$342+"aB342"+16929+0+1</definedName>
    <definedName function="false" hidden="false" localSheetId="9" name="ZA9263" vbProcedure="false">USInf97!$B$343+"aB343"+16929+0+1</definedName>
    <definedName function="false" hidden="false" localSheetId="9" name="ZA9264" vbProcedure="false">USInf97!$B$344+"aB344"+16929+0+1</definedName>
    <definedName function="false" hidden="false" localSheetId="9" name="ZA9265" vbProcedure="false">USInf97!$B$345+"aB345"+16929+0+1</definedName>
    <definedName function="false" hidden="false" localSheetId="9" name="ZA9266" vbProcedure="false">USInf97!$B$346+"aB346"+16929+0+1</definedName>
    <definedName function="false" hidden="false" localSheetId="9" name="ZA9267" vbProcedure="false">USInf97!$B$347+"aB347"+16929+0+1</definedName>
    <definedName function="false" hidden="false" localSheetId="9" name="ZA9268" vbProcedure="false">USInf97!$B$348+"aB348"+16929+0+1</definedName>
    <definedName function="false" hidden="false" localSheetId="9" name="ZA9269" vbProcedure="false">USInf97!$B$349+"aB349"+16929+0+1</definedName>
    <definedName function="false" hidden="false" localSheetId="9" name="ZA9270" vbProcedure="false">USInf97!$B$350+"aB350"+16929+0+1</definedName>
    <definedName function="false" hidden="false" localSheetId="9" name="ZA9271" vbProcedure="false">USInf97!$B$351+"aB351"+16929+0+1</definedName>
    <definedName function="false" hidden="false" localSheetId="9" name="ZA9272" vbProcedure="false">USInf97!$B$352+"aB352"+16929+0+1</definedName>
    <definedName function="false" hidden="false" localSheetId="9" name="ZA9273" vbProcedure="false">USInf97!$B$353+"aB353"+16929+0+1</definedName>
    <definedName function="false" hidden="false" localSheetId="9" name="ZA9274" vbProcedure="false">USInf97!$B$354+"aB354"+16929+0+1</definedName>
    <definedName function="false" hidden="false" localSheetId="9" name="ZA9275" vbProcedure="false">USInf97!$B$355+"aB355"+16929+0+1</definedName>
    <definedName function="false" hidden="false" localSheetId="9" name="ZA9276" vbProcedure="false">USInf97!$B$356+"aB356"+16929+0+1</definedName>
    <definedName function="false" hidden="false" localSheetId="9" name="ZA9277" vbProcedure="false">USInf97!$B$357+"aB357"+16929+0+1</definedName>
    <definedName function="false" hidden="false" localSheetId="9" name="ZA9278" vbProcedure="false">USInf97!$B$358+"aB358"+16929+0+1</definedName>
    <definedName function="false" hidden="false" localSheetId="9" name="ZA9279" vbProcedure="false">USInf97!$B$359+"aB359"+16929+0+1</definedName>
    <definedName function="false" hidden="false" localSheetId="9" name="ZA9280" vbProcedure="false">USInf97!$B$360+"aB360"+16929+0+1</definedName>
    <definedName function="false" hidden="false" localSheetId="9" name="ZA9281" vbProcedure="false">USInf97!$B$361+"aB361"+16929+0+1</definedName>
    <definedName function="false" hidden="false" localSheetId="9" name="ZA9282" vbProcedure="false">USInf97!$B$362+"aB362"+16929+0+1</definedName>
    <definedName function="false" hidden="false" localSheetId="9" name="ZA9283" vbProcedure="false">USInf97!$B$363+"aB363"+16929+0+1</definedName>
    <definedName function="false" hidden="false" localSheetId="9" name="ZA9284" vbProcedure="false">USInf97!$B$364+"aB364"+16929+0+1</definedName>
    <definedName function="false" hidden="false" localSheetId="9" name="ZA9285" vbProcedure="false">USInf97!$B$365+"aB365"+16929+0+1</definedName>
    <definedName function="false" hidden="false" localSheetId="9" name="ZA9286" vbProcedure="false">USInf97!$B$366+"aB366"+16929+0+1</definedName>
    <definedName function="false" hidden="false" localSheetId="9" name="ZA9287" vbProcedure="false">USInf97!$B$367+"aB367"+16929+0+1</definedName>
    <definedName function="false" hidden="false" localSheetId="9" name="ZA9288" vbProcedure="false">USInf97!$B$368+"aB368"+16929+0+1</definedName>
    <definedName function="false" hidden="false" localSheetId="9" name="ZA9289" vbProcedure="false">USInf97!$B$369+"aB369"+16929+0+1</definedName>
    <definedName function="false" hidden="false" localSheetId="9" name="ZA9290" vbProcedure="false">USInf97!$B$370+"aB370"+16929+0+1</definedName>
    <definedName function="false" hidden="false" localSheetId="9" name="ZA9291" vbProcedure="false">USInf97!$B$371+"aB371"+16929+0+1</definedName>
    <definedName function="false" hidden="false" localSheetId="9" name="ZA9292" vbProcedure="false">USInf97!$B$372+"aB372"+16929+0+1</definedName>
    <definedName function="false" hidden="false" localSheetId="9" name="ZA9293" vbProcedure="false">USInf97!$B$373+"aB373"+16929+0+1</definedName>
    <definedName function="false" hidden="false" localSheetId="9" name="ZA9294" vbProcedure="false">USInf97!$B$374+"aB374"+16929+0+1</definedName>
    <definedName function="false" hidden="false" localSheetId="9" name="ZA9295" vbProcedure="false">USInf97!$B$375+"aB375"+16929+0+1</definedName>
    <definedName function="false" hidden="false" localSheetId="9" name="ZA9296" vbProcedure="false">USInf97!$B$376+"aB376"+16929+0+1</definedName>
    <definedName function="false" hidden="false" localSheetId="9" name="ZA9297" vbProcedure="false">USInf97!$B$377+"aB377"+16929+0+1</definedName>
    <definedName function="false" hidden="false" localSheetId="9" name="ZA9298" vbProcedure="false">USInf97!$B$378+"aB378"+16929+0+1</definedName>
    <definedName function="false" hidden="false" localSheetId="9" name="ZA9299" vbProcedure="false">USInf97!$B$379+"aB379"+16929+0+1</definedName>
    <definedName function="false" hidden="false" localSheetId="9" name="ZA9300" vbProcedure="false">USInf97!$B$380+"aB380"+16929+0+1</definedName>
    <definedName function="false" hidden="false" localSheetId="9" name="ZA9301" vbProcedure="false">USInf97!$B$381+"aB381"+16929+0+1</definedName>
    <definedName function="false" hidden="false" localSheetId="9" name="ZA9302" vbProcedure="false">USInf97!$B$382+"aB382"+16929+0+1</definedName>
    <definedName function="false" hidden="false" localSheetId="9" name="ZA9303" vbProcedure="false">USInf97!$B$383+"aB383"+16929+0+1</definedName>
    <definedName function="false" hidden="false" localSheetId="9" name="ZA9304" vbProcedure="false">USInf97!$B$384+"aB384"+16929+0+1</definedName>
    <definedName function="false" hidden="false" localSheetId="9" name="ZA9305" vbProcedure="false">USInf97!$B$385+"aB385"+16929+0+1</definedName>
    <definedName function="false" hidden="false" localSheetId="9" name="ZA9306" vbProcedure="false">USInf97!$B$386+"aB386"+16929+0+1</definedName>
    <definedName function="false" hidden="false" localSheetId="9" name="ZA9307" vbProcedure="false">USInf97!$B$387+"aB387"+16929+0+1</definedName>
    <definedName function="false" hidden="false" localSheetId="9" name="ZA9308" vbProcedure="false">USInf97!$B$388+"aB388"+16929+0+1</definedName>
    <definedName function="false" hidden="false" localSheetId="9" name="ZA9309" vbProcedure="false">USInf97!$B$389+"aB389"+16929+0+1</definedName>
    <definedName function="false" hidden="false" localSheetId="9" name="ZA9310" vbProcedure="false">USInf97!$B$390+"aB390"+16929+0+1</definedName>
    <definedName function="false" hidden="false" localSheetId="9" name="ZA9311" vbProcedure="false">USInf97!$B$391+"aB391"+16929+0+1</definedName>
    <definedName function="false" hidden="false" localSheetId="9" name="ZA9312" vbProcedure="false">USInf97!$B$392+"aB392"+16929+0+1</definedName>
    <definedName function="false" hidden="false" localSheetId="9" name="ZA9313" vbProcedure="false">USInf97!$B$393+"aB393"+16929+0+1</definedName>
    <definedName function="false" hidden="false" localSheetId="9" name="ZA9314" vbProcedure="false">USInf97!$B$394+"aB394"+16929+0+1</definedName>
    <definedName function="false" hidden="false" localSheetId="9" name="ZA9315" vbProcedure="false">USInf97!$B$395+"aB395"+16929+0+1</definedName>
    <definedName function="false" hidden="false" localSheetId="9" name="ZA9316" vbProcedure="false">USInf97!$B$396+"aB396"+16929+0+1</definedName>
    <definedName function="false" hidden="false" localSheetId="9" name="ZA9317" vbProcedure="false">USInf97!$B$397+"aB397"+16929+0+1</definedName>
    <definedName function="false" hidden="false" localSheetId="9" name="ZA9318" vbProcedure="false">USInf97!$B$398+"aB398"+16929+0+1</definedName>
    <definedName function="false" hidden="false" localSheetId="9" name="ZA9319" vbProcedure="false">USInf97!$B$399+"aB399"+16929+0+1</definedName>
    <definedName function="false" hidden="false" localSheetId="9" name="ZA9320" vbProcedure="false">USInf97!$B$400+"aB400"+16929+0+1</definedName>
    <definedName function="false" hidden="false" localSheetId="9" name="ZA9321" vbProcedure="false">USInf97!$B$401+"aB401"+16929+0+1</definedName>
    <definedName function="false" hidden="false" localSheetId="9" name="ZA9322" vbProcedure="false">USInf97!$B$402+"aB402"+16929+0+1</definedName>
    <definedName function="false" hidden="false" localSheetId="9" name="ZA9323" vbProcedure="false">USInf97!$B$403+"aB403"+16929+0+1</definedName>
    <definedName function="false" hidden="false" localSheetId="9" name="ZA9324" vbProcedure="false">USInf97!$B$404+"aB404"+16929+0+1</definedName>
    <definedName function="false" hidden="false" localSheetId="9" name="ZA9325" vbProcedure="false">USInf97!$B$405+"aB405"+16929+0+1</definedName>
    <definedName function="false" hidden="false" localSheetId="9" name="ZA9326" vbProcedure="false">USInf97!$B$406+"aB406"+16929+0+1</definedName>
    <definedName function="false" hidden="false" localSheetId="9" name="ZA9327" vbProcedure="false">USInf97!$B$407+"aB407"+16929+0+1</definedName>
    <definedName function="false" hidden="false" localSheetId="9" name="ZA9328" vbProcedure="false">USInf97!$B$408+"aB408"+16929+0+1</definedName>
    <definedName function="false" hidden="false" localSheetId="9" name="ZA9329" vbProcedure="false">USInf97!$B$409+"aB409"+16929+0+1</definedName>
    <definedName function="false" hidden="false" localSheetId="9" name="ZA9330" vbProcedure="false">USInf97!$B$410+"aB410"+16929+0+1</definedName>
    <definedName function="false" hidden="false" localSheetId="9" name="ZA9331" vbProcedure="false">USInf97!$B$411+"aB411"+16929+0+1</definedName>
    <definedName function="false" hidden="false" localSheetId="9" name="ZA9332" vbProcedure="false">USInf97!$B$412+"aB412"+16929+0+1</definedName>
    <definedName function="false" hidden="false" localSheetId="9" name="ZA9333" vbProcedure="false">USInf97!$B$413+"aB413"+16929+0+1</definedName>
    <definedName function="false" hidden="false" localSheetId="9" name="ZA9334" vbProcedure="false">USInf97!$B$414+"aB414"+16929+0+1</definedName>
    <definedName function="false" hidden="false" localSheetId="9" name="ZA9335" vbProcedure="false">USInf97!$B$415+"aB415"+16929+0+1</definedName>
    <definedName function="false" hidden="false" localSheetId="9" name="ZA9336" vbProcedure="false">USInf97!$B$416+"aB416"+16929+0+1</definedName>
    <definedName function="false" hidden="false" localSheetId="9" name="ZA9337" vbProcedure="false">USInf97!$B$417+"aB417"+16929+0+1</definedName>
    <definedName function="false" hidden="false" localSheetId="9" name="ZA9338" vbProcedure="false">USInf97!$B$418+"aB418"+16929+0+1</definedName>
    <definedName function="false" hidden="false" localSheetId="9" name="ZA9339" vbProcedure="false">USInf97!$B$419+"aB419"+16929+0+1</definedName>
    <definedName function="false" hidden="false" localSheetId="9" name="ZA9340" vbProcedure="false">USInf97!$B$420+"aB420"+16929+0+1</definedName>
    <definedName function="false" hidden="false" localSheetId="9" name="ZA9341" vbProcedure="false">USInf97!$B$421+"aB421"+16929+0+1</definedName>
    <definedName function="false" hidden="false" localSheetId="9" name="ZA9342" vbProcedure="false">USInf97!$B$422+"aB422"+16929+0+1</definedName>
    <definedName function="false" hidden="false" localSheetId="9" name="ZA9343" vbProcedure="false">USInf97!$B$423+"aB423"+16929+0+1</definedName>
    <definedName function="false" hidden="false" localSheetId="9" name="ZA9344" vbProcedure="false">USInf97!$B$424+"aB424"+16929+0+1</definedName>
    <definedName function="false" hidden="false" localSheetId="9" name="ZA9345" vbProcedure="false">USInf97!$B$425+"aB425"+16929+0+1</definedName>
    <definedName function="false" hidden="false" localSheetId="9" name="ZA9346" vbProcedure="false">USInf97!$B$426+"aB426"+16929+0+1</definedName>
    <definedName function="false" hidden="false" localSheetId="9" name="ZA9347" vbProcedure="false">USInf97!$B$427+"aB427"+16929+0+1</definedName>
    <definedName function="false" hidden="false" localSheetId="9" name="ZA9348" vbProcedure="false">USInf97!$B$428+"aB428"+16929+0+1</definedName>
    <definedName function="false" hidden="false" localSheetId="9" name="ZA9349" vbProcedure="false">USInf97!$B$429+"aB429"+16929+0+1</definedName>
    <definedName function="false" hidden="false" localSheetId="9" name="ZA9350" vbProcedure="false">USInf97!$B$430+"aB430"+16929+0+1</definedName>
    <definedName function="false" hidden="false" localSheetId="9" name="ZA9351" vbProcedure="false">USInf97!$B$431+"aB431"+16929+0+1</definedName>
    <definedName function="false" hidden="false" localSheetId="9" name="ZA9352" vbProcedure="false">USInf97!$B$432+"aB432"+16929+0+1</definedName>
    <definedName function="false" hidden="false" localSheetId="9" name="ZA9353" vbProcedure="false">USInf97!$B$433+"aB433"+16929+0+1</definedName>
    <definedName function="false" hidden="false" localSheetId="9" name="ZA9354" vbProcedure="false">USInf97!$B$434+"aB434"+16929+0+1</definedName>
    <definedName function="false" hidden="false" localSheetId="9" name="ZA9355" vbProcedure="false">USInf97!$B$435+"aB435"+16929+0+1</definedName>
    <definedName function="false" hidden="false" localSheetId="9" name="ZA9356" vbProcedure="false">USInf97!$B$436+"aB436"+16929+0+1</definedName>
    <definedName function="false" hidden="false" localSheetId="9" name="ZA9357" vbProcedure="false">USInf97!$B$437+"aB437"+16929+0+1</definedName>
    <definedName function="false" hidden="false" localSheetId="9" name="ZA9358" vbProcedure="false">USInf97!$B$438+"aB438"+16929+0+1</definedName>
    <definedName function="false" hidden="false" localSheetId="9" name="ZA9359" vbProcedure="false">USInf97!$B$439+"aB439"+16929+0+1</definedName>
    <definedName function="false" hidden="false" localSheetId="9" name="ZA9360" vbProcedure="false">USInf97!$B$440+"aB440"+16929+0+1</definedName>
    <definedName function="false" hidden="false" localSheetId="9" name="ZA9361" vbProcedure="false">USInf97!$B$441+"aB441"+16929+0+1</definedName>
    <definedName function="false" hidden="false" localSheetId="9" name="ZA9362" vbProcedure="false">USInf97!$B$442+"aB442"+16929+0+1</definedName>
    <definedName function="false" hidden="false" localSheetId="9" name="ZA9363" vbProcedure="false">USInf97!$B$443+"aB443"+16929+0+1</definedName>
    <definedName function="false" hidden="false" localSheetId="9" name="ZA9364" vbProcedure="false">USInf97!$B$444+"aB444"+16929+0+1</definedName>
    <definedName function="false" hidden="false" localSheetId="9" name="ZA9365" vbProcedure="false">USInf97!$B$445+"aB445"+16929+0+1</definedName>
    <definedName function="false" hidden="false" localSheetId="9" name="ZA9366" vbProcedure="false">USInf97!$B$446+"aB446"+16929+0+1</definedName>
    <definedName function="false" hidden="false" localSheetId="9" name="ZA9367" vbProcedure="false">USInf97!$B$447+"aB447"+16929+0+1</definedName>
    <definedName function="false" hidden="false" localSheetId="9" name="ZA9368" vbProcedure="false">USInf97!$B$448+"aB448"+16929+0+1</definedName>
    <definedName function="false" hidden="false" localSheetId="9" name="ZA9369" vbProcedure="false">USInf97!$B$449+"aB449"+16929+0+1</definedName>
    <definedName function="false" hidden="false" localSheetId="9" name="ZA9370" vbProcedure="false">USInf97!$B$450+"aB450"+16929+0+1</definedName>
    <definedName function="false" hidden="false" localSheetId="9" name="ZA9371" vbProcedure="false">USInf97!$B$451+"aB451"+16929+0+1</definedName>
    <definedName function="false" hidden="false" localSheetId="9" name="ZA9372" vbProcedure="false">USInf97!$B$452+"aB452"+16929+0+1</definedName>
    <definedName function="false" hidden="false" localSheetId="9" name="ZA9373" vbProcedure="false">USInf97!$B$453+"aB453"+16929+0+1</definedName>
    <definedName function="false" hidden="false" localSheetId="9" name="ZA9374" vbProcedure="false">USInf97!$B$454+"aB454"+16929+0+1</definedName>
    <definedName function="false" hidden="false" localSheetId="9" name="ZA9375" vbProcedure="false">USInf97!$B$455+"aB455"+16929+0+1</definedName>
    <definedName function="false" hidden="false" localSheetId="9" name="ZA9376" vbProcedure="false">USInf97!$B$456+"aB456"+16929+0+1</definedName>
    <definedName function="false" hidden="false" localSheetId="9" name="ZA9377" vbProcedure="false">USInf97!$B$457+"aB457"+16929+0+1</definedName>
    <definedName function="false" hidden="false" localSheetId="9" name="ZA9378" vbProcedure="false">USInf97!$B$458+"aB458"+16929+0+1</definedName>
    <definedName function="false" hidden="false" localSheetId="9" name="ZA9379" vbProcedure="false">USInf97!$B$459+"aB459"+16929+0+1</definedName>
    <definedName function="false" hidden="false" localSheetId="9" name="ZA9380" vbProcedure="false">USInf97!$B$460+"aB460"+16929+0+1</definedName>
    <definedName function="false" hidden="false" localSheetId="9" name="ZA9381" vbProcedure="false">USInf97!$B$461+"aB461"+16929+0+1</definedName>
    <definedName function="false" hidden="false" localSheetId="9" name="ZA9382" vbProcedure="false">USInf97!$B$462+"aB462"+16929+0+1</definedName>
    <definedName function="false" hidden="false" localSheetId="9" name="ZA9383" vbProcedure="false">USInf97!$B$463+"aB463"+16929+0+1</definedName>
    <definedName function="false" hidden="false" localSheetId="9" name="ZA9384" vbProcedure="false">USInf97!$B$464+"aB464"+16929+0+1</definedName>
    <definedName function="false" hidden="false" localSheetId="9" name="ZA9385" vbProcedure="false">USInf97!$B$465+"aB465"+16929+0+1</definedName>
    <definedName function="false" hidden="false" localSheetId="9" name="ZA9386" vbProcedure="false">USInf97!$B$466+"aB466"+16929+0+1</definedName>
    <definedName function="false" hidden="false" localSheetId="9" name="ZA9387" vbProcedure="false">USInf97!$B$467+"aB467"+16929+0+1</definedName>
    <definedName function="false" hidden="false" localSheetId="9" name="ZA9388" vbProcedure="false">USInf97!$B$468+"aB468"+16929+0+1</definedName>
    <definedName function="false" hidden="false" localSheetId="9" name="ZA9389" vbProcedure="false">USInf97!$B$469+"aB469"+16929+0+1</definedName>
    <definedName function="false" hidden="false" localSheetId="9" name="ZA9390" vbProcedure="false">USInf97!$B$470+"aB470"+16929+0+1</definedName>
    <definedName function="false" hidden="false" localSheetId="9" name="ZA9391" vbProcedure="false">USInf97!$B$471+"aB471"+16929+0+1</definedName>
    <definedName function="false" hidden="false" localSheetId="9" name="ZA9392" vbProcedure="false">USInf97!$B$472+"aB472"+16929+0+1</definedName>
    <definedName function="false" hidden="false" localSheetId="9" name="ZA9393" vbProcedure="false">USInf97!$B$473+"aB473"+16929+0+1</definedName>
    <definedName function="false" hidden="false" localSheetId="9" name="ZA9394" vbProcedure="false">USInf97!$B$474+"aB474"+16929+0+1</definedName>
    <definedName function="false" hidden="false" localSheetId="9" name="ZA9395" vbProcedure="false">USInf97!$B$475+"aB475"+16929+0+1</definedName>
    <definedName function="false" hidden="false" localSheetId="9" name="ZA9396" vbProcedure="false">USInf97!$B$476+"aB476"+16929+0+1</definedName>
    <definedName function="false" hidden="false" localSheetId="9" name="ZA9397" vbProcedure="false">USInf97!$B$477+"aB477"+16929+0+1</definedName>
    <definedName function="false" hidden="false" localSheetId="9" name="ZA9398" vbProcedure="false">USInf97!$B$478+"aB478"+16929+0+1</definedName>
    <definedName function="false" hidden="false" localSheetId="9" name="ZA9399" vbProcedure="false">USInf97!$B$479+"aB479"+16929+0+1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D4" authorId="0">
      <text>
        <r>
          <rPr>
            <b val="true"/>
            <sz val="8"/>
            <color rgb="FF000000"/>
            <rFont val="Tahoma"/>
            <family val="0"/>
          </rPr>
          <t xml:space="preserve">ENRON:
</t>
        </r>
        <r>
          <rPr>
            <sz val="8"/>
            <color rgb="FF000000"/>
            <rFont val="Tahoma"/>
            <family val="0"/>
          </rPr>
          <t xml:space="preserve">find out actual from Farhad!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16</xdr:colOff>
                <xdr:row>2</xdr:row>
                <xdr:rowOff>8</xdr:rowOff>
              </xdr:from>
              <xdr:to>
                <xdr:col>5</xdr:col>
                <xdr:colOff>64</xdr:colOff>
                <xdr:row>6</xdr:row>
                <xdr:rowOff>3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F25" authorId="0">
      <text>
        <r>
          <rPr>
            <b val="true"/>
            <sz val="8"/>
            <color rgb="FF000000"/>
            <rFont val="Tahoma"/>
            <family val="0"/>
          </rPr>
          <t xml:space="preserve">ENRON:
</t>
        </r>
        <r>
          <rPr>
            <sz val="8"/>
            <color rgb="FF000000"/>
            <rFont val="Tahoma"/>
            <family val="0"/>
          </rPr>
          <t xml:space="preserve">prices given were as of 2000, but according to N. Will, shipping costs are locked in for a couple years.  Therefore, only escalated O&amp;M and Voyage Costs by 1 year to come up with a 2003 equivalent number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16</xdr:colOff>
                <xdr:row>24</xdr:row>
                <xdr:rowOff>0</xdr:rowOff>
              </xdr:from>
              <xdr:to>
                <xdr:col>7</xdr:col>
                <xdr:colOff>70</xdr:colOff>
                <xdr:row>28</xdr:row>
                <xdr:rowOff>18</xdr:rowOff>
              </xdr:to>
            </anchor>
          </commentPr>
        </mc:Choice>
        <mc:Fallback/>
      </mc:AlternateContent>
    </comment>
    <comment ref="F30" authorId="0">
      <text>
        <r>
          <rPr>
            <b val="true"/>
            <sz val="8"/>
            <color rgb="FF000000"/>
            <rFont val="Tahoma"/>
            <family val="0"/>
          </rPr>
          <t xml:space="preserve">ENRON:
</t>
        </r>
        <r>
          <rPr>
            <sz val="8"/>
            <color rgb="FF000000"/>
            <rFont val="Tahoma"/>
            <family val="0"/>
          </rPr>
          <t xml:space="preserve">prices given were as of 2000, but according to N. Will, shipping costs are locked in for a couple years.  Therefore, only escalated O&amp;M and Voyage Costs by 1 year to come up with a 2003 equivalent number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16</xdr:colOff>
                <xdr:row>29</xdr:row>
                <xdr:rowOff>0</xdr:rowOff>
              </xdr:from>
              <xdr:to>
                <xdr:col>7</xdr:col>
                <xdr:colOff>70</xdr:colOff>
                <xdr:row>32</xdr:row>
                <xdr:rowOff>17</xdr:rowOff>
              </xdr:to>
            </anchor>
          </commentPr>
        </mc:Choice>
        <mc:Fallback/>
      </mc:AlternateContent>
    </comment>
  </commentList>
</comments>
</file>

<file path=xl/comments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0" authorId="0">
      <text>
        <r>
          <rPr>
            <b val="true"/>
            <sz val="8"/>
            <color rgb="FF000000"/>
            <rFont val="Tahoma"/>
            <family val="0"/>
          </rPr>
          <t xml:space="preserve">ENRON:
</t>
        </r>
        <r>
          <rPr>
            <sz val="8"/>
            <color rgb="FF000000"/>
            <rFont val="Tahoma"/>
            <family val="0"/>
          </rPr>
          <t xml:space="preserve">Please note that the start year has been hardcoded (not linked to Yrs 1-5 at all); Also note that Cargoes b/w Algeria &amp; Abu Dhabi were prorated according to Ratio set in Cargoes for Yrs 1-5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18</xdr:row>
                <xdr:rowOff>8</xdr:rowOff>
              </xdr:from>
              <xdr:to>
                <xdr:col>3</xdr:col>
                <xdr:colOff>59</xdr:colOff>
                <xdr:row>25</xdr:row>
                <xdr:rowOff>3</xdr:rowOff>
              </xdr:to>
            </anchor>
          </commentPr>
        </mc:Choice>
        <mc:Fallback/>
      </mc:AlternateContent>
    </comment>
    <comment ref="K192" authorId="0">
      <text>
        <r>
          <rPr>
            <b val="true"/>
            <sz val="8"/>
            <color rgb="FF000000"/>
            <rFont val="Tahoma"/>
            <family val="0"/>
          </rPr>
          <t xml:space="preserve">ENRON:
</t>
        </r>
        <r>
          <rPr>
            <sz val="8"/>
            <color rgb="FF000000"/>
            <rFont val="Tahoma"/>
            <family val="0"/>
          </rPr>
          <t xml:space="preserve">note that these are pv'd at 10%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190</xdr:row>
                <xdr:rowOff>13</xdr:rowOff>
              </xdr:from>
              <xdr:to>
                <xdr:col>12</xdr:col>
                <xdr:colOff>79</xdr:colOff>
                <xdr:row>195</xdr:row>
                <xdr:rowOff>4</xdr:rowOff>
              </xdr:to>
            </anchor>
          </commentPr>
        </mc:Choice>
        <mc:Fallback/>
      </mc:AlternateContent>
    </comment>
    <comment ref="K194" authorId="0">
      <text>
        <r>
          <rPr>
            <b val="true"/>
            <sz val="8"/>
            <color rgb="FF000000"/>
            <rFont val="Tahoma"/>
            <family val="0"/>
          </rPr>
          <t xml:space="preserve">ENRON:
</t>
        </r>
        <r>
          <rPr>
            <sz val="8"/>
            <color rgb="FF000000"/>
            <rFont val="Tahoma"/>
            <family val="0"/>
          </rPr>
          <t xml:space="preserve">note that these are pv'd at 10%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192</xdr:row>
                <xdr:rowOff>15</xdr:rowOff>
              </xdr:from>
              <xdr:to>
                <xdr:col>12</xdr:col>
                <xdr:colOff>79</xdr:colOff>
                <xdr:row>196</xdr:row>
                <xdr:rowOff>15</xdr:rowOff>
              </xdr:to>
            </anchor>
          </commentPr>
        </mc:Choice>
        <mc:Fallback/>
      </mc:AlternateContent>
    </comment>
  </commentList>
</comments>
</file>

<file path=xl/comments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N24" authorId="0">
      <text>
        <r>
          <rPr>
            <sz val="8"/>
            <color rgb="FF000000"/>
            <rFont val="Tahoma"/>
            <family val="0"/>
          </rPr>
          <t xml:space="preserve">Set average manually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16</xdr:colOff>
                <xdr:row>22</xdr:row>
                <xdr:rowOff>4</xdr:rowOff>
              </xdr:from>
              <xdr:to>
                <xdr:col>16</xdr:col>
                <xdr:colOff>56</xdr:colOff>
                <xdr:row>27</xdr:row>
                <xdr:rowOff>8</xdr:rowOff>
              </xdr:to>
            </anchor>
          </commentPr>
        </mc:Choice>
        <mc:Fallback/>
      </mc:AlternateContent>
    </comment>
    <comment ref="O24" authorId="0">
      <text>
        <r>
          <rPr>
            <sz val="8"/>
            <color rgb="FF000000"/>
            <rFont val="Tahoma"/>
            <family val="0"/>
          </rPr>
          <t xml:space="preserve">Set average manually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22</xdr:row>
                <xdr:rowOff>4</xdr:rowOff>
              </xdr:from>
              <xdr:to>
                <xdr:col>17</xdr:col>
                <xdr:colOff>35</xdr:colOff>
                <xdr:row>27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<sst xmlns="http://schemas.openxmlformats.org/spreadsheetml/2006/main" count="863" uniqueCount="468">
  <si>
    <t xml:space="preserve">SUMMARY OF NET INCOME AND CASH FLOW ($000)</t>
  </si>
  <si>
    <t xml:space="preserve">ELBA ISLAND WITH HOEGH GALLEON</t>
  </si>
  <si>
    <t xml:space="preserve">Option 1: Resell Capacity to Third Party after Year 5 (20% Probability)</t>
  </si>
  <si>
    <t xml:space="preserve">ECONOMICS AT 17% DISC RT ($MM):</t>
  </si>
  <si>
    <t xml:space="preserve">ASSUMPTIONS:</t>
  </si>
  <si>
    <t xml:space="preserve">Elba Fixed COS:</t>
  </si>
  <si>
    <t xml:space="preserve">MM/Yr</t>
  </si>
  <si>
    <t xml:space="preserve">Variable Cost / MMBtu:</t>
  </si>
  <si>
    <t xml:space="preserve">+ Fuel Costs</t>
  </si>
  <si>
    <t xml:space="preserve">ENE Marketing Costs:</t>
  </si>
  <si>
    <t xml:space="preserve">SPOT</t>
  </si>
  <si>
    <t xml:space="preserve"># of Cargoes</t>
  </si>
  <si>
    <t xml:space="preserve">Avg Tariff</t>
  </si>
  <si>
    <t xml:space="preserve">CARGOES</t>
  </si>
  <si>
    <t xml:space="preserve">Yrs 1-5</t>
  </si>
  <si>
    <t xml:space="preserve">Yrs 6-20</t>
  </si>
  <si>
    <t xml:space="preserve">Algeria</t>
  </si>
  <si>
    <t xml:space="preserve">N/A</t>
  </si>
  <si>
    <t xml:space="preserve">Middle East</t>
  </si>
  <si>
    <t xml:space="preserve">Total</t>
  </si>
  <si>
    <t xml:space="preserve">Calendar Year</t>
  </si>
  <si>
    <t xml:space="preserve">2008-17 AVG</t>
  </si>
  <si>
    <t xml:space="preserve">Elba Island Months of Operation</t>
  </si>
  <si>
    <t xml:space="preserve">Elba Island Contract Year</t>
  </si>
  <si>
    <t xml:space="preserve">Algeria Spot LNG Throughput (TBTU/Yr)</t>
  </si>
  <si>
    <t xml:space="preserve">Abu Dhabi Spot LNG Throughput (TBTU/Yr)</t>
  </si>
  <si>
    <t xml:space="preserve">Total Spot LNG Throughput (TBTU/Yr)</t>
  </si>
  <si>
    <t xml:space="preserve">REVENUES</t>
  </si>
  <si>
    <t xml:space="preserve">LESS: TERMINALING &amp; MKTG COSTS</t>
  </si>
  <si>
    <t xml:space="preserve">PROJECT PRE-TAX INCOME AND CASH FLOW ($000)</t>
  </si>
  <si>
    <t xml:space="preserve">Option 2: No Spot Cargoes after Year 5, but Pay Full Terminaling Costs (20% Probability)</t>
  </si>
  <si>
    <t xml:space="preserve">Option 3: Acquire Spot Cargoes after Year 5 (60% Probability)</t>
  </si>
  <si>
    <t xml:space="preserve">Most Likely Outcome (Wtd Avg of Options 1, 2, and 3)</t>
  </si>
  <si>
    <t xml:space="preserve">ASSUMPTIONS</t>
  </si>
  <si>
    <t xml:space="preserve">March 30, 2000</t>
  </si>
  <si>
    <t xml:space="preserve">Curves:</t>
  </si>
  <si>
    <t xml:space="preserve">Henry Hub Curve</t>
  </si>
  <si>
    <t xml:space="preserve">Lake Charles Basis</t>
  </si>
  <si>
    <t xml:space="preserve">Elba Basis</t>
  </si>
  <si>
    <t xml:space="preserve">Assumed Avg FOB</t>
  </si>
  <si>
    <t xml:space="preserve">Elba Island Assumptions:</t>
  </si>
  <si>
    <t xml:space="preserve">ENE Share of Facility Capacity</t>
  </si>
  <si>
    <t xml:space="preserve">TBtu/Yr</t>
  </si>
  <si>
    <t xml:space="preserve">Bcf/Yr</t>
  </si>
  <si>
    <t xml:space="preserve">Cargo Assumptions:</t>
  </si>
  <si>
    <t xml:space="preserve">Capacity of 1 Mystic Lady Cargo</t>
  </si>
  <si>
    <t xml:space="preserve">Tbtu/Cargo</t>
  </si>
  <si>
    <t xml:space="preserve">Capacity of 1 NewBuild Cargo</t>
  </si>
  <si>
    <t xml:space="preserve">Shipping Costs:</t>
  </si>
  <si>
    <t xml:space="preserve">Esc as % of CPI:</t>
  </si>
  <si>
    <t xml:space="preserve">Escalation begins in 2003</t>
  </si>
  <si>
    <t xml:space="preserve">Ttl Cost</t>
  </si>
  <si>
    <t xml:space="preserve">Var Cost Only</t>
  </si>
  <si>
    <t xml:space="preserve">Elba Shipping Costs</t>
  </si>
  <si>
    <t xml:space="preserve">Ship Used</t>
  </si>
  <si>
    <t xml:space="preserve">Flat Charter</t>
  </si>
  <si>
    <t xml:space="preserve">O&amp;M Charter</t>
  </si>
  <si>
    <t xml:space="preserve">Voyage Cost</t>
  </si>
  <si>
    <t xml:space="preserve">Total Cost</t>
  </si>
  <si>
    <t xml:space="preserve">Algeria (Arzew)</t>
  </si>
  <si>
    <t xml:space="preserve">Mystic Lady</t>
  </si>
  <si>
    <t xml:space="preserve">Abu Dhabi via Suez Canal</t>
  </si>
  <si>
    <t xml:space="preserve">Newbuild</t>
  </si>
  <si>
    <t xml:space="preserve">Lake Ch Shipping Costs</t>
  </si>
  <si>
    <t xml:space="preserve">Margin:</t>
  </si>
  <si>
    <t xml:space="preserve">Lake Charles ($/MMBtu):</t>
  </si>
  <si>
    <t xml:space="preserve">Terminaling Costs:</t>
  </si>
  <si>
    <t xml:space="preserve">Escalation begins in 1999</t>
  </si>
  <si>
    <t xml:space="preserve">Elba Island:</t>
  </si>
  <si>
    <t xml:space="preserve">Adjustment</t>
  </si>
  <si>
    <t xml:space="preserve">Lake Charles:</t>
  </si>
  <si>
    <t xml:space="preserve">All Yrs</t>
  </si>
  <si>
    <t xml:space="preserve">Flat Cost ($MM/Yr)</t>
  </si>
  <si>
    <t xml:space="preserve">Flat Cost ($/MMBtu)</t>
  </si>
  <si>
    <t xml:space="preserve">Esc Cost ($MM/Yr)</t>
  </si>
  <si>
    <t xml:space="preserve">Esc'd</t>
  </si>
  <si>
    <t xml:space="preserve">Fuel Cost (% of Prev Yr FOB)</t>
  </si>
  <si>
    <t xml:space="preserve">Other Var Cost ($/MMBtu)</t>
  </si>
  <si>
    <t xml:space="preserve">Portion of Savings Given to Enron (vs LNG Supplier) ($/MMBtu):</t>
  </si>
  <si>
    <t xml:space="preserve">ENA Marketing Costs on Non-VZ Volumes ($/MMBtu):</t>
  </si>
  <si>
    <t xml:space="preserve">Esc. Fr 99 as % of CPI:</t>
  </si>
  <si>
    <t xml:space="preserve">Conversion Factor:</t>
  </si>
  <si>
    <t xml:space="preserve">MMBtu/MMScfd</t>
  </si>
  <si>
    <t xml:space="preserve">Discount Rate for PV calculations:</t>
  </si>
  <si>
    <t xml:space="preserve">Probability of Exit Scenarios</t>
  </si>
  <si>
    <t xml:space="preserve">Option 1:  Resell Unutilized Capacity to Third Party</t>
  </si>
  <si>
    <t xml:space="preserve">Option 2:  Pay Full Cost of Service</t>
  </si>
  <si>
    <t xml:space="preserve">Option 3:  Spot Cargoes Forever</t>
  </si>
  <si>
    <t xml:space="preserve">Option 3: Spot Cargoes Received (relative to Gas Price)</t>
  </si>
  <si>
    <t xml:space="preserve">EXHIBIT 1:  ELBA TERMINAL</t>
  </si>
  <si>
    <t xml:space="preserve">PROBABILISTIC MODELING ASSUMPTIONS</t>
  </si>
  <si>
    <t xml:space="preserve">DISTRIBUTION TYPES AND PARAMETER VALUES</t>
  </si>
  <si>
    <t xml:space="preserve">Cash Flows</t>
  </si>
  <si>
    <t xml:space="preserve">Marginal Proability of Default (from SHIFTS)</t>
  </si>
  <si>
    <t xml:space="preserve">RAROC? (no=0)</t>
  </si>
  <si>
    <t xml:space="preserve">Marginal Proability of No Default</t>
  </si>
  <si>
    <t xml:space="preserve">Default this year?  (0=YES, 1=NO)</t>
  </si>
  <si>
    <t xml:space="preserve">Cash flow multiplier (1 = no event, 0 = default)</t>
  </si>
  <si>
    <t xml:space="preserve">Model</t>
  </si>
  <si>
    <t xml:space="preserve">Year 1</t>
  </si>
  <si>
    <t xml:space="preserve">Distribution</t>
  </si>
  <si>
    <t xml:space="preserve">Year 2</t>
  </si>
  <si>
    <t xml:space="preserve">Year 3</t>
  </si>
  <si>
    <t xml:space="preserve">Year 4</t>
  </si>
  <si>
    <t xml:space="preserve">Year 5</t>
  </si>
  <si>
    <t xml:space="preserve">Algeria Cargoes/year</t>
  </si>
  <si>
    <t xml:space="preserve">Mean</t>
  </si>
  <si>
    <t xml:space="preserve">St Dev</t>
  </si>
  <si>
    <t xml:space="preserve">Abu Dhabi Cargoes/year</t>
  </si>
  <si>
    <t xml:space="preserve">Custom</t>
  </si>
  <si>
    <t xml:space="preserve">Lognormal</t>
  </si>
  <si>
    <t xml:space="preserve">Std Dev</t>
  </si>
  <si>
    <t xml:space="preserve">Extreme Value</t>
  </si>
  <si>
    <t xml:space="preserve">Mode</t>
  </si>
  <si>
    <t xml:space="preserve">Scale</t>
  </si>
  <si>
    <t xml:space="preserve">Abu Dhabi</t>
  </si>
  <si>
    <t xml:space="preserve">Lake Charles Shipping Costs</t>
  </si>
  <si>
    <t xml:space="preserve">Capacity of 1 Newbuild</t>
  </si>
  <si>
    <t xml:space="preserve">Capacity of 1 Mystic Lady</t>
  </si>
  <si>
    <t xml:space="preserve">CFOUT00</t>
  </si>
  <si>
    <t xml:space="preserve">CFOUT01</t>
  </si>
  <si>
    <t xml:space="preserve">CFOUT02</t>
  </si>
  <si>
    <t xml:space="preserve">CFOUT03</t>
  </si>
  <si>
    <t xml:space="preserve">CFOUT04</t>
  </si>
  <si>
    <t xml:space="preserve">CFOUT05</t>
  </si>
  <si>
    <t xml:space="preserve">CFOUT06</t>
  </si>
  <si>
    <t xml:space="preserve">CFOUT07</t>
  </si>
  <si>
    <t xml:space="preserve">CFOUT08</t>
  </si>
  <si>
    <t xml:space="preserve">CFOUT09</t>
  </si>
  <si>
    <t xml:space="preserve">CFOUT10</t>
  </si>
  <si>
    <t xml:space="preserve">CFOUT11</t>
  </si>
  <si>
    <t xml:space="preserve">CFOUT12</t>
  </si>
  <si>
    <t xml:space="preserve">CFOUT13</t>
  </si>
  <si>
    <t xml:space="preserve">CFOUT14</t>
  </si>
  <si>
    <t xml:space="preserve">CFOUT15</t>
  </si>
  <si>
    <t xml:space="preserve">CFOUT16</t>
  </si>
  <si>
    <t xml:space="preserve">CFOUT17</t>
  </si>
  <si>
    <t xml:space="preserve">CFOUT18</t>
  </si>
  <si>
    <t xml:space="preserve">CFOUT19</t>
  </si>
  <si>
    <t xml:space="preserve">CFOUT20</t>
  </si>
  <si>
    <t xml:space="preserve">CASH OUTFLOW</t>
  </si>
  <si>
    <t xml:space="preserve">CFIN00</t>
  </si>
  <si>
    <t xml:space="preserve">CFIN01</t>
  </si>
  <si>
    <t xml:space="preserve">CFIN02</t>
  </si>
  <si>
    <t xml:space="preserve">CFIN03</t>
  </si>
  <si>
    <t xml:space="preserve">CFIN04</t>
  </si>
  <si>
    <t xml:space="preserve">CFIN05</t>
  </si>
  <si>
    <t xml:space="preserve">CFIN06</t>
  </si>
  <si>
    <t xml:space="preserve">CFIN07</t>
  </si>
  <si>
    <t xml:space="preserve">CFIN08</t>
  </si>
  <si>
    <t xml:space="preserve">CFIN09</t>
  </si>
  <si>
    <t xml:space="preserve">CFIN10</t>
  </si>
  <si>
    <t xml:space="preserve">CFIN11</t>
  </si>
  <si>
    <t xml:space="preserve">CFIN12</t>
  </si>
  <si>
    <t xml:space="preserve">CFIN13</t>
  </si>
  <si>
    <t xml:space="preserve">CFIN14</t>
  </si>
  <si>
    <t xml:space="preserve">CFIN15</t>
  </si>
  <si>
    <t xml:space="preserve">CFIN16</t>
  </si>
  <si>
    <t xml:space="preserve">CFIN17</t>
  </si>
  <si>
    <t xml:space="preserve">CFIN18</t>
  </si>
  <si>
    <t xml:space="preserve">CFIN19</t>
  </si>
  <si>
    <t xml:space="preserve">CFIN20</t>
  </si>
  <si>
    <t xml:space="preserve">CASH INFLOW</t>
  </si>
  <si>
    <t xml:space="preserve">CI1-500</t>
  </si>
  <si>
    <t xml:space="preserve">CI1-501</t>
  </si>
  <si>
    <t xml:space="preserve">CI1-502</t>
  </si>
  <si>
    <t xml:space="preserve">CI1-503</t>
  </si>
  <si>
    <t xml:space="preserve">CI1-504</t>
  </si>
  <si>
    <t xml:space="preserve">CI1-505</t>
  </si>
  <si>
    <t xml:space="preserve">CI1-506</t>
  </si>
  <si>
    <t xml:space="preserve">CI1-507</t>
  </si>
  <si>
    <t xml:space="preserve">CI1-508</t>
  </si>
  <si>
    <t xml:space="preserve">CI1-509</t>
  </si>
  <si>
    <t xml:space="preserve">CI1-510</t>
  </si>
  <si>
    <t xml:space="preserve">CI1-511</t>
  </si>
  <si>
    <t xml:space="preserve">CI1-512</t>
  </si>
  <si>
    <t xml:space="preserve">CI1-513</t>
  </si>
  <si>
    <t xml:space="preserve">CI1-514</t>
  </si>
  <si>
    <t xml:space="preserve">CI1-515</t>
  </si>
  <si>
    <t xml:space="preserve">CI1-516</t>
  </si>
  <si>
    <t xml:space="preserve">CI1-517</t>
  </si>
  <si>
    <t xml:space="preserve">CI1-518</t>
  </si>
  <si>
    <t xml:space="preserve">CI1-519</t>
  </si>
  <si>
    <t xml:space="preserve">CI1-520</t>
  </si>
  <si>
    <t xml:space="preserve">Cash Inflow Yrs 1-5</t>
  </si>
  <si>
    <t xml:space="preserve">CO1-500</t>
  </si>
  <si>
    <t xml:space="preserve">CO1-501</t>
  </si>
  <si>
    <t xml:space="preserve">CO1-502</t>
  </si>
  <si>
    <t xml:space="preserve">CO1-503</t>
  </si>
  <si>
    <t xml:space="preserve">CO1-504</t>
  </si>
  <si>
    <t xml:space="preserve">CO1-505</t>
  </si>
  <si>
    <t xml:space="preserve">CO1-506</t>
  </si>
  <si>
    <t xml:space="preserve">CO1-507</t>
  </si>
  <si>
    <t xml:space="preserve">CO1-508</t>
  </si>
  <si>
    <t xml:space="preserve">CO1-509</t>
  </si>
  <si>
    <t xml:space="preserve">CO1-510</t>
  </si>
  <si>
    <t xml:space="preserve">CO1-511</t>
  </si>
  <si>
    <t xml:space="preserve">CO1-512</t>
  </si>
  <si>
    <t xml:space="preserve">CO1-513</t>
  </si>
  <si>
    <t xml:space="preserve">CO1-514</t>
  </si>
  <si>
    <t xml:space="preserve">CO1-515</t>
  </si>
  <si>
    <t xml:space="preserve">CO1-516</t>
  </si>
  <si>
    <t xml:space="preserve">CO1-517</t>
  </si>
  <si>
    <t xml:space="preserve">CO1-518</t>
  </si>
  <si>
    <t xml:space="preserve">CO1-519</t>
  </si>
  <si>
    <t xml:space="preserve">CO1-520</t>
  </si>
  <si>
    <t xml:space="preserve">Cash Outflow Yrs 1-5</t>
  </si>
  <si>
    <t xml:space="preserve">CO6+100</t>
  </si>
  <si>
    <t xml:space="preserve">CO6+101</t>
  </si>
  <si>
    <t xml:space="preserve">CO6+102</t>
  </si>
  <si>
    <t xml:space="preserve">CO6+103</t>
  </si>
  <si>
    <t xml:space="preserve">CO6+104</t>
  </si>
  <si>
    <t xml:space="preserve">CO6+105</t>
  </si>
  <si>
    <t xml:space="preserve">CO6+106</t>
  </si>
  <si>
    <t xml:space="preserve">CO6+107</t>
  </si>
  <si>
    <t xml:space="preserve">CO6+108</t>
  </si>
  <si>
    <t xml:space="preserve">CO6+109</t>
  </si>
  <si>
    <t xml:space="preserve">CO6+110</t>
  </si>
  <si>
    <t xml:space="preserve">CO6+111</t>
  </si>
  <si>
    <t xml:space="preserve">CO6+112</t>
  </si>
  <si>
    <t xml:space="preserve">CO6+113</t>
  </si>
  <si>
    <t xml:space="preserve">CO6+114</t>
  </si>
  <si>
    <t xml:space="preserve">CO6+115</t>
  </si>
  <si>
    <t xml:space="preserve">CO6+116</t>
  </si>
  <si>
    <t xml:space="preserve">CO6+117</t>
  </si>
  <si>
    <t xml:space="preserve">CO6+118</t>
  </si>
  <si>
    <t xml:space="preserve">CO6+119</t>
  </si>
  <si>
    <t xml:space="preserve">CO6+120</t>
  </si>
  <si>
    <t xml:space="preserve">Cash Outflow Yrs 6+ - Option 1</t>
  </si>
  <si>
    <t xml:space="preserve">CO6+200</t>
  </si>
  <si>
    <t xml:space="preserve">CO6+201</t>
  </si>
  <si>
    <t xml:space="preserve">CO6+202</t>
  </si>
  <si>
    <t xml:space="preserve">CO6+203</t>
  </si>
  <si>
    <t xml:space="preserve">CO6+204</t>
  </si>
  <si>
    <t xml:space="preserve">CO6+205</t>
  </si>
  <si>
    <t xml:space="preserve">CO6+206</t>
  </si>
  <si>
    <t xml:space="preserve">CO6+207</t>
  </si>
  <si>
    <t xml:space="preserve">CO6+208</t>
  </si>
  <si>
    <t xml:space="preserve">CO6+209</t>
  </si>
  <si>
    <t xml:space="preserve">CO6+210</t>
  </si>
  <si>
    <t xml:space="preserve">CO6+211</t>
  </si>
  <si>
    <t xml:space="preserve">CO6+212</t>
  </si>
  <si>
    <t xml:space="preserve">CO6+213</t>
  </si>
  <si>
    <t xml:space="preserve">CO6+214</t>
  </si>
  <si>
    <t xml:space="preserve">CO6+215</t>
  </si>
  <si>
    <t xml:space="preserve">CO6+216</t>
  </si>
  <si>
    <t xml:space="preserve">CO6+217</t>
  </si>
  <si>
    <t xml:space="preserve">CO6+218</t>
  </si>
  <si>
    <t xml:space="preserve">CO6+219</t>
  </si>
  <si>
    <t xml:space="preserve">CO6+220</t>
  </si>
  <si>
    <t xml:space="preserve">Cash Outflow Yrs 6+ - Option 2</t>
  </si>
  <si>
    <t xml:space="preserve">CI6+300</t>
  </si>
  <si>
    <t xml:space="preserve">CI6+301</t>
  </si>
  <si>
    <t xml:space="preserve">CI6+302</t>
  </si>
  <si>
    <t xml:space="preserve">CI6+303</t>
  </si>
  <si>
    <t xml:space="preserve">CI6+304</t>
  </si>
  <si>
    <t xml:space="preserve">CI6+305</t>
  </si>
  <si>
    <t xml:space="preserve">CI6+306</t>
  </si>
  <si>
    <t xml:space="preserve">CI6+307</t>
  </si>
  <si>
    <t xml:space="preserve">CI6+308</t>
  </si>
  <si>
    <t xml:space="preserve">CI6+309</t>
  </si>
  <si>
    <t xml:space="preserve">CI6+310</t>
  </si>
  <si>
    <t xml:space="preserve">CI6+311</t>
  </si>
  <si>
    <t xml:space="preserve">CI6+312</t>
  </si>
  <si>
    <t xml:space="preserve">CI6+313</t>
  </si>
  <si>
    <t xml:space="preserve">CI6+314</t>
  </si>
  <si>
    <t xml:space="preserve">CI6+315</t>
  </si>
  <si>
    <t xml:space="preserve">CI6+316</t>
  </si>
  <si>
    <t xml:space="preserve">CI6+317</t>
  </si>
  <si>
    <t xml:space="preserve">CI6+318</t>
  </si>
  <si>
    <t xml:space="preserve">CI6+319</t>
  </si>
  <si>
    <t xml:space="preserve">CI6+320</t>
  </si>
  <si>
    <t xml:space="preserve">Cash Inflow Yrs 6+ - Option 3</t>
  </si>
  <si>
    <t xml:space="preserve">CO6+300</t>
  </si>
  <si>
    <t xml:space="preserve">CO6+301</t>
  </si>
  <si>
    <t xml:space="preserve">CO6+302</t>
  </si>
  <si>
    <t xml:space="preserve">CO6+303</t>
  </si>
  <si>
    <t xml:space="preserve">CO6+304</t>
  </si>
  <si>
    <t xml:space="preserve">CO6+305</t>
  </si>
  <si>
    <t xml:space="preserve">CO6+306</t>
  </si>
  <si>
    <t xml:space="preserve">CO6+307</t>
  </si>
  <si>
    <t xml:space="preserve">CO6+308</t>
  </si>
  <si>
    <t xml:space="preserve">CO6+309</t>
  </si>
  <si>
    <t xml:space="preserve">CO6+310</t>
  </si>
  <si>
    <t xml:space="preserve">CO6+311</t>
  </si>
  <si>
    <t xml:space="preserve">CO6+312</t>
  </si>
  <si>
    <t xml:space="preserve">CO6+313</t>
  </si>
  <si>
    <t xml:space="preserve">CO6+314</t>
  </si>
  <si>
    <t xml:space="preserve">CO6+315</t>
  </si>
  <si>
    <t xml:space="preserve">CO6+316</t>
  </si>
  <si>
    <t xml:space="preserve">CO6+317</t>
  </si>
  <si>
    <t xml:space="preserve">CO6+318</t>
  </si>
  <si>
    <t xml:space="preserve">CO6+319</t>
  </si>
  <si>
    <t xml:space="preserve">CO6+320</t>
  </si>
  <si>
    <t xml:space="preserve">Cash Outflow Yrs 6+ - Option 3</t>
  </si>
  <si>
    <t xml:space="preserve">Cash Inflow Yrs 1-5 (net of default)</t>
  </si>
  <si>
    <t xml:space="preserve">Cash Inflow Yrs 6+ (net of default)</t>
  </si>
  <si>
    <t xml:space="preserve">Total Operating Cost</t>
  </si>
  <si>
    <t xml:space="preserve">Percent of total cost</t>
  </si>
  <si>
    <t xml:space="preserve">SENSITIVITIES TO ELBA ISLAND VALUE W/ MYSTIC LADY</t>
  </si>
  <si>
    <t xml:space="preserve">April 11, 2000 10:15pm</t>
  </si>
  <si>
    <t xml:space="preserve">STARTING CASE:</t>
  </si>
  <si>
    <t xml:space="preserve">DIFFERENCE:</t>
  </si>
  <si>
    <t xml:space="preserve">O1: Yrs 6+</t>
  </si>
  <si>
    <t xml:space="preserve">O2: Yrs 6+</t>
  </si>
  <si>
    <t xml:space="preserve">O3: Yrs 6+</t>
  </si>
  <si>
    <t xml:space="preserve">Probabilistic Outcome</t>
  </si>
  <si>
    <t xml:space="preserve">IF LOWER DISC RT BY 2%:</t>
  </si>
  <si>
    <t xml:space="preserve">IF DECREASE BENEFIT PERCENTAGE TO LNG SUPPLIERS FROM 25% TO 12.5%:</t>
  </si>
  <si>
    <t xml:space="preserve">IF INCREASE TERMINAL COST BY $1.5M FLAT &amp; $1.5M ESC (APPRX $0.05/MMBTU) IF FULLY UTILIZED:</t>
  </si>
  <si>
    <t xml:space="preserve">IF ELBA BASIS IS REALLY $0.02/MMBTU:</t>
  </si>
  <si>
    <t xml:space="preserve">IF ELBA BASIS INCREASES TO $0.12/MMBTU FROM $0.02/MMBTU:</t>
  </si>
  <si>
    <t xml:space="preserve">IF ARBITRAGE $0.10/MMBTU ON 91% CAPACITY:</t>
  </si>
  <si>
    <t xml:space="preserve">IF ARBITRAGE $0.10/MMBTU ON 91% CAPACITY &amp; REDUCE DISCOUNT RATE TO 12%:</t>
  </si>
  <si>
    <t xml:space="preserve">IF ARBITRAGE $0.15/MMBTU ON 91% CAPACITY &amp; REDUCE DISCOUNT RATE TO 12%:</t>
  </si>
  <si>
    <t xml:space="preserve">ELBA ISLAND TERMINAL</t>
  </si>
  <si>
    <t xml:space="preserve">Year of Operation - Elba Terminal</t>
  </si>
  <si>
    <t xml:space="preserve">Months of Operation</t>
  </si>
  <si>
    <t xml:space="preserve">% of Year</t>
  </si>
  <si>
    <t xml:space="preserve">% of Year with Scheduled Throughput</t>
  </si>
  <si>
    <t xml:space="preserve">Terminal Throughput (TBTU/Yr) Yrs 1-5:</t>
  </si>
  <si>
    <t xml:space="preserve">Cargoes by Oper. Year:</t>
  </si>
  <si>
    <t xml:space="preserve">Algeria:</t>
  </si>
  <si>
    <t xml:space="preserve">Cargoes:</t>
  </si>
  <si>
    <t xml:space="preserve">Abu Dhabi:</t>
  </si>
  <si>
    <t xml:space="preserve">Cargoes by Calendar Year:</t>
  </si>
  <si>
    <t xml:space="preserve">Total Cargoes</t>
  </si>
  <si>
    <t xml:space="preserve">Total Volume</t>
  </si>
  <si>
    <t xml:space="preserve">MMBtu:</t>
  </si>
  <si>
    <t xml:space="preserve">Terminal Throughput (TBTU/Yr) Yrs 6+:</t>
  </si>
  <si>
    <t xml:space="preserve">Price of Gas</t>
  </si>
  <si>
    <t xml:space="preserve">HH Curve</t>
  </si>
  <si>
    <t xml:space="preserve">Basis to Elba</t>
  </si>
  <si>
    <t xml:space="preserve">Price of Gas at Elba Island</t>
  </si>
  <si>
    <t xml:space="preserve">Basis to Lake Charles</t>
  </si>
  <si>
    <t xml:space="preserve">Price of Gas at Lake Charles</t>
  </si>
  <si>
    <t xml:space="preserve">Basis Differential (Savings to Enron)</t>
  </si>
  <si>
    <t xml:space="preserve">Elba Island Terminaling Costs (includes Blending) ($MM):</t>
  </si>
  <si>
    <t xml:space="preserve">Escalated Fixed Terminaling Costs ($MM/Yr)</t>
  </si>
  <si>
    <t xml:space="preserve">Variable Terminaling Costs ($/MMBtu)</t>
  </si>
  <si>
    <t xml:space="preserve">ENE Marketing Costs</t>
  </si>
  <si>
    <t xml:space="preserve">&lt;&lt;NPV&gt;&gt;</t>
  </si>
  <si>
    <t xml:space="preserve">Flat Terminaling</t>
  </si>
  <si>
    <t xml:space="preserve">Esc Terminaling</t>
  </si>
  <si>
    <t xml:space="preserve">Additional Variable Costs</t>
  </si>
  <si>
    <t xml:space="preserve">Fuel Costs</t>
  </si>
  <si>
    <t xml:space="preserve">Less: Total Terminaling</t>
  </si>
  <si>
    <t xml:space="preserve">Terminaling ($/MMBtu)</t>
  </si>
  <si>
    <t xml:space="preserve">Terminaling Costs Yrs 1-5</t>
  </si>
  <si>
    <t xml:space="preserve">Addit'l Var. &amp; Fuel</t>
  </si>
  <si>
    <t xml:space="preserve">Terminaling Costs Yrs 6+</t>
  </si>
  <si>
    <t xml:space="preserve">Lake Charles Terminaling Costs &amp; Margin ($MM):</t>
  </si>
  <si>
    <t xml:space="preserve">Terminaling Cost (flat portion) for every year</t>
  </si>
  <si>
    <t xml:space="preserve">Terminaling Cost (escalated portion) for every year</t>
  </si>
  <si>
    <t xml:space="preserve">Total Terminaling Cost for every year</t>
  </si>
  <si>
    <t xml:space="preserve">Margin Received on Spot Cargoes</t>
  </si>
  <si>
    <t xml:space="preserve">LNG Shipping from Algeria</t>
  </si>
  <si>
    <t xml:space="preserve">Volume (Tbtu/Yr)</t>
  </si>
  <si>
    <t xml:space="preserve">Years 1-5</t>
  </si>
  <si>
    <t xml:space="preserve">Years 6+</t>
  </si>
  <si>
    <t xml:space="preserve">Elba Island Shipping</t>
  </si>
  <si>
    <t xml:space="preserve">Esc Charter</t>
  </si>
  <si>
    <t xml:space="preserve">Total Shipping - MYSTIC LADY</t>
  </si>
  <si>
    <t xml:space="preserve">Lake Charles Shipping</t>
  </si>
  <si>
    <t xml:space="preserve">Total Shipping Differential (Savings to Enron)</t>
  </si>
  <si>
    <t xml:space="preserve">Voyage Shipping Differential (Savings to Enron)</t>
  </si>
  <si>
    <t xml:space="preserve">Weighted Avg Shipping Differential (Savings to Enron)</t>
  </si>
  <si>
    <t xml:space="preserve">LNG Shipping from Abu Dhabi</t>
  </si>
  <si>
    <t xml:space="preserve">Total Shipping - NEWBUILD</t>
  </si>
  <si>
    <t xml:space="preserve">BACKING INTO TERMINAL CHARGE TO GET SPECIFIED FOB:</t>
  </si>
  <si>
    <t xml:space="preserve">Revenues Received by Enron</t>
  </si>
  <si>
    <t xml:space="preserve">Tariff Received at Elba Island</t>
  </si>
  <si>
    <t xml:space="preserve">Tariff Differential</t>
  </si>
  <si>
    <t xml:space="preserve">Margin Received at Lake Charles</t>
  </si>
  <si>
    <t xml:space="preserve">Basis Differential</t>
  </si>
  <si>
    <t xml:space="preserve">Revenues Received by Enron before Shipping Savings</t>
  </si>
  <si>
    <t xml:space="preserve">Algeria Shipping Differential</t>
  </si>
  <si>
    <t xml:space="preserve">Revenues Receivable by Enron on Algeria Cargoes</t>
  </si>
  <si>
    <t xml:space="preserve">Revenues Received by Enron on Algeria Cargoes</t>
  </si>
  <si>
    <t xml:space="preserve">Total Revenues on Algeria Cargoes</t>
  </si>
  <si>
    <t xml:space="preserve">Abu Dhabi Shipping Differential</t>
  </si>
  <si>
    <t xml:space="preserve">Revenues Receivable by Enron on M. East Cargoes</t>
  </si>
  <si>
    <t xml:space="preserve">Revenues Received by Enron on M. East Cargoes</t>
  </si>
  <si>
    <t xml:space="preserve">Total Revenues on Abu Dhabi Cargoes</t>
  </si>
  <si>
    <t xml:space="preserve">ELBA ISLAND CASH FLOWS</t>
  </si>
  <si>
    <t xml:space="preserve">Throughput (TBTU/Yr):</t>
  </si>
  <si>
    <t xml:space="preserve">Algeria Volumes</t>
  </si>
  <si>
    <t xml:space="preserve">Abu Dhabi Volumes</t>
  </si>
  <si>
    <t xml:space="preserve">Total Volumes Throughput</t>
  </si>
  <si>
    <t xml:space="preserve">Cost of Service Recovered from 3rd Party (non-VZ cargoes) ($/MMBtu) &amp; ($MM)</t>
  </si>
  <si>
    <t xml:space="preserve">Algeria Tariff</t>
  </si>
  <si>
    <t xml:space="preserve">COS Recovered from Algeria ($MM)</t>
  </si>
  <si>
    <t xml:space="preserve">Abu Dhabi Tariff</t>
  </si>
  <si>
    <t xml:space="preserve">COS Recovered from Abu Dhabi ($MM)</t>
  </si>
  <si>
    <t xml:space="preserve">Yrs 1-5 Terminaling Costs Recovered ($MM)</t>
  </si>
  <si>
    <t xml:space="preserve">Option 3: Yrs 6+ Terminaling Costs Recovered ($MM)</t>
  </si>
  <si>
    <t xml:space="preserve">EXPECTED CASH FLOWS YEARS 1-5</t>
  </si>
  <si>
    <t xml:space="preserve">COS Recovered from Spot Markets</t>
  </si>
  <si>
    <t xml:space="preserve">COS Payable to Elba Island</t>
  </si>
  <si>
    <t xml:space="preserve">Potential Penalty for Contract Termination</t>
  </si>
  <si>
    <t xml:space="preserve">Profit (if any) on Resale of capacity</t>
  </si>
  <si>
    <t xml:space="preserve">Non-Operating Term Terminaling Costs</t>
  </si>
  <si>
    <t xml:space="preserve">Non-Oper Term COS</t>
  </si>
  <si>
    <t xml:space="preserve">Option 3:  Have Spot Cargoes vary on Gas Price</t>
  </si>
  <si>
    <t xml:space="preserve">Yrs 6+ Terminaling Costs Recovered ($MM)</t>
  </si>
  <si>
    <t xml:space="preserve">Yrs 6+ Terminaling Costs ($MM)</t>
  </si>
  <si>
    <t xml:space="preserve">Net Cash Flow</t>
  </si>
  <si>
    <t xml:space="preserve">Cash Flow Cost Summary</t>
  </si>
  <si>
    <t xml:space="preserve">Cash Inflow</t>
  </si>
  <si>
    <t xml:space="preserve">Cash Outflow</t>
  </si>
  <si>
    <t xml:space="preserve">Default Cash Outflows Yrs 1-5</t>
  </si>
  <si>
    <t xml:space="preserve">Default Cash Outflows Yrs 6+</t>
  </si>
  <si>
    <t xml:space="preserve">Arbitrage Case?</t>
  </si>
  <si>
    <t xml:space="preserve">N</t>
  </si>
  <si>
    <t xml:space="preserve">OIL &amp; GAS TREND REVERSION TEMPLATE</t>
  </si>
  <si>
    <t xml:space="preserve">Switch from HH Gas (0) to Aeco (1) </t>
  </si>
  <si>
    <t xml:space="preserve">Switch from WTI Oil (0) to Brent (1)</t>
  </si>
  <si>
    <t xml:space="preserve">Reversion</t>
  </si>
  <si>
    <t xml:space="preserve">Monthly</t>
  </si>
  <si>
    <t xml:space="preserve">Price Power</t>
  </si>
  <si>
    <t xml:space="preserve">NOTE:  </t>
  </si>
  <si>
    <t xml:space="preserve">LOCAL PARAMETERS AND LOCAL CURVES DO NOT CHANGE WITH THE GAS SWITCH AND THE OIL SWITCH</t>
  </si>
  <si>
    <t xml:space="preserve">Coefficient</t>
  </si>
  <si>
    <t xml:space="preserve">Volatility</t>
  </si>
  <si>
    <t xml:space="preserve">in Volatility</t>
  </si>
  <si>
    <t xml:space="preserve">Template updated:  </t>
  </si>
  <si>
    <t xml:space="preserve">(k)</t>
  </si>
  <si>
    <t xml:space="preserve">(sigma)</t>
  </si>
  <si>
    <t xml:space="preserve">(gamma)</t>
  </si>
  <si>
    <t xml:space="preserve">Reversion parameters updated:</t>
  </si>
  <si>
    <t xml:space="preserve">Gas Prices updated:</t>
  </si>
  <si>
    <t xml:space="preserve">Oil Prices Updated:</t>
  </si>
  <si>
    <t xml:space="preserve">Gas</t>
  </si>
  <si>
    <t xml:space="preserve">Aeco Prices Updated:</t>
  </si>
  <si>
    <t xml:space="preserve">Oil</t>
  </si>
  <si>
    <t xml:space="preserve">Brent Prices Updated:</t>
  </si>
  <si>
    <t xml:space="preserve">RANGE COLOR CODES</t>
  </si>
  <si>
    <t xml:space="preserve">Local assumption or input cells</t>
  </si>
  <si>
    <t xml:space="preserve">Use central parameters and curve (1=yes, 0=no) DEFAULT = 1</t>
  </si>
  <si>
    <t xml:space="preserve">Crystal Ball assumption cells.  REMOVE ASSUMPTIONS FOR HISTORICAL PERIODS</t>
  </si>
  <si>
    <t xml:space="preserve">Linked file references.  Must be present for stress-testing.  Overwrite if inapplicable</t>
  </si>
  <si>
    <t xml:space="preserve">Local</t>
  </si>
  <si>
    <t xml:space="preserve">Central</t>
  </si>
  <si>
    <t xml:space="preserve">Natural Gas</t>
  </si>
  <si>
    <t xml:space="preserve">Oil </t>
  </si>
  <si>
    <t xml:space="preserve">Mid Price</t>
  </si>
  <si>
    <t xml:space="preserve">Trend</t>
  </si>
  <si>
    <t xml:space="preserve">Date</t>
  </si>
  <si>
    <t xml:space="preserve">Year</t>
  </si>
  <si>
    <t xml:space="preserve">(Shifted)</t>
  </si>
  <si>
    <t xml:space="preserve">Normal</t>
  </si>
  <si>
    <t xml:space="preserve">US Inflation</t>
  </si>
  <si>
    <t xml:space="preserve">TRANSPOSED ANNUAL OUTPUT</t>
  </si>
  <si>
    <t xml:space="preserve">Version 012298</t>
  </si>
  <si>
    <t xml:space="preserve">Monthly drift (%):</t>
  </si>
  <si>
    <t xml:space="preserve">Volatility (%)</t>
  </si>
  <si>
    <t xml:space="preserve">Use centrally defined parameters? (yes = 1, no = 0)</t>
  </si>
  <si>
    <t xml:space="preserve">Use forward drift? (yes = 1, no = 0)</t>
  </si>
  <si>
    <t xml:space="preserve">ANNUAL OUTPUT</t>
  </si>
  <si>
    <t xml:space="preserve">US</t>
  </si>
  <si>
    <t xml:space="preserve">Local values</t>
  </si>
  <si>
    <t xml:space="preserve">Dates</t>
  </si>
  <si>
    <t xml:space="preserve">Drift</t>
  </si>
  <si>
    <t xml:space="preserve">GBM</t>
  </si>
  <si>
    <t xml:space="preserve">1+inflation</t>
  </si>
  <si>
    <t xml:space="preserve">Inflation</t>
  </si>
  <si>
    <t xml:space="preserve">Linked file references.  Must be present for stress-testing.</t>
  </si>
  <si>
    <t xml:space="preserve">Output area for annualized domestic inflation</t>
  </si>
</sst>
</file>

<file path=xl/styles.xml><?xml version="1.0" encoding="utf-8"?>
<styleSheet xmlns="http://schemas.openxmlformats.org/spreadsheetml/2006/main">
  <numFmts count="35">
    <numFmt numFmtId="164" formatCode="General"/>
    <numFmt numFmtId="165" formatCode="_(* #,##0_);_(* \(#,##0\);_(* \-_);_(@_)"/>
    <numFmt numFmtId="166" formatCode="[$-409]#,##0_);[RED]\(#,##0\)"/>
    <numFmt numFmtId="167" formatCode="#,##0.00"/>
    <numFmt numFmtId="168" formatCode="[$-409]#,##0.00_);[RED]\(#,##0.00\)"/>
    <numFmt numFmtId="169" formatCode="_(* #,##0.00_);_(* \(#,##0.00\);_(* \-??_);_(@_)"/>
    <numFmt numFmtId="170" formatCode="\$#,##0_);[RED]&quot;($&quot;#,##0\)"/>
    <numFmt numFmtId="171" formatCode="_(\$* #,##0_);_(\$* \(#,##0\);_(\$* \-_);_(@_)"/>
    <numFmt numFmtId="172" formatCode="\$#,##0.00_);[RED]&quot;($&quot;#,##0.00\)"/>
    <numFmt numFmtId="173" formatCode="_(\$* #,##0.00_);_(\$* \(#,##0.00\);_(\$* \-??_);_(@_)"/>
    <numFmt numFmtId="174" formatCode="[$-409]#,##0_);\(#,##0\)"/>
    <numFmt numFmtId="175" formatCode="\£#,##0_);&quot;(£&quot;#,##0\)"/>
    <numFmt numFmtId="176" formatCode="#,##0"/>
    <numFmt numFmtId="177" formatCode="\$#,##0.000_);[RED]&quot;($&quot;#,##0.000\)"/>
    <numFmt numFmtId="178" formatCode="_(* #,##0_);_(* \(#,##0\);_(* \-??_);_(@_)"/>
    <numFmt numFmtId="179" formatCode="_(* #,##0.0_);_(* \(#,##0.0\);_(* \-??_);_(@_)"/>
    <numFmt numFmtId="180" formatCode="_(* #,##0.000_);_(* \(#,##0.000\);_(* \-??_);_(@_)"/>
    <numFmt numFmtId="181" formatCode="0.000"/>
    <numFmt numFmtId="182" formatCode="0.00%"/>
    <numFmt numFmtId="183" formatCode="0.0%"/>
    <numFmt numFmtId="184" formatCode="\$#,##0.0000_);[RED]&quot;($&quot;#,##0.0000\)"/>
    <numFmt numFmtId="185" formatCode="0%"/>
    <numFmt numFmtId="186" formatCode="0.00"/>
    <numFmt numFmtId="187" formatCode="0.00000"/>
    <numFmt numFmtId="188" formatCode="0.000%"/>
    <numFmt numFmtId="189" formatCode="0.0000"/>
    <numFmt numFmtId="190" formatCode="_(* #,##0.0000_);_(* \(#,##0.0000\);_(* \-??_);_(@_)"/>
    <numFmt numFmtId="191" formatCode="\$#,##0.00_);&quot;($&quot;#,##0.00\)"/>
    <numFmt numFmtId="192" formatCode="# ?/?"/>
    <numFmt numFmtId="193" formatCode="[$-409]mm/dd/yy"/>
    <numFmt numFmtId="194" formatCode="#,##0.000_);\(#,##0.000\)"/>
    <numFmt numFmtId="195" formatCode="#,##0.0_);\(#,##0.0\)"/>
    <numFmt numFmtId="196" formatCode="[$-409]d\-mmm\-yy"/>
    <numFmt numFmtId="197" formatCode="0.000_)"/>
    <numFmt numFmtId="198" formatCode="[$-409]mmm\-yy"/>
  </numFmts>
  <fonts count="6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0"/>
    </font>
    <font>
      <sz val="8"/>
      <name val=""/>
      <family val="0"/>
    </font>
    <font>
      <sz val="10"/>
      <name val="MS Sans Serif"/>
      <family val="0"/>
    </font>
    <font>
      <sz val="8"/>
      <name val="MS Sans Serif"/>
      <family val="2"/>
    </font>
    <font>
      <sz val="10"/>
      <name val="Times New Roman"/>
      <family val="0"/>
    </font>
    <font>
      <sz val="8"/>
      <name val="Arial"/>
      <family val="2"/>
    </font>
    <font>
      <sz val="8"/>
      <color rgb="FF0000FF"/>
      <name val="Arial"/>
      <family val="2"/>
    </font>
    <font>
      <b val="true"/>
      <u val="single"/>
      <sz val="14"/>
      <name val="Times New Roman"/>
      <family val="1"/>
    </font>
    <font>
      <b val="true"/>
      <sz val="14"/>
      <name val="Times New Roman"/>
      <family val="1"/>
    </font>
    <font>
      <sz val="14"/>
      <name val="Times New Roman"/>
      <family val="1"/>
    </font>
    <font>
      <b val="true"/>
      <i val="true"/>
      <sz val="12"/>
      <color rgb="FF0000FF"/>
      <name val="Times New Roman"/>
      <family val="1"/>
    </font>
    <font>
      <sz val="10"/>
      <name val="Times New Roman"/>
      <family val="1"/>
    </font>
    <font>
      <b val="true"/>
      <u val="single"/>
      <sz val="5"/>
      <name val="Times New Roman"/>
      <family val="1"/>
    </font>
    <font>
      <b val="true"/>
      <sz val="5"/>
      <name val="Times New Roman"/>
      <family val="1"/>
    </font>
    <font>
      <sz val="5"/>
      <name val="Times New Roman"/>
      <family val="1"/>
    </font>
    <font>
      <b val="true"/>
      <sz val="10"/>
      <name val="Times New Roman"/>
      <family val="1"/>
    </font>
    <font>
      <b val="true"/>
      <sz val="10"/>
      <color rgb="FF0000FF"/>
      <name val="Times New Roman"/>
      <family val="1"/>
    </font>
    <font>
      <i val="true"/>
      <sz val="10"/>
      <name val="Times New Roman"/>
      <family val="1"/>
    </font>
    <font>
      <sz val="10"/>
      <color rgb="FF0000FF"/>
      <name val="Times New Roman"/>
      <family val="1"/>
    </font>
    <font>
      <u val="single"/>
      <sz val="10"/>
      <name val="Times New Roman"/>
      <family val="1"/>
    </font>
    <font>
      <u val="single"/>
      <sz val="10"/>
      <color rgb="FF0000FF"/>
      <name val="Times New Roman"/>
      <family val="1"/>
    </font>
    <font>
      <b val="true"/>
      <u val="single"/>
      <sz val="10"/>
      <name val="Times New Roman"/>
      <family val="1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4"/>
      <color rgb="FF008000"/>
      <name val="Arial"/>
      <family val="2"/>
    </font>
    <font>
      <b val="true"/>
      <sz val="10"/>
      <color rgb="FFFF0000"/>
      <name val="Arial"/>
      <family val="2"/>
    </font>
    <font>
      <b val="true"/>
      <u val="single"/>
      <sz val="10"/>
      <name val="Arial"/>
      <family val="2"/>
    </font>
    <font>
      <b val="true"/>
      <sz val="10"/>
      <name val="Arial"/>
      <family val="2"/>
    </font>
    <font>
      <b val="true"/>
      <u val="single"/>
      <sz val="10"/>
      <color rgb="FF0000FF"/>
      <name val="Arial"/>
      <family val="2"/>
    </font>
    <font>
      <sz val="10"/>
      <name val="Arial"/>
      <family val="2"/>
    </font>
    <font>
      <sz val="10"/>
      <color rgb="FF0000FF"/>
      <name val="Arial"/>
      <family val="2"/>
    </font>
    <font>
      <b val="true"/>
      <sz val="10"/>
      <color rgb="FF008000"/>
      <name val="Arial"/>
      <family val="2"/>
    </font>
    <font>
      <u val="single"/>
      <sz val="10"/>
      <name val="Arial"/>
      <family val="2"/>
    </font>
    <font>
      <sz val="10"/>
      <color rgb="FFFF0000"/>
      <name val="Arial"/>
      <family val="2"/>
    </font>
    <font>
      <i val="true"/>
      <sz val="10"/>
      <color rgb="FFFF0000"/>
      <name val="Arial"/>
      <family val="2"/>
    </font>
    <font>
      <i val="true"/>
      <sz val="10"/>
      <name val="Arial"/>
      <family val="2"/>
    </font>
    <font>
      <b val="true"/>
      <u val="single"/>
      <sz val="12"/>
      <name val="Arial"/>
      <family val="2"/>
    </font>
    <font>
      <i val="true"/>
      <u val="single"/>
      <sz val="10"/>
      <name val="Arial"/>
      <family val="2"/>
    </font>
    <font>
      <i val="true"/>
      <u val="single"/>
      <sz val="10"/>
      <color rgb="FF0000FF"/>
      <name val="Arial"/>
      <family val="2"/>
    </font>
    <font>
      <sz val="10"/>
      <color rgb="FF000000"/>
      <name val="Arial"/>
      <family val="2"/>
    </font>
    <font>
      <b val="true"/>
      <u val="single"/>
      <sz val="10"/>
      <color rgb="FF008000"/>
      <name val="Arial"/>
      <family val="2"/>
    </font>
    <font>
      <u val="single"/>
      <sz val="10"/>
      <color rgb="FF000000"/>
      <name val="Arial"/>
      <family val="2"/>
    </font>
    <font>
      <u val="single"/>
      <sz val="10"/>
      <color rgb="FF0000FF"/>
      <name val="Arial"/>
      <family val="2"/>
    </font>
    <font>
      <b val="true"/>
      <sz val="10"/>
      <color rgb="FF0000FF"/>
      <name val="Arial"/>
      <family val="2"/>
    </font>
    <font>
      <i val="true"/>
      <sz val="10"/>
      <color rgb="FF0000FF"/>
      <name val="Arial"/>
      <family val="2"/>
    </font>
    <font>
      <i val="true"/>
      <sz val="10"/>
      <color rgb="FFFF00FF"/>
      <name val="Arial"/>
      <family val="2"/>
    </font>
    <font>
      <b val="true"/>
      <sz val="10"/>
      <color rgb="FFFF00FF"/>
      <name val="Arial"/>
      <family val="2"/>
    </font>
    <font>
      <sz val="10"/>
      <color rgb="FF008000"/>
      <name val="Arial"/>
      <family val="2"/>
    </font>
    <font>
      <b val="true"/>
      <i val="true"/>
      <sz val="10"/>
      <color rgb="FF008000"/>
      <name val="Arial"/>
      <family val="2"/>
    </font>
    <font>
      <b val="true"/>
      <sz val="12"/>
      <color rgb="FFFFFFFF"/>
      <name val="Arial"/>
      <family val="2"/>
    </font>
    <font>
      <sz val="12"/>
      <color rgb="FFFFFFFF"/>
      <name val="Arial"/>
      <family val="2"/>
    </font>
    <font>
      <b val="true"/>
      <sz val="11"/>
      <name val="Arial"/>
      <family val="2"/>
    </font>
    <font>
      <sz val="10"/>
      <color rgb="FFFF00FF"/>
      <name val="Arial"/>
      <family val="2"/>
    </font>
    <font>
      <u val="single"/>
      <sz val="10"/>
      <color rgb="FFFF00FF"/>
      <name val="Arial"/>
      <family val="2"/>
    </font>
    <font>
      <i val="true"/>
      <u val="single"/>
      <sz val="10"/>
      <color rgb="FFFF00FF"/>
      <name val="Arial"/>
      <family val="2"/>
    </font>
    <font>
      <b val="true"/>
      <sz val="14"/>
      <name val="MS Sans Serif"/>
      <family val="2"/>
    </font>
    <font>
      <u val="single"/>
      <sz val="8"/>
      <name val="MS Sans Serif"/>
      <family val="2"/>
    </font>
    <font>
      <b val="true"/>
      <sz val="8"/>
      <name val="MS Sans Serif"/>
      <family val="2"/>
    </font>
    <font>
      <sz val="8"/>
      <name val="MS Sans Serif"/>
      <family val="0"/>
    </font>
    <font>
      <b val="true"/>
      <sz val="8"/>
      <name val="MS Sans Serif"/>
      <family val="0"/>
    </font>
    <font>
      <sz val="8"/>
      <color rgb="FF0000FF"/>
      <name val="MS Sans Serif"/>
      <family val="2"/>
    </font>
  </fonts>
  <fills count="12">
    <fill>
      <patternFill patternType="none"/>
    </fill>
    <fill>
      <patternFill patternType="gray125"/>
    </fill>
    <fill>
      <patternFill patternType="solid">
        <fgColor rgb="FF00FFFF"/>
        <bgColor rgb="FF00FFFF"/>
      </patternFill>
    </fill>
    <fill>
      <patternFill patternType="solid">
        <fgColor rgb="FFFFFF99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  <fill>
      <patternFill patternType="solid">
        <fgColor rgb="FF808080"/>
        <bgColor rgb="FF969696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FF"/>
      </patternFill>
    </fill>
    <fill>
      <patternFill patternType="solid">
        <fgColor rgb="FF008000"/>
        <bgColor rgb="FF008080"/>
      </patternFill>
    </fill>
    <fill>
      <patternFill patternType="solid">
        <fgColor rgb="FFFFFFCC"/>
        <bgColor rgb="FFFFFFFF"/>
      </patternFill>
    </fill>
  </fills>
  <borders count="4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/>
      <top style="mediumDashDot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</borders>
  <cellStyleXfs count="9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3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8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2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4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3" borderId="0" applyFont="true" applyBorder="false" applyAlignment="false" applyProtection="false"/>
    <xf numFmtId="164" fontId="4" fillId="3" borderId="0" applyFont="true" applyBorder="false" applyAlignment="false" applyProtection="false"/>
    <xf numFmtId="17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9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9" fillId="3" borderId="0" applyFont="true" applyBorder="false" applyAlignment="false" applyProtection="false"/>
    <xf numFmtId="164" fontId="4" fillId="4" borderId="0" applyFont="true" applyBorder="false" applyAlignment="false" applyProtection="false"/>
    <xf numFmtId="176" fontId="10" fillId="0" borderId="1" applyFont="true" applyBorder="true" applyAlignment="true" applyProtection="false">
      <alignment horizontal="general" vertical="bottom" textRotation="0" wrapText="false" indent="0" shrinkToFit="false"/>
    </xf>
  </cellStyleXfs>
  <cellXfs count="59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8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81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8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8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8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8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8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8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8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8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8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0" xfId="8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8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8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8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5" borderId="2" xfId="8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5" borderId="3" xfId="8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20" fillId="5" borderId="4" xfId="8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5" borderId="3" xfId="8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5" borderId="3" xfId="8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4" xfId="8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81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4" fontId="15" fillId="0" borderId="0" xfId="8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8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6" xfId="8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15" fillId="0" borderId="6" xfId="8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5" fillId="0" borderId="6" xfId="8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15" fillId="0" borderId="7" xfId="8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0" xfId="8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8" xfId="8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5" fillId="0" borderId="0" xfId="8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5" fillId="0" borderId="0" xfId="8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15" fillId="0" borderId="9" xfId="8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0" xfId="8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8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15" fillId="0" borderId="10" xfId="8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5" fillId="0" borderId="10" xfId="8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9" xfId="8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5" borderId="5" xfId="8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5" borderId="11" xfId="8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5" borderId="6" xfId="8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5" borderId="7" xfId="8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5" borderId="12" xfId="8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5" borderId="13" xfId="8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5" borderId="10" xfId="8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5" borderId="14" xfId="8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5" xfId="8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5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5" fillId="0" borderId="6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8" fontId="22" fillId="0" borderId="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22" fillId="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8" xfId="8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23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2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8" fontId="2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24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16" xfId="8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5" fillId="0" borderId="1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5" fillId="0" borderId="18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8" fontId="1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22" fillId="0" borderId="1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0" borderId="11" xfId="8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6" xfId="8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" xfId="8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" xfId="8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0" xfId="8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8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1" xfId="8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5" xfId="8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2" fillId="0" borderId="0" xfId="8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2" fillId="0" borderId="22" xfId="8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5" fillId="0" borderId="15" xfId="8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5" fillId="0" borderId="23" xfId="8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2" fillId="0" borderId="0" xfId="8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2" fillId="0" borderId="22" xfId="8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1" xfId="8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6" xfId="8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5" fillId="0" borderId="6" xfId="8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5" fillId="0" borderId="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5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5" fillId="0" borderId="2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15" xfId="8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3" fillId="0" borderId="0" xfId="8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3" fillId="0" borderId="0" xfId="8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2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3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3" fillId="0" borderId="15" xfId="8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3" fillId="0" borderId="2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13" xfId="8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10" xfId="8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5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5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5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5" fillId="0" borderId="2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0" xfId="8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11" xfId="8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9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15" xfId="8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0" borderId="2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15" xfId="8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5" fillId="0" borderId="0" xfId="8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22" xfId="8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23" xfId="8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15" xfId="8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9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5" fillId="0" borderId="2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xfId="8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9" fillId="0" borderId="0" xfId="8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5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26" xfId="8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27" xfId="8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0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9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9" fillId="0" borderId="2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2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xfId="8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2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9" fillId="5" borderId="4" xfId="8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5" fillId="0" borderId="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5" fillId="0" borderId="7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8" fontId="2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23" fillId="0" borderId="9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15" fillId="0" borderId="19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3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2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7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72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84" fontId="3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5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2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6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8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34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34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3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34" fillId="5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4" fillId="5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4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34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3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4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3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34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3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3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3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39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3" fontId="33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41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6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31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1" fillId="0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34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2" fontId="4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42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4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3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4" shrinkToFit="false"/>
      <protection locked="true" hidden="false"/>
    </xf>
    <xf numFmtId="186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4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3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8" xfId="0" applyFont="true" applyBorder="true" applyAlignment="true" applyProtection="false">
      <alignment horizontal="left" vertical="bottom" textRotation="0" wrapText="false" indent="4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8" xfId="0" applyFont="true" applyBorder="true" applyAlignment="true" applyProtection="false">
      <alignment horizontal="left" vertical="bottom" textRotation="0" wrapText="false" indent="4" shrinkToFit="false"/>
      <protection locked="true" hidden="false"/>
    </xf>
    <xf numFmtId="164" fontId="2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46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8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72" fontId="33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72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72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8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72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8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8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2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9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9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9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5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72" fontId="47" fillId="9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15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9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6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49" fillId="0" borderId="15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9" fontId="4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49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9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9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41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9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5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4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41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9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9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9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4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4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27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4" borderId="2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91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72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83" fontId="3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4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3" fillId="10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3" fillId="1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4" fillId="1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4" fillId="1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27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8" borderId="28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8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3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0" fillId="0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9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9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9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9" borderId="2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3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13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9" fontId="31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1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92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15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4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4" fillId="0" borderId="1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34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1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0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3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3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33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4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3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5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59" fillId="0" borderId="0" xfId="44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4" fontId="7" fillId="0" borderId="0" xfId="44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4" borderId="26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4" borderId="27" xfId="44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3" borderId="28" xfId="44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60" fillId="0" borderId="0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4" borderId="11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4" borderId="6" xfId="4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7" fillId="4" borderId="20" xfId="4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61" fillId="0" borderId="0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0" borderId="0" xfId="44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4" fontId="7" fillId="4" borderId="15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4" borderId="0" xfId="4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7" fillId="4" borderId="22" xfId="4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62" fillId="0" borderId="0" xfId="44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3" fontId="7" fillId="8" borderId="0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4" borderId="15" xfId="4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4" fontId="7" fillId="8" borderId="29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7" fillId="8" borderId="29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7" fillId="0" borderId="0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8" borderId="29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7" fillId="3" borderId="29" xfId="44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7" fillId="3" borderId="29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4" borderId="13" xfId="4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7" fillId="0" borderId="0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61" fillId="0" borderId="37" xfId="4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63" fillId="3" borderId="8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63" fillId="3" borderId="0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63" fillId="3" borderId="9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3" borderId="29" xfId="44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61" fillId="5" borderId="8" xfId="44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4" fontId="7" fillId="5" borderId="0" xfId="44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5" borderId="0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5" borderId="9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61" fillId="8" borderId="16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8" borderId="18" xfId="44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8" borderId="18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8" borderId="19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0" borderId="0" xfId="4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7" fillId="0" borderId="0" xfId="4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0" borderId="10" xfId="4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10" xfId="4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0" borderId="10" xfId="4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10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7" fillId="0" borderId="0" xfId="44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0" borderId="0" xfId="44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97" fontId="7" fillId="3" borderId="0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7" fontId="7" fillId="8" borderId="0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7" fillId="0" borderId="0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7" fillId="0" borderId="0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7" fillId="3" borderId="0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4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7" fillId="0" borderId="0" xfId="3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4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4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64" fillId="0" borderId="0" xfId="3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64" fillId="0" borderId="0" xfId="3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7" fillId="0" borderId="6" xfId="44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0" borderId="6" xfId="44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97" fontId="7" fillId="3" borderId="6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7" fillId="0" borderId="6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7" fillId="0" borderId="6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7" fillId="3" borderId="6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7" fillId="5" borderId="0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7" fillId="5" borderId="6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4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1" fillId="0" borderId="0" xfId="8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8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8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9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9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9" borderId="3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9" borderId="3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9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8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9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9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9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1" xfId="8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" xfId="8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20" xfId="8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2" fontId="7" fillId="0" borderId="0" xfId="8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0" fillId="9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9" borderId="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5" xfId="8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2" fontId="7" fillId="8" borderId="0" xfId="8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7" fillId="8" borderId="22" xfId="8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9" borderId="8" xfId="8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9" borderId="0" xfId="8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3" xfId="8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2" fontId="7" fillId="11" borderId="10" xfId="8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7" fillId="11" borderId="24" xfId="8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9" borderId="8" xfId="8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8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8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6" xfId="8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7" xfId="8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1" borderId="28" xfId="8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9" borderId="0" xfId="8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7" fillId="0" borderId="0" xfId="8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8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9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7" fillId="0" borderId="0" xfId="8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9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2" fillId="11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11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1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1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10" xfId="8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10" xfId="8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10" xfId="8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9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2" fillId="5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8" fontId="7" fillId="0" borderId="0" xfId="8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11" borderId="0" xfId="8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8" borderId="0" xfId="8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8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9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7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8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8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8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9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9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9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9" borderId="8" xfId="8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7" fillId="9" borderId="0" xfId="8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7" fillId="9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9" borderId="16" xfId="8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7" fillId="9" borderId="18" xfId="19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7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EXTEMP1" xfId="20"/>
    <cellStyle name="Comma [0]_Oil&amp;Gas" xfId="21"/>
    <cellStyle name="Comma_DATA2" xfId="22"/>
    <cellStyle name="Comma_EP" xfId="23"/>
    <cellStyle name="Comma_EXTEMP1" xfId="24"/>
    <cellStyle name="Comma_MR" xfId="25"/>
    <cellStyle name="Comma_Oil&amp;Gas" xfId="26"/>
    <cellStyle name="Currency [0]_EP" xfId="27"/>
    <cellStyle name="Currency [0]_EXTEMP1" xfId="28"/>
    <cellStyle name="Currency [0]_Oil&amp;Gas" xfId="29"/>
    <cellStyle name="Currency_DATA2" xfId="30"/>
    <cellStyle name="Currency_EP" xfId="31"/>
    <cellStyle name="Currency_EXTEMP1" xfId="32"/>
    <cellStyle name="Currency_Oil&amp;Gas" xfId="33"/>
    <cellStyle name="general" xfId="34"/>
    <cellStyle name="Normal_$25WTI" xfId="35"/>
    <cellStyle name="Normal_Book2" xfId="36"/>
    <cellStyle name="Normal_CFMODEL.XLS" xfId="37"/>
    <cellStyle name="Normal_DATA2" xfId="38"/>
    <cellStyle name="Normal_EP" xfId="39"/>
    <cellStyle name="Normal_EscBreakdown" xfId="40"/>
    <cellStyle name="Normal_EXTEMP1" xfId="41"/>
    <cellStyle name="Normal_FOB232" xfId="42"/>
    <cellStyle name="Normal_indexprices" xfId="43"/>
    <cellStyle name="Normal_Oil&amp;Gas" xfId="44"/>
    <cellStyle name="Normal_Portugal Pricing Model contd att2" xfId="45"/>
    <cellStyle name="Normal_Portugal Pricing Model contd2" xfId="46"/>
    <cellStyle name="Normal_Premium PV Analysis" xfId="47"/>
    <cellStyle name="Normal_PREPA Proposal CIF" xfId="48"/>
    <cellStyle name="Normal_Sheet1" xfId="49"/>
    <cellStyle name="Normal_Sheet1 Chart 1" xfId="50"/>
    <cellStyle name="Normal_Sheet1 Chart 1-1" xfId="51"/>
    <cellStyle name="Normal_Sheet1 Chart 1-2" xfId="52"/>
    <cellStyle name="Normal_Sheet1 Chart 1-3" xfId="53"/>
    <cellStyle name="Normal_Sheet1 Chart 10" xfId="54"/>
    <cellStyle name="Normal_Sheet1 Chart 10-1" xfId="55"/>
    <cellStyle name="Normal_Sheet1 Chart 2" xfId="56"/>
    <cellStyle name="Normal_Sheet1 Chart 2-1" xfId="57"/>
    <cellStyle name="Normal_Sheet1 Chart 2-2" xfId="58"/>
    <cellStyle name="Normal_Sheet1 Chart 2-3" xfId="59"/>
    <cellStyle name="Normal_Sheet1 Chart 3" xfId="60"/>
    <cellStyle name="Normal_Sheet1 Chart 3-1" xfId="61"/>
    <cellStyle name="Normal_Sheet1 Chart 3-2" xfId="62"/>
    <cellStyle name="Normal_Sheet1 Chart 3-3" xfId="63"/>
    <cellStyle name="Normal_Sheet1 Chart 4" xfId="64"/>
    <cellStyle name="Normal_Sheet1 Chart 4-1" xfId="65"/>
    <cellStyle name="Normal_Sheet1 Chart 4-2" xfId="66"/>
    <cellStyle name="Normal_Sheet1 Chart 4-3" xfId="67"/>
    <cellStyle name="Normal_Sheet1 Chart 5" xfId="68"/>
    <cellStyle name="Normal_Sheet1 Chart 5-1" xfId="69"/>
    <cellStyle name="Normal_Sheet1 Chart 5-2" xfId="70"/>
    <cellStyle name="Normal_Sheet1 Chart 5-3" xfId="71"/>
    <cellStyle name="Normal_Sheet1 Chart 6" xfId="72"/>
    <cellStyle name="Normal_Sheet1 Chart 6-1" xfId="73"/>
    <cellStyle name="Normal_Sheet1 Chart 7" xfId="74"/>
    <cellStyle name="Normal_Sheet1 Chart 7-1" xfId="75"/>
    <cellStyle name="Normal_Sheet1 Chart 8" xfId="76"/>
    <cellStyle name="Normal_Sheet1 Chart 8-1" xfId="77"/>
    <cellStyle name="Normal_Sheet1 Chart 9" xfId="78"/>
    <cellStyle name="Normal_Sheet1 Chart 9-1" xfId="79"/>
    <cellStyle name="Normal_USInf (2)" xfId="80"/>
    <cellStyle name="Normal_VLNG031600IA" xfId="81"/>
    <cellStyle name="Normal_VLNGbase" xfId="82"/>
    <cellStyle name="uk" xfId="83"/>
    <cellStyle name="Un" xfId="84"/>
    <cellStyle name="Unprot" xfId="85"/>
    <cellStyle name="Unprot$" xfId="86"/>
    <cellStyle name="Unprot_data" xfId="87"/>
    <cellStyle name="Unprot_EXTEMP1" xfId="88"/>
    <cellStyle name="Unprot_MR" xfId="89"/>
    <cellStyle name="Unprot_USInf" xfId="90"/>
    <cellStyle name="Unprotect" xfId="91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externalLink" Target="externalLinks/externalLink1.xml"/><Relationship Id="rId14" Type="http://schemas.openxmlformats.org/officeDocument/2006/relationships/externalLink" Target="externalLinks/externalLink2.xml"/><Relationship Id="rId15" Type="http://schemas.openxmlformats.org/officeDocument/2006/relationships/externalLink" Target="externalLinks/externalLink3.xml"/><Relationship Id="rId16" Type="http://schemas.openxmlformats.org/officeDocument/2006/relationships/externalLink" Target="externalLinks/externalLink4.xml"/><Relationship Id="rId17" Type="http://schemas.openxmlformats.org/officeDocument/2006/relationships/externalLink" Target="externalLinks/externalLink5.xml"/><Relationship Id="rId1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My%20Documents/Vlng/VLNG031600IA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DC4/VOL1/COMMON/DEV_FIN/BASE/MODELS/PPLANT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My%20Documents/Vlng/Vlng/VLNGBank080399At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lakedil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ECM/RAAP/$CAPBKS/SHIFT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F"/>
      <sheetName val="TOC"/>
      <sheetName val="TOC2"/>
      <sheetName val="ASS"/>
      <sheetName val="AssB"/>
      <sheetName val="CF"/>
      <sheetName val="FIN"/>
      <sheetName val="IDC"/>
      <sheetName val="DEPR"/>
      <sheetName val="BS_IS"/>
      <sheetName val="IS_CFS"/>
      <sheetName val="TAXES"/>
      <sheetName val="B1"/>
      <sheetName val="B2"/>
      <sheetName val="B3"/>
      <sheetName val="B4"/>
      <sheetName val="B5"/>
      <sheetName val="B6"/>
      <sheetName val="B7"/>
      <sheetName val="B8"/>
      <sheetName val="BSumm"/>
      <sheetName val="Vols"/>
      <sheetName val="FOBCalc"/>
      <sheetName val="FuelCrv"/>
      <sheetName val="Swaps"/>
      <sheetName val="OtherTariffs"/>
      <sheetName val="Shipping"/>
      <sheetName val="NewInletGas"/>
      <sheetName val="AdditlFuels"/>
      <sheetName val="ElbaPrem"/>
      <sheetName val="MONETARY ADJUSTMENTS"/>
      <sheetName val="M1"/>
      <sheetName val="M6"/>
    </sheetNames>
    <sheetDataSet>
      <sheetData sheetId="0"/>
      <sheetData sheetId="1"/>
      <sheetData sheetId="2"/>
      <sheetData sheetId="3"/>
      <sheetData sheetId="4"/>
      <sheetData sheetId="5">
        <row r="8">
          <cell r="D8">
            <v>2003</v>
          </cell>
          <cell r="E8">
            <v>2004</v>
          </cell>
          <cell r="F8">
            <v>2005</v>
          </cell>
          <cell r="G8">
            <v>2006</v>
          </cell>
          <cell r="H8">
            <v>2007</v>
          </cell>
          <cell r="I8">
            <v>2008</v>
          </cell>
          <cell r="J8">
            <v>2009</v>
          </cell>
          <cell r="K8">
            <v>2010</v>
          </cell>
          <cell r="L8">
            <v>2011</v>
          </cell>
          <cell r="M8">
            <v>2012</v>
          </cell>
          <cell r="N8">
            <v>2013</v>
          </cell>
          <cell r="O8">
            <v>2014</v>
          </cell>
          <cell r="P8">
            <v>2015</v>
          </cell>
          <cell r="Q8">
            <v>2016</v>
          </cell>
          <cell r="R8">
            <v>2017</v>
          </cell>
          <cell r="S8">
            <v>2018</v>
          </cell>
          <cell r="T8">
            <v>2019</v>
          </cell>
          <cell r="U8">
            <v>2020</v>
          </cell>
          <cell r="V8">
            <v>2021</v>
          </cell>
          <cell r="W8">
            <v>2022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ASS"/>
      <sheetName val="RETURNS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art"/>
      <sheetName val="RETURNS"/>
      <sheetName val="Ref"/>
      <sheetName val="OthProjCost"/>
      <sheetName val="PRPipe"/>
      <sheetName val="DRReg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um"/>
      <sheetName val="Inc"/>
      <sheetName val="LC"/>
      <sheetName val="Sens"/>
      <sheetName val="Cash"/>
      <sheetName val="IDC"/>
      <sheetName val="Fin"/>
      <sheetName val="Tax"/>
      <sheetName val="Dep"/>
      <sheetName val="Esc"/>
      <sheetName val="O&amp;M"/>
      <sheetName val="Amort"/>
      <sheetName val="Put"/>
      <sheetName val="Module1"/>
      <sheetName val="Module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Default Probs"/>
      <sheetName val="Parms"/>
      <sheetName val="US PPI"/>
      <sheetName val="USI"/>
      <sheetName val="1mlibor"/>
      <sheetName val="3mlibor"/>
      <sheetName val="6mlibor"/>
      <sheetName val="HistTsy"/>
      <sheetName val="Treasury"/>
      <sheetName val="CURVES"/>
      <sheetName val="Argentina"/>
      <sheetName val="Australia"/>
      <sheetName val="Bolivia"/>
      <sheetName val="Brazil"/>
      <sheetName val="Canada"/>
      <sheetName val="Chile"/>
      <sheetName val="China"/>
      <sheetName val="Colombia"/>
      <sheetName val="DomRep"/>
      <sheetName val="Egypt"/>
      <sheetName val="El Salvador"/>
      <sheetName val="Euro"/>
      <sheetName val="Finland"/>
      <sheetName val="Germany"/>
      <sheetName val="Greece"/>
      <sheetName val="Guatemala"/>
      <sheetName val="India"/>
      <sheetName val="Indonesia"/>
      <sheetName val="Italy"/>
      <sheetName val="Jamaica"/>
      <sheetName val="Mexico"/>
      <sheetName val="Morocco"/>
      <sheetName val="Nicaragua"/>
      <sheetName val="Nigeria"/>
      <sheetName val="Panama"/>
      <sheetName val="Puerto Rico"/>
      <sheetName val="Philippines"/>
      <sheetName val="Poland"/>
      <sheetName val="Romania"/>
      <sheetName val="SaudiArabia"/>
      <sheetName val="SouthKorea"/>
      <sheetName val="Switzerland"/>
      <sheetName val="Taiwan"/>
      <sheetName val="Thailand"/>
      <sheetName val="Turkey"/>
      <sheetName val="UK"/>
      <sheetName val="Venezuela"/>
      <sheetName val="Range Names"/>
      <sheetName val="Module1"/>
      <sheetName val="Module2"/>
    </sheetNames>
    <definedNames>
      <definedName name="ParmUpdate" refersTo="[5]Parms!$D$3"/>
      <definedName name="GasK" refersTo="[5]Parms!$B$8"/>
      <definedName name="AecoK" refersTo="[5]Parms!$B$18"/>
      <definedName name="GasVol" refersTo="[5]Parms!$C$8"/>
      <definedName name="AecoVol" refersTo="[5]Parms!$C$18"/>
      <definedName name="GasGamma" refersTo="[5]Parms!$D$8"/>
      <definedName name="AecoGamma" refersTo="[5]Parms!$D$18"/>
      <definedName name="GasUpdate" refersTo="[5]CURVES!$D$3"/>
      <definedName name="OilK" refersTo="[5]Parms!$B$13"/>
      <definedName name="BrentK" refersTo="[5]Parms!$B$23"/>
      <definedName name="OilVol" refersTo="[5]Parms!$C$13"/>
      <definedName name="BrentVol" refersTo="[5]Parms!$C$23"/>
      <definedName name="OilGamma" refersTo="[5]Parms!$D$13"/>
      <definedName name="BrentGamma" refersTo="[5]Parms!$D$23"/>
      <definedName name="OilUpdate" refersTo="[5]CURVES!$I$3"/>
      <definedName name="AecoUpdate" refersTo="[5]CURVES!$T$3"/>
      <definedName name="BrentUpdate" refersTo="[5]CURVES!$AA$3"/>
      <definedName name="GasCurve" refersTo="[5]CURVES!$A$5:$D$345"/>
      <definedName name="AecoCurve" refersTo="[5]CURVES!$P$5:$V$424"/>
      <definedName name="OilCurve" refersTo="[5]CURVES!$F$5:$I$246"/>
      <definedName name="BrentCurve" refersTo="[5]CURVES!$X$5:$AB$421"/>
      <definedName name="GasUnit" refersTo="[5]Parms!$E$6"/>
      <definedName name="AecoUnit" refersTo="[5]Parms!$E$16"/>
      <definedName name="OilUnit" refersTo="[5]Parms!$E$11"/>
      <definedName name="BrentUnit" refersTo="[5]Parms!$E$21"/>
      <definedName name="USCPIDrift" refersTo="[5]USI!$I$8"/>
      <definedName name="USCPIVol" refersTo="[5]USI!$J$8"/>
      <definedName name="CPIndex" refersTo="[5]USI!$A$6:$G$473"/>
    </definedNames>
    <sheetDataSet>
      <sheetData sheetId="0"/>
      <sheetData sheetId="1">
        <row r="3">
          <cell r="D3">
            <v>36616</v>
          </cell>
        </row>
        <row r="6">
          <cell r="E6" t="str">
            <v>(UD/MMBTU)</v>
          </cell>
        </row>
        <row r="8">
          <cell r="B8">
            <v>0.3982</v>
          </cell>
          <cell r="C8">
            <v>0.3135</v>
          </cell>
          <cell r="D8">
            <v>0.5</v>
          </cell>
        </row>
        <row r="11">
          <cell r="E11" t="str">
            <v>(UD/BBL)</v>
          </cell>
        </row>
        <row r="13">
          <cell r="B13">
            <v>0.099</v>
          </cell>
          <cell r="C13">
            <v>1.664</v>
          </cell>
          <cell r="D13">
            <v>0</v>
          </cell>
        </row>
        <row r="16">
          <cell r="E16" t="str">
            <v>(UD/MMBTU)</v>
          </cell>
        </row>
        <row r="18">
          <cell r="B18">
            <v>0.1677</v>
          </cell>
          <cell r="C18">
            <v>0.2302</v>
          </cell>
          <cell r="D18">
            <v>0.5</v>
          </cell>
        </row>
        <row r="21">
          <cell r="E21" t="str">
            <v>(UD/BBL)</v>
          </cell>
        </row>
        <row r="23">
          <cell r="B23">
            <v>0.0854</v>
          </cell>
          <cell r="C23">
            <v>1.667</v>
          </cell>
          <cell r="D23">
            <v>0</v>
          </cell>
        </row>
      </sheetData>
      <sheetData sheetId="2"/>
      <sheetData sheetId="3">
        <row r="6">
          <cell r="A6">
            <v>35431</v>
          </cell>
          <cell r="B6">
            <v>159.1</v>
          </cell>
        </row>
        <row r="7">
          <cell r="A7">
            <v>35462</v>
          </cell>
          <cell r="B7">
            <v>159.6</v>
          </cell>
        </row>
        <row r="8">
          <cell r="A8">
            <v>35490</v>
          </cell>
          <cell r="B8">
            <v>160</v>
          </cell>
        </row>
        <row r="8">
          <cell r="I8">
            <v>0.00195912221803987</v>
          </cell>
          <cell r="J8">
            <v>0.00123638634942494</v>
          </cell>
        </row>
        <row r="9">
          <cell r="A9">
            <v>35521</v>
          </cell>
          <cell r="B9">
            <v>160.2</v>
          </cell>
        </row>
        <row r="10">
          <cell r="A10">
            <v>35551</v>
          </cell>
          <cell r="B10">
            <v>160.1</v>
          </cell>
        </row>
        <row r="11">
          <cell r="A11">
            <v>35582</v>
          </cell>
          <cell r="B11">
            <v>160.4</v>
          </cell>
        </row>
        <row r="12">
          <cell r="A12">
            <v>35612</v>
          </cell>
          <cell r="B12">
            <v>160.6</v>
          </cell>
        </row>
        <row r="13">
          <cell r="A13">
            <v>35643</v>
          </cell>
          <cell r="B13">
            <v>160.9</v>
          </cell>
        </row>
        <row r="14">
          <cell r="A14">
            <v>35674</v>
          </cell>
          <cell r="B14">
            <v>161.3</v>
          </cell>
        </row>
        <row r="15">
          <cell r="A15">
            <v>35704</v>
          </cell>
          <cell r="B15">
            <v>161.6</v>
          </cell>
        </row>
        <row r="16">
          <cell r="A16">
            <v>35735</v>
          </cell>
          <cell r="B16">
            <v>161.8</v>
          </cell>
        </row>
        <row r="17">
          <cell r="A17">
            <v>35765</v>
          </cell>
          <cell r="B17">
            <v>161.9</v>
          </cell>
        </row>
        <row r="18">
          <cell r="A18">
            <v>35796</v>
          </cell>
          <cell r="B18">
            <v>161.9</v>
          </cell>
        </row>
        <row r="19">
          <cell r="A19">
            <v>35827</v>
          </cell>
          <cell r="B19">
            <v>162</v>
          </cell>
        </row>
        <row r="20">
          <cell r="A20">
            <v>35855</v>
          </cell>
          <cell r="B20">
            <v>162</v>
          </cell>
        </row>
        <row r="21">
          <cell r="A21">
            <v>35886</v>
          </cell>
          <cell r="B21">
            <v>162.4</v>
          </cell>
        </row>
        <row r="22">
          <cell r="A22">
            <v>35916</v>
          </cell>
          <cell r="B22">
            <v>162.9</v>
          </cell>
        </row>
        <row r="23">
          <cell r="A23">
            <v>35947</v>
          </cell>
          <cell r="B23">
            <v>163</v>
          </cell>
        </row>
        <row r="24">
          <cell r="A24">
            <v>35977</v>
          </cell>
          <cell r="B24">
            <v>163.3</v>
          </cell>
        </row>
        <row r="25">
          <cell r="A25">
            <v>36008</v>
          </cell>
          <cell r="B25">
            <v>163.5</v>
          </cell>
        </row>
        <row r="26">
          <cell r="A26">
            <v>36039</v>
          </cell>
          <cell r="B26">
            <v>163.6</v>
          </cell>
        </row>
        <row r="27">
          <cell r="A27">
            <v>36069</v>
          </cell>
          <cell r="B27">
            <v>163.9</v>
          </cell>
        </row>
        <row r="28">
          <cell r="A28">
            <v>36100</v>
          </cell>
          <cell r="B28">
            <v>164.2</v>
          </cell>
        </row>
        <row r="29">
          <cell r="A29">
            <v>36130</v>
          </cell>
          <cell r="B29">
            <v>164.4</v>
          </cell>
        </row>
        <row r="30">
          <cell r="A30">
            <v>36161</v>
          </cell>
          <cell r="B30">
            <v>164.6</v>
          </cell>
        </row>
        <row r="31">
          <cell r="A31">
            <v>36192</v>
          </cell>
          <cell r="B31">
            <v>164.7</v>
          </cell>
        </row>
        <row r="32">
          <cell r="A32">
            <v>36220</v>
          </cell>
          <cell r="B32">
            <v>165</v>
          </cell>
        </row>
        <row r="33">
          <cell r="A33">
            <v>36251</v>
          </cell>
          <cell r="B33">
            <v>166.2</v>
          </cell>
        </row>
        <row r="34">
          <cell r="A34">
            <v>36281</v>
          </cell>
          <cell r="B34">
            <v>166.2</v>
          </cell>
        </row>
        <row r="35">
          <cell r="A35">
            <v>36312</v>
          </cell>
          <cell r="B35">
            <v>166.2</v>
          </cell>
        </row>
        <row r="36">
          <cell r="A36">
            <v>36342</v>
          </cell>
          <cell r="B36">
            <v>166.7</v>
          </cell>
        </row>
        <row r="37">
          <cell r="A37">
            <v>36373</v>
          </cell>
          <cell r="B37">
            <v>167.1</v>
          </cell>
        </row>
        <row r="38">
          <cell r="A38">
            <v>36404</v>
          </cell>
          <cell r="B38">
            <v>167.9</v>
          </cell>
        </row>
        <row r="39">
          <cell r="A39">
            <v>36434</v>
          </cell>
          <cell r="B39">
            <v>168.2</v>
          </cell>
        </row>
        <row r="40">
          <cell r="A40">
            <v>36465</v>
          </cell>
          <cell r="B40">
            <v>168.4</v>
          </cell>
        </row>
        <row r="41">
          <cell r="A41">
            <v>36495</v>
          </cell>
          <cell r="B41">
            <v>168.8</v>
          </cell>
        </row>
        <row r="42">
          <cell r="A42">
            <v>36526</v>
          </cell>
          <cell r="B42">
            <v>169.1</v>
          </cell>
        </row>
        <row r="43">
          <cell r="A43">
            <v>36557</v>
          </cell>
          <cell r="B43">
            <v>169.7</v>
          </cell>
          <cell r="C43">
            <v>169.490736743504</v>
          </cell>
          <cell r="D43">
            <v>0.0023080189417772</v>
          </cell>
          <cell r="E43">
            <v>0</v>
          </cell>
          <cell r="F43">
            <v>0.0023080189417772</v>
          </cell>
          <cell r="G43">
            <v>0.00123638634942494</v>
          </cell>
        </row>
        <row r="44">
          <cell r="A44">
            <v>36586</v>
          </cell>
          <cell r="B44">
            <v>0</v>
          </cell>
          <cell r="C44">
            <v>170.149600556783</v>
          </cell>
          <cell r="D44">
            <v>0.0026458811094018</v>
          </cell>
          <cell r="E44">
            <v>0</v>
          </cell>
          <cell r="F44">
            <v>0.0026458811094018</v>
          </cell>
          <cell r="G44">
            <v>0.00123638634942494</v>
          </cell>
        </row>
        <row r="45">
          <cell r="A45">
            <v>36617</v>
          </cell>
          <cell r="B45">
            <v>0</v>
          </cell>
          <cell r="C45">
            <v>170.603972689454</v>
          </cell>
          <cell r="D45">
            <v>0.00266686801045785</v>
          </cell>
          <cell r="E45">
            <v>0</v>
          </cell>
          <cell r="F45">
            <v>0.00266686801045785</v>
          </cell>
          <cell r="G45">
            <v>0.00123638634942494</v>
          </cell>
        </row>
        <row r="46">
          <cell r="A46">
            <v>36647</v>
          </cell>
          <cell r="B46">
            <v>0</v>
          </cell>
          <cell r="C46">
            <v>171.063147333643</v>
          </cell>
          <cell r="D46">
            <v>0.00268784962744431</v>
          </cell>
          <cell r="E46">
            <v>0</v>
          </cell>
          <cell r="F46">
            <v>0.00268784962744431</v>
          </cell>
          <cell r="G46">
            <v>0.00123638634942494</v>
          </cell>
        </row>
        <row r="47">
          <cell r="A47">
            <v>36678</v>
          </cell>
          <cell r="B47">
            <v>0</v>
          </cell>
          <cell r="C47">
            <v>171.527155803821</v>
          </cell>
          <cell r="D47">
            <v>0.00270882596302165</v>
          </cell>
          <cell r="E47">
            <v>0</v>
          </cell>
          <cell r="F47">
            <v>0.00270882596302165</v>
          </cell>
          <cell r="G47">
            <v>0.00123638634942494</v>
          </cell>
        </row>
        <row r="48">
          <cell r="A48">
            <v>36708</v>
          </cell>
          <cell r="B48">
            <v>0</v>
          </cell>
          <cell r="C48">
            <v>171.996029796809</v>
          </cell>
          <cell r="D48">
            <v>0.00272979701984762</v>
          </cell>
          <cell r="E48">
            <v>0</v>
          </cell>
          <cell r="F48">
            <v>0.00272979701984762</v>
          </cell>
          <cell r="G48">
            <v>0.00123638634942494</v>
          </cell>
        </row>
        <row r="49">
          <cell r="A49">
            <v>36739</v>
          </cell>
          <cell r="B49">
            <v>0</v>
          </cell>
          <cell r="C49">
            <v>172.469801395325</v>
          </cell>
          <cell r="D49">
            <v>0.00275076280057879</v>
          </cell>
          <cell r="E49">
            <v>0</v>
          </cell>
          <cell r="F49">
            <v>0.00275076280057879</v>
          </cell>
          <cell r="G49">
            <v>0.00123638634942494</v>
          </cell>
        </row>
        <row r="50">
          <cell r="A50">
            <v>36770</v>
          </cell>
          <cell r="B50">
            <v>0</v>
          </cell>
          <cell r="C50">
            <v>172.948503071586</v>
          </cell>
          <cell r="D50">
            <v>0.00277172330786901</v>
          </cell>
          <cell r="E50">
            <v>0</v>
          </cell>
          <cell r="F50">
            <v>0.00277172330786901</v>
          </cell>
          <cell r="G50">
            <v>0.00123638634942494</v>
          </cell>
        </row>
        <row r="51">
          <cell r="A51">
            <v>36800</v>
          </cell>
          <cell r="B51">
            <v>0</v>
          </cell>
          <cell r="C51">
            <v>173.432167690954</v>
          </cell>
          <cell r="D51">
            <v>0.0027926785443707</v>
          </cell>
          <cell r="E51">
            <v>0</v>
          </cell>
          <cell r="F51">
            <v>0.0027926785443707</v>
          </cell>
          <cell r="G51">
            <v>0.00123638634942494</v>
          </cell>
        </row>
        <row r="52">
          <cell r="A52">
            <v>36831</v>
          </cell>
          <cell r="B52">
            <v>0</v>
          </cell>
          <cell r="C52">
            <v>173.920828515636</v>
          </cell>
          <cell r="D52">
            <v>0.00281362851273382</v>
          </cell>
          <cell r="E52">
            <v>0</v>
          </cell>
          <cell r="F52">
            <v>0.00281362851273382</v>
          </cell>
          <cell r="G52">
            <v>0.00123638634942494</v>
          </cell>
        </row>
        <row r="53">
          <cell r="A53">
            <v>36861</v>
          </cell>
          <cell r="B53">
            <v>0</v>
          </cell>
          <cell r="C53">
            <v>174.41451920843</v>
          </cell>
          <cell r="D53">
            <v>0.00283457321560646</v>
          </cell>
          <cell r="E53">
            <v>0</v>
          </cell>
          <cell r="F53">
            <v>0.00283457321560646</v>
          </cell>
          <cell r="G53">
            <v>0.00123638634942494</v>
          </cell>
        </row>
        <row r="54">
          <cell r="A54">
            <v>36892</v>
          </cell>
          <cell r="B54">
            <v>0</v>
          </cell>
          <cell r="C54">
            <v>174.905384223787</v>
          </cell>
          <cell r="D54">
            <v>0.00281040578346851</v>
          </cell>
          <cell r="E54">
            <v>0</v>
          </cell>
          <cell r="F54">
            <v>0.00281040578346851</v>
          </cell>
          <cell r="G54">
            <v>0.00123638634942494</v>
          </cell>
        </row>
        <row r="55">
          <cell r="A55">
            <v>36923</v>
          </cell>
          <cell r="B55">
            <v>0</v>
          </cell>
          <cell r="C55">
            <v>175.393390620593</v>
          </cell>
          <cell r="D55">
            <v>0.00278623134051978</v>
          </cell>
          <cell r="E55">
            <v>0</v>
          </cell>
          <cell r="F55">
            <v>0.00278623134051978</v>
          </cell>
          <cell r="G55">
            <v>0.00123638634942494</v>
          </cell>
        </row>
        <row r="56">
          <cell r="A56">
            <v>36951</v>
          </cell>
          <cell r="B56">
            <v>0</v>
          </cell>
          <cell r="C56">
            <v>175.878505562006</v>
          </cell>
          <cell r="D56">
            <v>0.00276204988269178</v>
          </cell>
          <cell r="E56">
            <v>0</v>
          </cell>
          <cell r="F56">
            <v>0.00276204988269178</v>
          </cell>
          <cell r="G56">
            <v>0.00123638634942494</v>
          </cell>
        </row>
        <row r="57">
          <cell r="A57">
            <v>36982</v>
          </cell>
          <cell r="B57">
            <v>0</v>
          </cell>
          <cell r="C57">
            <v>176.360696319042</v>
          </cell>
          <cell r="D57">
            <v>0.00273786140591221</v>
          </cell>
          <cell r="E57">
            <v>0</v>
          </cell>
          <cell r="F57">
            <v>0.00273786140591221</v>
          </cell>
          <cell r="G57">
            <v>0.00123638634942494</v>
          </cell>
        </row>
        <row r="58">
          <cell r="A58">
            <v>37012</v>
          </cell>
          <cell r="B58">
            <v>0</v>
          </cell>
          <cell r="C58">
            <v>176.839930274153</v>
          </cell>
          <cell r="D58">
            <v>0.00271366590610514</v>
          </cell>
          <cell r="E58">
            <v>0</v>
          </cell>
          <cell r="F58">
            <v>0.00271366590610514</v>
          </cell>
          <cell r="G58">
            <v>0.00123638634942494</v>
          </cell>
        </row>
        <row r="59">
          <cell r="A59">
            <v>37043</v>
          </cell>
          <cell r="B59">
            <v>0</v>
          </cell>
          <cell r="C59">
            <v>177.316174924813</v>
          </cell>
          <cell r="D59">
            <v>0.00268946337919123</v>
          </cell>
          <cell r="E59">
            <v>0</v>
          </cell>
          <cell r="F59">
            <v>0.00268946337919123</v>
          </cell>
          <cell r="G59">
            <v>0.00123638634942494</v>
          </cell>
        </row>
        <row r="60">
          <cell r="A60">
            <v>37073</v>
          </cell>
          <cell r="B60">
            <v>0</v>
          </cell>
          <cell r="C60">
            <v>177.789397887095</v>
          </cell>
          <cell r="D60">
            <v>0.00266525382108755</v>
          </cell>
          <cell r="E60">
            <v>0</v>
          </cell>
          <cell r="F60">
            <v>0.00266525382108755</v>
          </cell>
          <cell r="G60">
            <v>0.00123638634942494</v>
          </cell>
        </row>
        <row r="61">
          <cell r="A61">
            <v>37104</v>
          </cell>
          <cell r="B61">
            <v>0</v>
          </cell>
          <cell r="C61">
            <v>178.25956689925</v>
          </cell>
          <cell r="D61">
            <v>0.00264103722770752</v>
          </cell>
          <cell r="E61">
            <v>0</v>
          </cell>
          <cell r="F61">
            <v>0.00264103722770752</v>
          </cell>
          <cell r="G61">
            <v>0.00123638634942494</v>
          </cell>
        </row>
        <row r="62">
          <cell r="A62">
            <v>37135</v>
          </cell>
          <cell r="B62">
            <v>0</v>
          </cell>
          <cell r="C62">
            <v>178.726649825282</v>
          </cell>
          <cell r="D62">
            <v>0.00261681359496096</v>
          </cell>
          <cell r="E62">
            <v>0</v>
          </cell>
          <cell r="F62">
            <v>0.00261681359496096</v>
          </cell>
          <cell r="G62">
            <v>0.00123638634942494</v>
          </cell>
        </row>
        <row r="63">
          <cell r="A63">
            <v>37165</v>
          </cell>
          <cell r="B63">
            <v>0</v>
          </cell>
          <cell r="C63">
            <v>179.190614658518</v>
          </cell>
          <cell r="D63">
            <v>0.00259258291875429</v>
          </cell>
          <cell r="E63">
            <v>0</v>
          </cell>
          <cell r="F63">
            <v>0.00259258291875429</v>
          </cell>
          <cell r="G63">
            <v>0.00123638634942494</v>
          </cell>
        </row>
        <row r="64">
          <cell r="A64">
            <v>37196</v>
          </cell>
          <cell r="B64">
            <v>0</v>
          </cell>
          <cell r="C64">
            <v>179.651429525178</v>
          </cell>
          <cell r="D64">
            <v>0.00256834519499051</v>
          </cell>
          <cell r="E64">
            <v>0</v>
          </cell>
          <cell r="F64">
            <v>0.00256834519499051</v>
          </cell>
          <cell r="G64">
            <v>0.00123638634942494</v>
          </cell>
        </row>
        <row r="65">
          <cell r="A65">
            <v>37226</v>
          </cell>
          <cell r="B65">
            <v>0</v>
          </cell>
          <cell r="C65">
            <v>180.109062687936</v>
          </cell>
          <cell r="D65">
            <v>0.00254410041956859</v>
          </cell>
          <cell r="E65">
            <v>0</v>
          </cell>
          <cell r="F65">
            <v>0.00254410041956859</v>
          </cell>
          <cell r="G65">
            <v>0.00123638634942494</v>
          </cell>
        </row>
        <row r="66">
          <cell r="A66">
            <v>37257</v>
          </cell>
          <cell r="B66">
            <v>0</v>
          </cell>
          <cell r="C66">
            <v>180.566645312574</v>
          </cell>
          <cell r="D66">
            <v>0.0025373645077245</v>
          </cell>
          <cell r="E66">
            <v>0</v>
          </cell>
          <cell r="F66">
            <v>0.0025373645077245</v>
          </cell>
          <cell r="G66">
            <v>0.00123638634942494</v>
          </cell>
        </row>
        <row r="67">
          <cell r="A67">
            <v>37288</v>
          </cell>
          <cell r="B67">
            <v>0</v>
          </cell>
          <cell r="C67">
            <v>181.024170999843</v>
          </cell>
          <cell r="D67">
            <v>0.00253062805136639</v>
          </cell>
          <cell r="E67">
            <v>0</v>
          </cell>
          <cell r="F67">
            <v>0.00253062805136639</v>
          </cell>
          <cell r="G67">
            <v>0.00123638634942494</v>
          </cell>
        </row>
        <row r="68">
          <cell r="A68">
            <v>37316</v>
          </cell>
          <cell r="B68">
            <v>0</v>
          </cell>
          <cell r="C68">
            <v>181.481633334646</v>
          </cell>
          <cell r="D68">
            <v>0.00252389105040606</v>
          </cell>
          <cell r="E68">
            <v>0</v>
          </cell>
          <cell r="F68">
            <v>0.00252389105040606</v>
          </cell>
          <cell r="G68">
            <v>0.00123638634942494</v>
          </cell>
        </row>
        <row r="69">
          <cell r="A69">
            <v>37347</v>
          </cell>
          <cell r="B69">
            <v>0</v>
          </cell>
          <cell r="C69">
            <v>181.93902588617</v>
          </cell>
          <cell r="D69">
            <v>0.0025171535047555</v>
          </cell>
          <cell r="E69">
            <v>0</v>
          </cell>
          <cell r="F69">
            <v>0.0025171535047555</v>
          </cell>
          <cell r="G69">
            <v>0.00123638634942494</v>
          </cell>
        </row>
        <row r="70">
          <cell r="A70">
            <v>37377</v>
          </cell>
          <cell r="B70">
            <v>0</v>
          </cell>
          <cell r="C70">
            <v>182.39634220802</v>
          </cell>
          <cell r="D70">
            <v>0.0025104154143267</v>
          </cell>
          <cell r="E70">
            <v>0</v>
          </cell>
          <cell r="F70">
            <v>0.0025104154143267</v>
          </cell>
          <cell r="G70">
            <v>0.00123638634942494</v>
          </cell>
        </row>
        <row r="71">
          <cell r="A71">
            <v>37408</v>
          </cell>
          <cell r="B71">
            <v>0</v>
          </cell>
          <cell r="C71">
            <v>182.853575838354</v>
          </cell>
          <cell r="D71">
            <v>0.00250367677903144</v>
          </cell>
          <cell r="E71">
            <v>0</v>
          </cell>
          <cell r="F71">
            <v>0.00250367677903144</v>
          </cell>
          <cell r="G71">
            <v>0.00123638634942494</v>
          </cell>
        </row>
        <row r="72">
          <cell r="A72">
            <v>37438</v>
          </cell>
          <cell r="B72">
            <v>0</v>
          </cell>
          <cell r="C72">
            <v>183.310720300021</v>
          </cell>
          <cell r="D72">
            <v>0.0024969375987817</v>
          </cell>
          <cell r="E72">
            <v>0</v>
          </cell>
          <cell r="F72">
            <v>0.0024969375987817</v>
          </cell>
          <cell r="G72">
            <v>0.00123638634942494</v>
          </cell>
        </row>
        <row r="73">
          <cell r="A73">
            <v>37469</v>
          </cell>
          <cell r="B73">
            <v>0</v>
          </cell>
          <cell r="C73">
            <v>183.767769100692</v>
          </cell>
          <cell r="D73">
            <v>0.00249019787348905</v>
          </cell>
          <cell r="E73">
            <v>0</v>
          </cell>
          <cell r="F73">
            <v>0.00249019787348905</v>
          </cell>
          <cell r="G73">
            <v>0.00123638634942494</v>
          </cell>
        </row>
        <row r="74">
          <cell r="A74">
            <v>37500</v>
          </cell>
          <cell r="B74">
            <v>0</v>
          </cell>
          <cell r="C74">
            <v>184.224715733004</v>
          </cell>
          <cell r="D74">
            <v>0.00248345760306589</v>
          </cell>
          <cell r="E74">
            <v>0</v>
          </cell>
          <cell r="F74">
            <v>0.00248345760306589</v>
          </cell>
          <cell r="G74">
            <v>0.00123638634942494</v>
          </cell>
        </row>
        <row r="75">
          <cell r="A75">
            <v>37530</v>
          </cell>
          <cell r="B75">
            <v>0</v>
          </cell>
          <cell r="C75">
            <v>184.681553674693</v>
          </cell>
          <cell r="D75">
            <v>0.00247671678742355</v>
          </cell>
          <cell r="E75">
            <v>0</v>
          </cell>
          <cell r="F75">
            <v>0.00247671678742355</v>
          </cell>
          <cell r="G75">
            <v>0.00123638634942494</v>
          </cell>
        </row>
        <row r="76">
          <cell r="A76">
            <v>37561</v>
          </cell>
          <cell r="B76">
            <v>0</v>
          </cell>
          <cell r="C76">
            <v>185.138276388735</v>
          </cell>
          <cell r="D76">
            <v>0.00246997542647378</v>
          </cell>
          <cell r="E76">
            <v>0</v>
          </cell>
          <cell r="F76">
            <v>0.00246997542647378</v>
          </cell>
          <cell r="G76">
            <v>0.00123638634942494</v>
          </cell>
        </row>
        <row r="77">
          <cell r="A77">
            <v>37591</v>
          </cell>
          <cell r="B77">
            <v>0</v>
          </cell>
          <cell r="C77">
            <v>185.594877323489</v>
          </cell>
          <cell r="D77">
            <v>0.00246323352012879</v>
          </cell>
          <cell r="E77">
            <v>0</v>
          </cell>
          <cell r="F77">
            <v>0.00246323352012879</v>
          </cell>
          <cell r="G77">
            <v>0.00123638634942494</v>
          </cell>
        </row>
        <row r="78">
          <cell r="A78">
            <v>37622</v>
          </cell>
          <cell r="B78">
            <v>0</v>
          </cell>
          <cell r="C78">
            <v>186.051349912833</v>
          </cell>
          <cell r="D78">
            <v>0.00245649106829987</v>
          </cell>
          <cell r="E78">
            <v>0</v>
          </cell>
          <cell r="F78">
            <v>0.00245649106829987</v>
          </cell>
          <cell r="G78">
            <v>0.00123638634942494</v>
          </cell>
        </row>
        <row r="79">
          <cell r="A79">
            <v>37653</v>
          </cell>
          <cell r="B79">
            <v>0</v>
          </cell>
          <cell r="C79">
            <v>186.507687576309</v>
          </cell>
          <cell r="D79">
            <v>0.002449748070899</v>
          </cell>
          <cell r="E79">
            <v>0</v>
          </cell>
          <cell r="F79">
            <v>0.002449748070899</v>
          </cell>
          <cell r="G79">
            <v>0.00123638634942494</v>
          </cell>
        </row>
        <row r="80">
          <cell r="A80">
            <v>37681</v>
          </cell>
          <cell r="B80">
            <v>0</v>
          </cell>
          <cell r="C80">
            <v>186.963883719264</v>
          </cell>
          <cell r="D80">
            <v>0.0024430045278377</v>
          </cell>
          <cell r="E80">
            <v>0</v>
          </cell>
          <cell r="F80">
            <v>0.0024430045278377</v>
          </cell>
          <cell r="G80">
            <v>0.00123638634942494</v>
          </cell>
        </row>
        <row r="81">
          <cell r="A81">
            <v>37712</v>
          </cell>
          <cell r="B81">
            <v>0</v>
          </cell>
          <cell r="C81">
            <v>187.419931732995</v>
          </cell>
          <cell r="D81">
            <v>0.00243626043902793</v>
          </cell>
          <cell r="E81">
            <v>0</v>
          </cell>
          <cell r="F81">
            <v>0.00243626043902793</v>
          </cell>
          <cell r="G81">
            <v>0.00123638634942494</v>
          </cell>
        </row>
        <row r="82">
          <cell r="A82">
            <v>37742</v>
          </cell>
          <cell r="B82">
            <v>0</v>
          </cell>
          <cell r="C82">
            <v>187.875824994895</v>
          </cell>
          <cell r="D82">
            <v>0.00242951580438098</v>
          </cell>
          <cell r="E82">
            <v>0</v>
          </cell>
          <cell r="F82">
            <v>0.00242951580438098</v>
          </cell>
          <cell r="G82">
            <v>0.00123638634942494</v>
          </cell>
        </row>
        <row r="83">
          <cell r="A83">
            <v>37773</v>
          </cell>
          <cell r="B83">
            <v>0</v>
          </cell>
          <cell r="C83">
            <v>188.331556868592</v>
          </cell>
          <cell r="D83">
            <v>0.00242277062380882</v>
          </cell>
          <cell r="E83">
            <v>0</v>
          </cell>
          <cell r="F83">
            <v>0.00242277062380882</v>
          </cell>
          <cell r="G83">
            <v>0.00123638634942494</v>
          </cell>
        </row>
        <row r="84">
          <cell r="A84">
            <v>37803</v>
          </cell>
          <cell r="B84">
            <v>0</v>
          </cell>
          <cell r="C84">
            <v>188.787120704104</v>
          </cell>
          <cell r="D84">
            <v>0.00241602489722296</v>
          </cell>
          <cell r="E84">
            <v>0</v>
          </cell>
          <cell r="F84">
            <v>0.00241602489722296</v>
          </cell>
          <cell r="G84">
            <v>0.00123638634942494</v>
          </cell>
        </row>
        <row r="85">
          <cell r="A85">
            <v>37834</v>
          </cell>
          <cell r="B85">
            <v>0</v>
          </cell>
          <cell r="C85">
            <v>189.242509837976</v>
          </cell>
          <cell r="D85">
            <v>0.00240927862453489</v>
          </cell>
          <cell r="E85">
            <v>0</v>
          </cell>
          <cell r="F85">
            <v>0.00240927862453489</v>
          </cell>
          <cell r="G85">
            <v>0.00123638634942494</v>
          </cell>
        </row>
        <row r="86">
          <cell r="A86">
            <v>37865</v>
          </cell>
          <cell r="B86">
            <v>0</v>
          </cell>
          <cell r="C86">
            <v>189.697717593439</v>
          </cell>
          <cell r="D86">
            <v>0.00240253180565635</v>
          </cell>
          <cell r="E86">
            <v>0</v>
          </cell>
          <cell r="F86">
            <v>0.00240253180565635</v>
          </cell>
          <cell r="G86">
            <v>0.00123638634942494</v>
          </cell>
        </row>
        <row r="87">
          <cell r="A87">
            <v>37895</v>
          </cell>
          <cell r="B87">
            <v>0</v>
          </cell>
          <cell r="C87">
            <v>190.152737280548</v>
          </cell>
          <cell r="D87">
            <v>0.00239578444049883</v>
          </cell>
          <cell r="E87">
            <v>0</v>
          </cell>
          <cell r="F87">
            <v>0.00239578444049883</v>
          </cell>
          <cell r="G87">
            <v>0.00123638634942494</v>
          </cell>
        </row>
        <row r="88">
          <cell r="A88">
            <v>37926</v>
          </cell>
          <cell r="B88">
            <v>0</v>
          </cell>
          <cell r="C88">
            <v>190.607562196338</v>
          </cell>
          <cell r="D88">
            <v>0.00238903652897384</v>
          </cell>
          <cell r="E88">
            <v>0</v>
          </cell>
          <cell r="F88">
            <v>0.00238903652897384</v>
          </cell>
          <cell r="G88">
            <v>0.00123638634942494</v>
          </cell>
        </row>
        <row r="89">
          <cell r="A89">
            <v>37956</v>
          </cell>
          <cell r="B89">
            <v>0</v>
          </cell>
          <cell r="C89">
            <v>191.062185624975</v>
          </cell>
          <cell r="D89">
            <v>0.00238228807099264</v>
          </cell>
          <cell r="E89">
            <v>0</v>
          </cell>
          <cell r="F89">
            <v>0.00238228807099264</v>
          </cell>
          <cell r="G89">
            <v>0.00123638634942494</v>
          </cell>
        </row>
        <row r="90">
          <cell r="A90">
            <v>37987</v>
          </cell>
          <cell r="B90">
            <v>0</v>
          </cell>
          <cell r="C90">
            <v>191.51724712528</v>
          </cell>
          <cell r="D90">
            <v>0.00237891363705349</v>
          </cell>
          <cell r="E90">
            <v>0</v>
          </cell>
          <cell r="F90">
            <v>0.00237891363705349</v>
          </cell>
          <cell r="G90">
            <v>0.00123638634942494</v>
          </cell>
        </row>
        <row r="91">
          <cell r="A91">
            <v>38018</v>
          </cell>
          <cell r="B91">
            <v>0</v>
          </cell>
          <cell r="C91">
            <v>191.972744639593</v>
          </cell>
          <cell r="D91">
            <v>0.00237553906646718</v>
          </cell>
          <cell r="E91">
            <v>0</v>
          </cell>
          <cell r="F91">
            <v>0.00237553906646718</v>
          </cell>
          <cell r="G91">
            <v>0.00123638634942494</v>
          </cell>
        </row>
        <row r="92">
          <cell r="A92">
            <v>38047</v>
          </cell>
          <cell r="B92">
            <v>0</v>
          </cell>
          <cell r="C92">
            <v>192.428676100751</v>
          </cell>
          <cell r="D92">
            <v>0.00237216435922261</v>
          </cell>
          <cell r="E92">
            <v>0</v>
          </cell>
          <cell r="F92">
            <v>0.00237216435922261</v>
          </cell>
          <cell r="G92">
            <v>0.00123638634942494</v>
          </cell>
        </row>
        <row r="93">
          <cell r="A93">
            <v>38078</v>
          </cell>
          <cell r="B93">
            <v>0</v>
          </cell>
          <cell r="C93">
            <v>192.885039432086</v>
          </cell>
          <cell r="D93">
            <v>0.00236878951530871</v>
          </cell>
          <cell r="E93">
            <v>0</v>
          </cell>
          <cell r="F93">
            <v>0.00236878951530871</v>
          </cell>
          <cell r="G93">
            <v>0.00123638634942494</v>
          </cell>
        </row>
        <row r="94">
          <cell r="A94">
            <v>38108</v>
          </cell>
          <cell r="B94">
            <v>0</v>
          </cell>
          <cell r="C94">
            <v>193.341832547438</v>
          </cell>
          <cell r="D94">
            <v>0.00236541453471437</v>
          </cell>
          <cell r="E94">
            <v>0</v>
          </cell>
          <cell r="F94">
            <v>0.00236541453471437</v>
          </cell>
          <cell r="G94">
            <v>0.00123638634942494</v>
          </cell>
        </row>
        <row r="95">
          <cell r="A95">
            <v>38139</v>
          </cell>
          <cell r="B95">
            <v>0</v>
          </cell>
          <cell r="C95">
            <v>193.799053351155</v>
          </cell>
          <cell r="D95">
            <v>0.0023620394174285</v>
          </cell>
          <cell r="E95">
            <v>0</v>
          </cell>
          <cell r="F95">
            <v>0.0023620394174285</v>
          </cell>
          <cell r="G95">
            <v>0.00123638634942494</v>
          </cell>
        </row>
        <row r="96">
          <cell r="A96">
            <v>38169</v>
          </cell>
          <cell r="B96">
            <v>0</v>
          </cell>
          <cell r="C96">
            <v>194.256699738101</v>
          </cell>
          <cell r="D96">
            <v>0.00235866416344024</v>
          </cell>
          <cell r="E96">
            <v>0</v>
          </cell>
          <cell r="F96">
            <v>0.00235866416344024</v>
          </cell>
          <cell r="G96">
            <v>0.00123638634942494</v>
          </cell>
        </row>
        <row r="97">
          <cell r="A97">
            <v>38200</v>
          </cell>
          <cell r="B97">
            <v>0</v>
          </cell>
          <cell r="C97">
            <v>194.714769593659</v>
          </cell>
          <cell r="D97">
            <v>0.00235528877273826</v>
          </cell>
          <cell r="E97">
            <v>0</v>
          </cell>
          <cell r="F97">
            <v>0.00235528877273826</v>
          </cell>
          <cell r="G97">
            <v>0.00123638634942494</v>
          </cell>
        </row>
        <row r="98">
          <cell r="A98">
            <v>38231</v>
          </cell>
          <cell r="B98">
            <v>0</v>
          </cell>
          <cell r="C98">
            <v>195.173260793743</v>
          </cell>
          <cell r="D98">
            <v>0.0023519132453117</v>
          </cell>
          <cell r="E98">
            <v>0</v>
          </cell>
          <cell r="F98">
            <v>0.0023519132453117</v>
          </cell>
          <cell r="G98">
            <v>0.00123638634942494</v>
          </cell>
        </row>
        <row r="99">
          <cell r="A99">
            <v>38261</v>
          </cell>
          <cell r="B99">
            <v>0</v>
          </cell>
          <cell r="C99">
            <v>195.632171204794</v>
          </cell>
          <cell r="D99">
            <v>0.00234853758114924</v>
          </cell>
          <cell r="E99">
            <v>0</v>
          </cell>
          <cell r="F99">
            <v>0.00234853758114924</v>
          </cell>
          <cell r="G99">
            <v>0.00123638634942494</v>
          </cell>
        </row>
        <row r="100">
          <cell r="A100">
            <v>38292</v>
          </cell>
          <cell r="B100">
            <v>0</v>
          </cell>
          <cell r="C100">
            <v>196.091498683796</v>
          </cell>
          <cell r="D100">
            <v>0.00234516178024001</v>
          </cell>
          <cell r="E100">
            <v>0</v>
          </cell>
          <cell r="F100">
            <v>0.00234516178024001</v>
          </cell>
          <cell r="G100">
            <v>0.00123638634942494</v>
          </cell>
        </row>
        <row r="101">
          <cell r="A101">
            <v>38322</v>
          </cell>
          <cell r="B101">
            <v>0</v>
          </cell>
          <cell r="C101">
            <v>196.551241078277</v>
          </cell>
          <cell r="D101">
            <v>0.00234178584257292</v>
          </cell>
          <cell r="E101">
            <v>0</v>
          </cell>
          <cell r="F101">
            <v>0.00234178584257292</v>
          </cell>
          <cell r="G101">
            <v>0.00123638634942494</v>
          </cell>
        </row>
        <row r="102">
          <cell r="A102">
            <v>38353</v>
          </cell>
          <cell r="B102">
            <v>0</v>
          </cell>
          <cell r="C102">
            <v>197.011396226317</v>
          </cell>
          <cell r="D102">
            <v>0.00233840976813664</v>
          </cell>
          <cell r="E102">
            <v>0</v>
          </cell>
          <cell r="F102">
            <v>0.00233840976813664</v>
          </cell>
          <cell r="G102">
            <v>0.00123638634942494</v>
          </cell>
        </row>
        <row r="103">
          <cell r="A103">
            <v>38384</v>
          </cell>
          <cell r="B103">
            <v>0</v>
          </cell>
          <cell r="C103">
            <v>197.471961956554</v>
          </cell>
          <cell r="D103">
            <v>0.00233503355692054</v>
          </cell>
          <cell r="E103">
            <v>0</v>
          </cell>
          <cell r="F103">
            <v>0.00233503355692054</v>
          </cell>
          <cell r="G103">
            <v>0.00123638634942494</v>
          </cell>
        </row>
        <row r="104">
          <cell r="A104">
            <v>38412</v>
          </cell>
          <cell r="B104">
            <v>0</v>
          </cell>
          <cell r="C104">
            <v>197.932936088191</v>
          </cell>
          <cell r="D104">
            <v>0.00233165720891307</v>
          </cell>
          <cell r="E104">
            <v>0</v>
          </cell>
          <cell r="F104">
            <v>0.00233165720891307</v>
          </cell>
          <cell r="G104">
            <v>0.00123638634942494</v>
          </cell>
        </row>
        <row r="105">
          <cell r="A105">
            <v>38443</v>
          </cell>
          <cell r="B105">
            <v>0</v>
          </cell>
          <cell r="C105">
            <v>198.394316431006</v>
          </cell>
          <cell r="D105">
            <v>0.00232828072410336</v>
          </cell>
          <cell r="E105">
            <v>0</v>
          </cell>
          <cell r="F105">
            <v>0.00232828072410336</v>
          </cell>
          <cell r="G105">
            <v>0.00123638634942494</v>
          </cell>
        </row>
        <row r="106">
          <cell r="A106">
            <v>38473</v>
          </cell>
          <cell r="B106">
            <v>0</v>
          </cell>
          <cell r="C106">
            <v>198.856100785353</v>
          </cell>
          <cell r="D106">
            <v>0.00232490410248054</v>
          </cell>
          <cell r="E106">
            <v>0</v>
          </cell>
          <cell r="F106">
            <v>0.00232490410248054</v>
          </cell>
          <cell r="G106">
            <v>0.00123638634942494</v>
          </cell>
        </row>
        <row r="107">
          <cell r="A107">
            <v>38504</v>
          </cell>
          <cell r="B107">
            <v>0</v>
          </cell>
          <cell r="C107">
            <v>199.318286942175</v>
          </cell>
          <cell r="D107">
            <v>0.00232152734403306</v>
          </cell>
          <cell r="E107">
            <v>0</v>
          </cell>
          <cell r="F107">
            <v>0.00232152734403306</v>
          </cell>
          <cell r="G107">
            <v>0.00123638634942494</v>
          </cell>
        </row>
        <row r="108">
          <cell r="A108">
            <v>38534</v>
          </cell>
          <cell r="B108">
            <v>0</v>
          </cell>
          <cell r="C108">
            <v>199.780872683011</v>
          </cell>
          <cell r="D108">
            <v>0.00231815044875007</v>
          </cell>
          <cell r="E108">
            <v>0</v>
          </cell>
          <cell r="F108">
            <v>0.00231815044875007</v>
          </cell>
          <cell r="G108">
            <v>0.00123638634942494</v>
          </cell>
        </row>
        <row r="109">
          <cell r="A109">
            <v>38565</v>
          </cell>
          <cell r="B109">
            <v>0</v>
          </cell>
          <cell r="C109">
            <v>200.243855780001</v>
          </cell>
          <cell r="D109">
            <v>0.00231477341662045</v>
          </cell>
          <cell r="E109">
            <v>0</v>
          </cell>
          <cell r="F109">
            <v>0.00231477341662045</v>
          </cell>
          <cell r="G109">
            <v>0.00123638634942494</v>
          </cell>
        </row>
        <row r="110">
          <cell r="A110">
            <v>38596</v>
          </cell>
          <cell r="B110">
            <v>0</v>
          </cell>
          <cell r="C110">
            <v>200.707233995896</v>
          </cell>
          <cell r="D110">
            <v>0.00231139624763334</v>
          </cell>
          <cell r="E110">
            <v>0</v>
          </cell>
          <cell r="F110">
            <v>0.00231139624763334</v>
          </cell>
          <cell r="G110">
            <v>0.00123638634942494</v>
          </cell>
        </row>
        <row r="111">
          <cell r="A111">
            <v>38626</v>
          </cell>
          <cell r="B111">
            <v>0</v>
          </cell>
          <cell r="C111">
            <v>201.171005084064</v>
          </cell>
          <cell r="D111">
            <v>0.0023080189417772</v>
          </cell>
          <cell r="E111">
            <v>0</v>
          </cell>
          <cell r="F111">
            <v>0.0023080189417772</v>
          </cell>
          <cell r="G111">
            <v>0.00123638634942494</v>
          </cell>
        </row>
        <row r="112">
          <cell r="A112">
            <v>38657</v>
          </cell>
          <cell r="B112">
            <v>0</v>
          </cell>
          <cell r="C112">
            <v>201.635166788503</v>
          </cell>
          <cell r="D112">
            <v>0.00230464149904137</v>
          </cell>
          <cell r="E112">
            <v>0</v>
          </cell>
          <cell r="F112">
            <v>0.00230464149904137</v>
          </cell>
          <cell r="G112">
            <v>0.00123638634942494</v>
          </cell>
        </row>
        <row r="113">
          <cell r="A113">
            <v>38687</v>
          </cell>
          <cell r="B113">
            <v>0</v>
          </cell>
          <cell r="C113">
            <v>202.099716843845</v>
          </cell>
          <cell r="D113">
            <v>0.00230126391941455</v>
          </cell>
          <cell r="E113">
            <v>0</v>
          </cell>
          <cell r="F113">
            <v>0.00230126391941455</v>
          </cell>
          <cell r="G113">
            <v>0.00123638634942494</v>
          </cell>
        </row>
        <row r="114">
          <cell r="A114">
            <v>38718</v>
          </cell>
          <cell r="B114">
            <v>0</v>
          </cell>
          <cell r="C114">
            <v>202.564242438884</v>
          </cell>
          <cell r="D114">
            <v>0.00229585950725036</v>
          </cell>
          <cell r="E114">
            <v>0</v>
          </cell>
          <cell r="F114">
            <v>0.00229585950725036</v>
          </cell>
          <cell r="G114">
            <v>0.00123638634942494</v>
          </cell>
        </row>
        <row r="115">
          <cell r="A115">
            <v>38749</v>
          </cell>
          <cell r="B115">
            <v>0</v>
          </cell>
          <cell r="C115">
            <v>203.0287384195</v>
          </cell>
          <cell r="D115">
            <v>0.00229045474457162</v>
          </cell>
          <cell r="E115">
            <v>0</v>
          </cell>
          <cell r="F115">
            <v>0.00229045474457162</v>
          </cell>
          <cell r="G115">
            <v>0.00123638634942494</v>
          </cell>
        </row>
        <row r="116">
          <cell r="A116">
            <v>38777</v>
          </cell>
          <cell r="B116">
            <v>0</v>
          </cell>
          <cell r="C116">
            <v>203.493199619726</v>
          </cell>
          <cell r="D116">
            <v>0.0022850496313327</v>
          </cell>
          <cell r="E116">
            <v>0</v>
          </cell>
          <cell r="F116">
            <v>0.0022850496313327</v>
          </cell>
          <cell r="G116">
            <v>0.00123638634942494</v>
          </cell>
        </row>
        <row r="117">
          <cell r="A117">
            <v>38808</v>
          </cell>
          <cell r="B117">
            <v>0</v>
          </cell>
          <cell r="C117">
            <v>203.957620861826</v>
          </cell>
          <cell r="D117">
            <v>0.00227964416748799</v>
          </cell>
          <cell r="E117">
            <v>0</v>
          </cell>
          <cell r="F117">
            <v>0.00227964416748799</v>
          </cell>
          <cell r="G117">
            <v>0.00123638634942494</v>
          </cell>
        </row>
        <row r="118">
          <cell r="A118">
            <v>38838</v>
          </cell>
          <cell r="B118">
            <v>0</v>
          </cell>
          <cell r="C118">
            <v>204.421996956385</v>
          </cell>
          <cell r="D118">
            <v>0.00227423835299208</v>
          </cell>
          <cell r="E118">
            <v>0</v>
          </cell>
          <cell r="F118">
            <v>0.00227423835299208</v>
          </cell>
          <cell r="G118">
            <v>0.00123638634942494</v>
          </cell>
        </row>
        <row r="119">
          <cell r="A119">
            <v>38869</v>
          </cell>
          <cell r="B119">
            <v>0</v>
          </cell>
          <cell r="C119">
            <v>204.886322702393</v>
          </cell>
          <cell r="D119">
            <v>0.00226883218779933</v>
          </cell>
          <cell r="E119">
            <v>0</v>
          </cell>
          <cell r="F119">
            <v>0.00226883218779933</v>
          </cell>
          <cell r="G119">
            <v>0.00123638634942494</v>
          </cell>
        </row>
        <row r="120">
          <cell r="A120">
            <v>38899</v>
          </cell>
          <cell r="B120">
            <v>0</v>
          </cell>
          <cell r="C120">
            <v>205.350592887331</v>
          </cell>
          <cell r="D120">
            <v>0.00226342567186435</v>
          </cell>
          <cell r="E120">
            <v>0</v>
          </cell>
          <cell r="F120">
            <v>0.00226342567186435</v>
          </cell>
          <cell r="G120">
            <v>0.00123638634942494</v>
          </cell>
        </row>
        <row r="121">
          <cell r="A121">
            <v>38930</v>
          </cell>
          <cell r="B121">
            <v>0</v>
          </cell>
          <cell r="C121">
            <v>205.814802287258</v>
          </cell>
          <cell r="D121">
            <v>0.00225801880514171</v>
          </cell>
          <cell r="E121">
            <v>0</v>
          </cell>
          <cell r="F121">
            <v>0.00225801880514171</v>
          </cell>
          <cell r="G121">
            <v>0.00123638634942494</v>
          </cell>
        </row>
        <row r="122">
          <cell r="A122">
            <v>38961</v>
          </cell>
          <cell r="B122">
            <v>0</v>
          </cell>
          <cell r="C122">
            <v>206.278945666899</v>
          </cell>
          <cell r="D122">
            <v>0.0022526115875858</v>
          </cell>
          <cell r="E122">
            <v>0</v>
          </cell>
          <cell r="F122">
            <v>0.0022526115875858</v>
          </cell>
          <cell r="G122">
            <v>0.00123638634942494</v>
          </cell>
        </row>
        <row r="123">
          <cell r="A123">
            <v>38991</v>
          </cell>
          <cell r="B123">
            <v>0</v>
          </cell>
          <cell r="C123">
            <v>206.743017779733</v>
          </cell>
          <cell r="D123">
            <v>0.0022472040191512</v>
          </cell>
          <cell r="E123">
            <v>0</v>
          </cell>
          <cell r="F123">
            <v>0.0022472040191512</v>
          </cell>
          <cell r="G123">
            <v>0.00123638634942494</v>
          </cell>
        </row>
        <row r="124">
          <cell r="A124">
            <v>39022</v>
          </cell>
          <cell r="B124">
            <v>0</v>
          </cell>
          <cell r="C124">
            <v>207.207013368077</v>
          </cell>
          <cell r="D124">
            <v>0.00224179609979227</v>
          </cell>
          <cell r="E124">
            <v>0</v>
          </cell>
          <cell r="F124">
            <v>0.00224179609979227</v>
          </cell>
          <cell r="G124">
            <v>0.00123638634942494</v>
          </cell>
        </row>
        <row r="125">
          <cell r="A125">
            <v>39052</v>
          </cell>
          <cell r="B125">
            <v>0</v>
          </cell>
          <cell r="C125">
            <v>207.670927163183</v>
          </cell>
          <cell r="D125">
            <v>0.00223638782946339</v>
          </cell>
          <cell r="E125">
            <v>0</v>
          </cell>
          <cell r="F125">
            <v>0.00223638782946339</v>
          </cell>
          <cell r="G125">
            <v>0.00123638634942494</v>
          </cell>
        </row>
        <row r="126">
          <cell r="A126">
            <v>39083</v>
          </cell>
          <cell r="B126">
            <v>0</v>
          </cell>
          <cell r="C126">
            <v>208.135176040086</v>
          </cell>
          <cell r="D126">
            <v>0.00223300748226072</v>
          </cell>
          <cell r="E126">
            <v>0</v>
          </cell>
          <cell r="F126">
            <v>0.00223300748226072</v>
          </cell>
          <cell r="G126">
            <v>0.00123638634942494</v>
          </cell>
        </row>
        <row r="127">
          <cell r="A127">
            <v>39114</v>
          </cell>
          <cell r="B127">
            <v>0</v>
          </cell>
          <cell r="C127">
            <v>208.599757577111</v>
          </cell>
          <cell r="D127">
            <v>0.0022296269979315</v>
          </cell>
          <cell r="E127">
            <v>0</v>
          </cell>
          <cell r="F127">
            <v>0.0022296269979315</v>
          </cell>
          <cell r="G127">
            <v>0.00123638634942494</v>
          </cell>
        </row>
        <row r="128">
          <cell r="A128">
            <v>39142</v>
          </cell>
          <cell r="B128">
            <v>0</v>
          </cell>
          <cell r="C128">
            <v>209.064669343601</v>
          </cell>
          <cell r="D128">
            <v>0.00222624637646464</v>
          </cell>
          <cell r="E128">
            <v>0</v>
          </cell>
          <cell r="F128">
            <v>0.00222624637646464</v>
          </cell>
          <cell r="G128">
            <v>0.00123638634942494</v>
          </cell>
        </row>
        <row r="129">
          <cell r="A129">
            <v>39173</v>
          </cell>
          <cell r="B129">
            <v>0</v>
          </cell>
          <cell r="C129">
            <v>209.529908899932</v>
          </cell>
          <cell r="D129">
            <v>0.00222286561784881</v>
          </cell>
          <cell r="E129">
            <v>0</v>
          </cell>
          <cell r="F129">
            <v>0.00222286561784881</v>
          </cell>
          <cell r="G129">
            <v>0.00123638634942494</v>
          </cell>
        </row>
        <row r="130">
          <cell r="A130">
            <v>39203</v>
          </cell>
          <cell r="B130">
            <v>0</v>
          </cell>
          <cell r="C130">
            <v>209.995473797522</v>
          </cell>
          <cell r="D130">
            <v>0.00221948472207335</v>
          </cell>
          <cell r="E130">
            <v>0</v>
          </cell>
          <cell r="F130">
            <v>0.00221948472207335</v>
          </cell>
          <cell r="G130">
            <v>0.00123638634942494</v>
          </cell>
        </row>
        <row r="131">
          <cell r="A131">
            <v>39234</v>
          </cell>
          <cell r="B131">
            <v>0</v>
          </cell>
          <cell r="C131">
            <v>210.461361578851</v>
          </cell>
          <cell r="D131">
            <v>0.00221610368912672</v>
          </cell>
          <cell r="E131">
            <v>0</v>
          </cell>
          <cell r="F131">
            <v>0.00221610368912672</v>
          </cell>
          <cell r="G131">
            <v>0.00123638634942494</v>
          </cell>
        </row>
        <row r="132">
          <cell r="A132">
            <v>39264</v>
          </cell>
          <cell r="B132">
            <v>0</v>
          </cell>
          <cell r="C132">
            <v>210.927569777467</v>
          </cell>
          <cell r="D132">
            <v>0.00221272251899804</v>
          </cell>
          <cell r="E132">
            <v>0</v>
          </cell>
          <cell r="F132">
            <v>0.00221272251899804</v>
          </cell>
          <cell r="G132">
            <v>0.00123638634942494</v>
          </cell>
        </row>
        <row r="133">
          <cell r="A133">
            <v>39295</v>
          </cell>
          <cell r="B133">
            <v>0</v>
          </cell>
          <cell r="C133">
            <v>211.394095918003</v>
          </cell>
          <cell r="D133">
            <v>0.00220934121167576</v>
          </cell>
          <cell r="E133">
            <v>0</v>
          </cell>
          <cell r="F133">
            <v>0.00220934121167576</v>
          </cell>
          <cell r="G133">
            <v>0.00123638634942494</v>
          </cell>
        </row>
        <row r="134">
          <cell r="A134">
            <v>39326</v>
          </cell>
          <cell r="B134">
            <v>0</v>
          </cell>
          <cell r="C134">
            <v>211.860937516188</v>
          </cell>
          <cell r="D134">
            <v>0.00220595976714946</v>
          </cell>
          <cell r="E134">
            <v>0</v>
          </cell>
          <cell r="F134">
            <v>0.00220595976714946</v>
          </cell>
          <cell r="G134">
            <v>0.00123638634942494</v>
          </cell>
        </row>
        <row r="135">
          <cell r="A135">
            <v>39356</v>
          </cell>
          <cell r="B135">
            <v>0</v>
          </cell>
          <cell r="C135">
            <v>212.328092078865</v>
          </cell>
          <cell r="D135">
            <v>0.00220257818540735</v>
          </cell>
          <cell r="E135">
            <v>0</v>
          </cell>
          <cell r="F135">
            <v>0.00220257818540735</v>
          </cell>
          <cell r="G135">
            <v>0.00123638634942494</v>
          </cell>
        </row>
        <row r="136">
          <cell r="A136">
            <v>39387</v>
          </cell>
          <cell r="B136">
            <v>0</v>
          </cell>
          <cell r="C136">
            <v>212.795557104</v>
          </cell>
          <cell r="D136">
            <v>0.00219919646643857</v>
          </cell>
          <cell r="E136">
            <v>0</v>
          </cell>
          <cell r="F136">
            <v>0.00219919646643857</v>
          </cell>
          <cell r="G136">
            <v>0.00123638634942494</v>
          </cell>
        </row>
        <row r="137">
          <cell r="A137">
            <v>39417</v>
          </cell>
          <cell r="B137">
            <v>0</v>
          </cell>
          <cell r="C137">
            <v>213.263330080698</v>
          </cell>
          <cell r="D137">
            <v>0.00219581461023179</v>
          </cell>
          <cell r="E137">
            <v>0</v>
          </cell>
          <cell r="F137">
            <v>0.00219581461023179</v>
          </cell>
          <cell r="G137">
            <v>0.00123638634942494</v>
          </cell>
        </row>
        <row r="138">
          <cell r="A138">
            <v>39448</v>
          </cell>
          <cell r="B138">
            <v>0</v>
          </cell>
          <cell r="C138">
            <v>213.731408489219</v>
          </cell>
          <cell r="D138">
            <v>0.00219243261677612</v>
          </cell>
          <cell r="E138">
            <v>0</v>
          </cell>
          <cell r="F138">
            <v>0.00219243261677612</v>
          </cell>
          <cell r="G138">
            <v>0.00123638634942494</v>
          </cell>
        </row>
        <row r="139">
          <cell r="A139">
            <v>39479</v>
          </cell>
          <cell r="B139">
            <v>0</v>
          </cell>
          <cell r="C139">
            <v>214.19978980099</v>
          </cell>
          <cell r="D139">
            <v>0.00218905048606047</v>
          </cell>
          <cell r="E139">
            <v>0</v>
          </cell>
          <cell r="F139">
            <v>0.00218905048606047</v>
          </cell>
          <cell r="G139">
            <v>0.00123638634942494</v>
          </cell>
        </row>
        <row r="140">
          <cell r="A140">
            <v>39508</v>
          </cell>
          <cell r="B140">
            <v>0</v>
          </cell>
          <cell r="C140">
            <v>214.66847147862</v>
          </cell>
          <cell r="D140">
            <v>0.00218566821807351</v>
          </cell>
          <cell r="E140">
            <v>0</v>
          </cell>
          <cell r="F140">
            <v>0.00218566821807351</v>
          </cell>
          <cell r="G140">
            <v>0.00123638634942494</v>
          </cell>
        </row>
        <row r="141">
          <cell r="A141">
            <v>39539</v>
          </cell>
          <cell r="B141">
            <v>0</v>
          </cell>
          <cell r="C141">
            <v>215.137450975914</v>
          </cell>
          <cell r="D141">
            <v>0.00218228581280392</v>
          </cell>
          <cell r="E141">
            <v>0</v>
          </cell>
          <cell r="F141">
            <v>0.00218228581280392</v>
          </cell>
          <cell r="G141">
            <v>0.00123638634942494</v>
          </cell>
        </row>
        <row r="142">
          <cell r="A142">
            <v>39569</v>
          </cell>
          <cell r="B142">
            <v>0</v>
          </cell>
          <cell r="C142">
            <v>215.606725737892</v>
          </cell>
          <cell r="D142">
            <v>0.00217890327024103</v>
          </cell>
          <cell r="E142">
            <v>0</v>
          </cell>
          <cell r="F142">
            <v>0.00217890327024103</v>
          </cell>
          <cell r="G142">
            <v>0.00123638634942494</v>
          </cell>
        </row>
        <row r="143">
          <cell r="A143">
            <v>39600</v>
          </cell>
          <cell r="B143">
            <v>0</v>
          </cell>
          <cell r="C143">
            <v>216.076293200799</v>
          </cell>
          <cell r="D143">
            <v>0.00217552059037331</v>
          </cell>
          <cell r="E143">
            <v>0</v>
          </cell>
          <cell r="F143">
            <v>0.00217552059037331</v>
          </cell>
          <cell r="G143">
            <v>0.00123638634942494</v>
          </cell>
        </row>
        <row r="144">
          <cell r="A144">
            <v>39630</v>
          </cell>
          <cell r="B144">
            <v>0</v>
          </cell>
          <cell r="C144">
            <v>216.546150792123</v>
          </cell>
          <cell r="D144">
            <v>0.00217213777318964</v>
          </cell>
          <cell r="E144">
            <v>0</v>
          </cell>
          <cell r="F144">
            <v>0.00217213777318964</v>
          </cell>
          <cell r="G144">
            <v>0.00123638634942494</v>
          </cell>
        </row>
        <row r="145">
          <cell r="A145">
            <v>39661</v>
          </cell>
          <cell r="B145">
            <v>0</v>
          </cell>
          <cell r="C145">
            <v>217.01629593061</v>
          </cell>
          <cell r="D145">
            <v>0.00216875481867914</v>
          </cell>
          <cell r="E145">
            <v>0</v>
          </cell>
          <cell r="F145">
            <v>0.00216875481867914</v>
          </cell>
          <cell r="G145">
            <v>0.00123638634942494</v>
          </cell>
        </row>
        <row r="146">
          <cell r="A146">
            <v>39692</v>
          </cell>
          <cell r="B146">
            <v>0</v>
          </cell>
          <cell r="C146">
            <v>217.48672602628</v>
          </cell>
          <cell r="D146">
            <v>0.0021653717268305</v>
          </cell>
          <cell r="E146">
            <v>0</v>
          </cell>
          <cell r="F146">
            <v>0.0021653717268305</v>
          </cell>
          <cell r="G146">
            <v>0.00123638634942494</v>
          </cell>
        </row>
        <row r="147">
          <cell r="A147">
            <v>39722</v>
          </cell>
          <cell r="B147">
            <v>0</v>
          </cell>
          <cell r="C147">
            <v>217.957438480442</v>
          </cell>
          <cell r="D147">
            <v>0.00216198849763238</v>
          </cell>
          <cell r="E147">
            <v>0</v>
          </cell>
          <cell r="F147">
            <v>0.00216198849763238</v>
          </cell>
          <cell r="G147">
            <v>0.00123638634942494</v>
          </cell>
        </row>
        <row r="148">
          <cell r="A148">
            <v>39753</v>
          </cell>
          <cell r="B148">
            <v>0</v>
          </cell>
          <cell r="C148">
            <v>218.428430685712</v>
          </cell>
          <cell r="D148">
            <v>0.00215860513107412</v>
          </cell>
          <cell r="E148">
            <v>0</v>
          </cell>
          <cell r="F148">
            <v>0.00215860513107412</v>
          </cell>
          <cell r="G148">
            <v>0.00123638634942494</v>
          </cell>
        </row>
        <row r="149">
          <cell r="A149">
            <v>39783</v>
          </cell>
          <cell r="B149">
            <v>0</v>
          </cell>
          <cell r="C149">
            <v>218.899700026026</v>
          </cell>
          <cell r="D149">
            <v>0.00215522162714396</v>
          </cell>
          <cell r="E149">
            <v>0</v>
          </cell>
          <cell r="F149">
            <v>0.00215522162714396</v>
          </cell>
          <cell r="G149">
            <v>0.00123638634942494</v>
          </cell>
        </row>
        <row r="150">
          <cell r="A150">
            <v>39814</v>
          </cell>
          <cell r="B150">
            <v>0</v>
          </cell>
          <cell r="C150">
            <v>219.371392333843</v>
          </cell>
          <cell r="D150">
            <v>0.00215251472508493</v>
          </cell>
          <cell r="E150">
            <v>0</v>
          </cell>
          <cell r="F150">
            <v>0.00215251472508493</v>
          </cell>
          <cell r="G150">
            <v>0.00123638634942494</v>
          </cell>
        </row>
        <row r="151">
          <cell r="A151">
            <v>39845</v>
          </cell>
          <cell r="B151">
            <v>0</v>
          </cell>
          <cell r="C151">
            <v>219.843505944858</v>
          </cell>
          <cell r="D151">
            <v>0.00214980773509509</v>
          </cell>
          <cell r="E151">
            <v>0</v>
          </cell>
          <cell r="F151">
            <v>0.00214980773509509</v>
          </cell>
          <cell r="G151">
            <v>0.00123638634942494</v>
          </cell>
        </row>
        <row r="152">
          <cell r="A152">
            <v>39873</v>
          </cell>
          <cell r="B152">
            <v>0</v>
          </cell>
          <cell r="C152">
            <v>220.316039187631</v>
          </cell>
          <cell r="D152">
            <v>0.00214710065716887</v>
          </cell>
          <cell r="E152">
            <v>0</v>
          </cell>
          <cell r="F152">
            <v>0.00214710065716887</v>
          </cell>
          <cell r="G152">
            <v>0.00123638634942494</v>
          </cell>
        </row>
        <row r="153">
          <cell r="A153">
            <v>39904</v>
          </cell>
          <cell r="B153">
            <v>0</v>
          </cell>
          <cell r="C153">
            <v>220.788990383592</v>
          </cell>
          <cell r="D153">
            <v>0.00214439349130049</v>
          </cell>
          <cell r="E153">
            <v>0</v>
          </cell>
          <cell r="F153">
            <v>0.00214439349130049</v>
          </cell>
          <cell r="G153">
            <v>0.00123638634942494</v>
          </cell>
        </row>
        <row r="154">
          <cell r="A154">
            <v>39934</v>
          </cell>
          <cell r="B154">
            <v>0</v>
          </cell>
          <cell r="C154">
            <v>221.262357847037</v>
          </cell>
          <cell r="D154">
            <v>0.00214168623748436</v>
          </cell>
          <cell r="E154">
            <v>0</v>
          </cell>
          <cell r="F154">
            <v>0.00214168623748436</v>
          </cell>
          <cell r="G154">
            <v>0.00123638634942494</v>
          </cell>
        </row>
        <row r="155">
          <cell r="A155">
            <v>39965</v>
          </cell>
          <cell r="B155">
            <v>0</v>
          </cell>
          <cell r="C155">
            <v>221.73613988514</v>
          </cell>
          <cell r="D155">
            <v>0.00213897889571492</v>
          </cell>
          <cell r="E155">
            <v>0</v>
          </cell>
          <cell r="F155">
            <v>0.00213897889571492</v>
          </cell>
          <cell r="G155">
            <v>0.00123638634942494</v>
          </cell>
        </row>
        <row r="156">
          <cell r="A156">
            <v>39995</v>
          </cell>
          <cell r="B156">
            <v>0</v>
          </cell>
          <cell r="C156">
            <v>222.210334797947</v>
          </cell>
          <cell r="D156">
            <v>0.00213627146598595</v>
          </cell>
          <cell r="E156">
            <v>0</v>
          </cell>
          <cell r="F156">
            <v>0.00213627146598595</v>
          </cell>
          <cell r="G156">
            <v>0.00123638634942494</v>
          </cell>
        </row>
        <row r="157">
          <cell r="A157">
            <v>40026</v>
          </cell>
          <cell r="B157">
            <v>0</v>
          </cell>
          <cell r="C157">
            <v>222.684940878384</v>
          </cell>
          <cell r="D157">
            <v>0.00213356394829208</v>
          </cell>
          <cell r="E157">
            <v>0</v>
          </cell>
          <cell r="F157">
            <v>0.00213356394829208</v>
          </cell>
          <cell r="G157">
            <v>0.00123638634942494</v>
          </cell>
        </row>
        <row r="158">
          <cell r="A158">
            <v>40057</v>
          </cell>
          <cell r="B158">
            <v>0</v>
          </cell>
          <cell r="C158">
            <v>223.159956412258</v>
          </cell>
          <cell r="D158">
            <v>0.00213085634262753</v>
          </cell>
          <cell r="E158">
            <v>0</v>
          </cell>
          <cell r="F158">
            <v>0.00213085634262753</v>
          </cell>
          <cell r="G158">
            <v>0.00123638634942494</v>
          </cell>
        </row>
        <row r="159">
          <cell r="A159">
            <v>40087</v>
          </cell>
          <cell r="B159">
            <v>0</v>
          </cell>
          <cell r="C159">
            <v>223.635379678262</v>
          </cell>
          <cell r="D159">
            <v>0.00212814864898652</v>
          </cell>
          <cell r="E159">
            <v>0</v>
          </cell>
          <cell r="F159">
            <v>0.00212814864898652</v>
          </cell>
          <cell r="G159">
            <v>0.00123638634942494</v>
          </cell>
        </row>
        <row r="160">
          <cell r="A160">
            <v>40118</v>
          </cell>
          <cell r="B160">
            <v>0</v>
          </cell>
          <cell r="C160">
            <v>224.111208947976</v>
          </cell>
          <cell r="D160">
            <v>0.00212544086736346</v>
          </cell>
          <cell r="E160">
            <v>0</v>
          </cell>
          <cell r="F160">
            <v>0.00212544086736346</v>
          </cell>
          <cell r="G160">
            <v>0.00123638634942494</v>
          </cell>
        </row>
        <row r="161">
          <cell r="A161">
            <v>40148</v>
          </cell>
          <cell r="B161">
            <v>0</v>
          </cell>
          <cell r="C161">
            <v>224.587442485873</v>
          </cell>
          <cell r="D161">
            <v>0.00212273299775257</v>
          </cell>
          <cell r="E161">
            <v>0</v>
          </cell>
          <cell r="F161">
            <v>0.00212273299775257</v>
          </cell>
          <cell r="G161">
            <v>0.00123638634942494</v>
          </cell>
        </row>
        <row r="162">
          <cell r="A162">
            <v>40179</v>
          </cell>
          <cell r="B162">
            <v>0</v>
          </cell>
          <cell r="C162">
            <v>225.064078549321</v>
          </cell>
          <cell r="D162">
            <v>0.00212002504014806</v>
          </cell>
          <cell r="E162">
            <v>0</v>
          </cell>
          <cell r="F162">
            <v>0.00212002504014806</v>
          </cell>
          <cell r="G162">
            <v>0.00123638634942494</v>
          </cell>
        </row>
        <row r="163">
          <cell r="A163">
            <v>40210</v>
          </cell>
          <cell r="B163">
            <v>0</v>
          </cell>
          <cell r="C163">
            <v>225.541115388584</v>
          </cell>
          <cell r="D163">
            <v>0.00211731699454435</v>
          </cell>
          <cell r="E163">
            <v>0</v>
          </cell>
          <cell r="F163">
            <v>0.00211731699454435</v>
          </cell>
          <cell r="G163">
            <v>0.00123638634942494</v>
          </cell>
        </row>
        <row r="164">
          <cell r="A164">
            <v>40238</v>
          </cell>
          <cell r="B164">
            <v>0</v>
          </cell>
          <cell r="C164">
            <v>226.018551246831</v>
          </cell>
          <cell r="D164">
            <v>0.00211460886093566</v>
          </cell>
          <cell r="E164">
            <v>0</v>
          </cell>
          <cell r="F164">
            <v>0.00211460886093566</v>
          </cell>
          <cell r="G164">
            <v>0.00123638634942494</v>
          </cell>
        </row>
        <row r="165">
          <cell r="A165">
            <v>40269</v>
          </cell>
          <cell r="B165">
            <v>0</v>
          </cell>
          <cell r="C165">
            <v>226.496384360135</v>
          </cell>
          <cell r="D165">
            <v>0.0021119006393162</v>
          </cell>
          <cell r="E165">
            <v>0</v>
          </cell>
          <cell r="F165">
            <v>0.0021119006393162</v>
          </cell>
          <cell r="G165">
            <v>0.00123638634942494</v>
          </cell>
        </row>
        <row r="166">
          <cell r="A166">
            <v>40299</v>
          </cell>
          <cell r="B166">
            <v>0</v>
          </cell>
          <cell r="C166">
            <v>226.974612957482</v>
          </cell>
          <cell r="D166">
            <v>0.00210919232968039</v>
          </cell>
          <cell r="E166">
            <v>0</v>
          </cell>
          <cell r="F166">
            <v>0.00210919232968039</v>
          </cell>
          <cell r="G166">
            <v>0.00123638634942494</v>
          </cell>
        </row>
        <row r="167">
          <cell r="A167">
            <v>40330</v>
          </cell>
          <cell r="B167">
            <v>0</v>
          </cell>
          <cell r="C167">
            <v>227.453235260768</v>
          </cell>
          <cell r="D167">
            <v>0.00210648393202245</v>
          </cell>
          <cell r="E167">
            <v>0</v>
          </cell>
          <cell r="F167">
            <v>0.00210648393202245</v>
          </cell>
          <cell r="G167">
            <v>0.00123638634942494</v>
          </cell>
        </row>
        <row r="168">
          <cell r="A168">
            <v>40360</v>
          </cell>
          <cell r="B168">
            <v>0</v>
          </cell>
          <cell r="C168">
            <v>227.93224948481</v>
          </cell>
          <cell r="D168">
            <v>0.00210377544633658</v>
          </cell>
          <cell r="E168">
            <v>0</v>
          </cell>
          <cell r="F168">
            <v>0.00210377544633658</v>
          </cell>
          <cell r="G168">
            <v>0.00123638634942494</v>
          </cell>
        </row>
        <row r="169">
          <cell r="A169">
            <v>40391</v>
          </cell>
          <cell r="B169">
            <v>0</v>
          </cell>
          <cell r="C169">
            <v>228.411653837345</v>
          </cell>
          <cell r="D169">
            <v>0.00210106687261698</v>
          </cell>
          <cell r="E169">
            <v>0</v>
          </cell>
          <cell r="F169">
            <v>0.00210106687261698</v>
          </cell>
          <cell r="G169">
            <v>0.00123638634942494</v>
          </cell>
        </row>
        <row r="170">
          <cell r="A170">
            <v>40422</v>
          </cell>
          <cell r="B170">
            <v>0</v>
          </cell>
          <cell r="C170">
            <v>228.891446519039</v>
          </cell>
          <cell r="D170">
            <v>0.0020983582108581</v>
          </cell>
          <cell r="E170">
            <v>0</v>
          </cell>
          <cell r="F170">
            <v>0.0020983582108581</v>
          </cell>
          <cell r="G170">
            <v>0.00123638634942494</v>
          </cell>
        </row>
        <row r="171">
          <cell r="A171">
            <v>40452</v>
          </cell>
          <cell r="B171">
            <v>0</v>
          </cell>
          <cell r="C171">
            <v>229.371625723486</v>
          </cell>
          <cell r="D171">
            <v>0.00209564946105436</v>
          </cell>
          <cell r="E171">
            <v>0</v>
          </cell>
          <cell r="F171">
            <v>0.00209564946105436</v>
          </cell>
          <cell r="G171">
            <v>0.00123638634942494</v>
          </cell>
        </row>
        <row r="172">
          <cell r="A172">
            <v>40483</v>
          </cell>
          <cell r="B172">
            <v>0</v>
          </cell>
          <cell r="C172">
            <v>229.852189637219</v>
          </cell>
          <cell r="D172">
            <v>0.00209294062319974</v>
          </cell>
          <cell r="E172">
            <v>0</v>
          </cell>
          <cell r="F172">
            <v>0.00209294062319974</v>
          </cell>
          <cell r="G172">
            <v>0.00123638634942494</v>
          </cell>
        </row>
        <row r="173">
          <cell r="A173">
            <v>40513</v>
          </cell>
          <cell r="B173">
            <v>0</v>
          </cell>
          <cell r="C173">
            <v>230.333136439708</v>
          </cell>
          <cell r="D173">
            <v>0.00209023169728868</v>
          </cell>
          <cell r="E173">
            <v>0</v>
          </cell>
          <cell r="F173">
            <v>0.00209023169728868</v>
          </cell>
          <cell r="G173">
            <v>0.00123638634942494</v>
          </cell>
        </row>
        <row r="174">
          <cell r="A174">
            <v>40544</v>
          </cell>
          <cell r="B174">
            <v>0</v>
          </cell>
          <cell r="C174">
            <v>230.814776945927</v>
          </cell>
          <cell r="D174">
            <v>0.00208887720131008</v>
          </cell>
          <cell r="E174">
            <v>0</v>
          </cell>
          <cell r="F174">
            <v>0.00208887720131008</v>
          </cell>
          <cell r="G174">
            <v>0.00123638634942494</v>
          </cell>
        </row>
        <row r="175">
          <cell r="A175">
            <v>40575</v>
          </cell>
          <cell r="B175">
            <v>0</v>
          </cell>
          <cell r="C175">
            <v>231.297111295236</v>
          </cell>
          <cell r="D175">
            <v>0.00208752268331517</v>
          </cell>
          <cell r="E175">
            <v>0</v>
          </cell>
          <cell r="F175">
            <v>0.00208752268331517</v>
          </cell>
          <cell r="G175">
            <v>0.00123638634942494</v>
          </cell>
        </row>
        <row r="176">
          <cell r="A176">
            <v>40603</v>
          </cell>
          <cell r="B176">
            <v>0</v>
          </cell>
          <cell r="C176">
            <v>231.780139624432</v>
          </cell>
          <cell r="D176">
            <v>0.00208616814330341</v>
          </cell>
          <cell r="E176">
            <v>0</v>
          </cell>
          <cell r="F176">
            <v>0.00208616814330341</v>
          </cell>
          <cell r="G176">
            <v>0.00123638634942494</v>
          </cell>
        </row>
        <row r="177">
          <cell r="A177">
            <v>40634</v>
          </cell>
          <cell r="B177">
            <v>0</v>
          </cell>
          <cell r="C177">
            <v>232.263862067744</v>
          </cell>
          <cell r="D177">
            <v>0.00208481358127406</v>
          </cell>
          <cell r="E177">
            <v>0</v>
          </cell>
          <cell r="F177">
            <v>0.00208481358127406</v>
          </cell>
          <cell r="G177">
            <v>0.00123638634942494</v>
          </cell>
        </row>
        <row r="178">
          <cell r="A178">
            <v>40664</v>
          </cell>
          <cell r="B178">
            <v>0</v>
          </cell>
          <cell r="C178">
            <v>232.748278756824</v>
          </cell>
          <cell r="D178">
            <v>0.00208345899722615</v>
          </cell>
          <cell r="E178">
            <v>0</v>
          </cell>
          <cell r="F178">
            <v>0.00208345899722615</v>
          </cell>
          <cell r="G178">
            <v>0.00123638634942494</v>
          </cell>
        </row>
        <row r="179">
          <cell r="A179">
            <v>40695</v>
          </cell>
          <cell r="B179">
            <v>0</v>
          </cell>
          <cell r="C179">
            <v>233.233389820744</v>
          </cell>
          <cell r="D179">
            <v>0.00208210439115914</v>
          </cell>
          <cell r="E179">
            <v>0</v>
          </cell>
          <cell r="F179">
            <v>0.00208210439115914</v>
          </cell>
          <cell r="G179">
            <v>0.00123638634942494</v>
          </cell>
        </row>
        <row r="180">
          <cell r="A180">
            <v>40725</v>
          </cell>
          <cell r="B180">
            <v>0</v>
          </cell>
          <cell r="C180">
            <v>233.719195385986</v>
          </cell>
          <cell r="D180">
            <v>0.00208074976307206</v>
          </cell>
          <cell r="E180">
            <v>0</v>
          </cell>
          <cell r="F180">
            <v>0.00208074976307206</v>
          </cell>
          <cell r="G180">
            <v>0.00123638634942494</v>
          </cell>
        </row>
        <row r="181">
          <cell r="A181">
            <v>40756</v>
          </cell>
          <cell r="B181">
            <v>0</v>
          </cell>
          <cell r="C181">
            <v>234.20569557644</v>
          </cell>
          <cell r="D181">
            <v>0.0020793951129646</v>
          </cell>
          <cell r="E181">
            <v>0</v>
          </cell>
          <cell r="F181">
            <v>0.0020793951129646</v>
          </cell>
          <cell r="G181">
            <v>0.00123638634942494</v>
          </cell>
        </row>
        <row r="182">
          <cell r="A182">
            <v>40787</v>
          </cell>
          <cell r="B182">
            <v>0</v>
          </cell>
          <cell r="C182">
            <v>234.692890513393</v>
          </cell>
          <cell r="D182">
            <v>0.00207804044083601</v>
          </cell>
          <cell r="E182">
            <v>0</v>
          </cell>
          <cell r="F182">
            <v>0.00207804044083601</v>
          </cell>
          <cell r="G182">
            <v>0.00123638634942494</v>
          </cell>
        </row>
        <row r="183">
          <cell r="A183">
            <v>40817</v>
          </cell>
          <cell r="B183">
            <v>0</v>
          </cell>
          <cell r="C183">
            <v>235.180780315529</v>
          </cell>
          <cell r="D183">
            <v>0.00207668574668532</v>
          </cell>
          <cell r="E183">
            <v>0</v>
          </cell>
          <cell r="F183">
            <v>0.00207668574668532</v>
          </cell>
          <cell r="G183">
            <v>0.00123638634942494</v>
          </cell>
        </row>
        <row r="184">
          <cell r="A184">
            <v>40848</v>
          </cell>
          <cell r="B184">
            <v>0</v>
          </cell>
          <cell r="C184">
            <v>235.669365098918</v>
          </cell>
          <cell r="D184">
            <v>0.00207533103051178</v>
          </cell>
          <cell r="E184">
            <v>0</v>
          </cell>
          <cell r="F184">
            <v>0.00207533103051178</v>
          </cell>
          <cell r="G184">
            <v>0.00123638634942494</v>
          </cell>
        </row>
        <row r="185">
          <cell r="A185">
            <v>40878</v>
          </cell>
          <cell r="B185">
            <v>0</v>
          </cell>
          <cell r="C185">
            <v>236.15864497701</v>
          </cell>
          <cell r="D185">
            <v>0.00207397629231485</v>
          </cell>
          <cell r="E185">
            <v>0</v>
          </cell>
          <cell r="F185">
            <v>0.00207397629231485</v>
          </cell>
          <cell r="G185">
            <v>0.00123638634942494</v>
          </cell>
        </row>
        <row r="186">
          <cell r="A186">
            <v>40909</v>
          </cell>
          <cell r="B186">
            <v>0</v>
          </cell>
          <cell r="C186">
            <v>236.648620060633</v>
          </cell>
          <cell r="D186">
            <v>0.002072621532094</v>
          </cell>
          <cell r="E186">
            <v>0</v>
          </cell>
          <cell r="F186">
            <v>0.002072621532094</v>
          </cell>
          <cell r="G186">
            <v>0.00123638634942494</v>
          </cell>
        </row>
        <row r="187">
          <cell r="A187">
            <v>40940</v>
          </cell>
          <cell r="B187">
            <v>0</v>
          </cell>
          <cell r="C187">
            <v>237.139290457981</v>
          </cell>
          <cell r="D187">
            <v>0.00207126674984804</v>
          </cell>
          <cell r="E187">
            <v>0</v>
          </cell>
          <cell r="F187">
            <v>0.00207126674984804</v>
          </cell>
          <cell r="G187">
            <v>0.00123638634942494</v>
          </cell>
        </row>
        <row r="188">
          <cell r="A188">
            <v>40969</v>
          </cell>
          <cell r="B188">
            <v>0</v>
          </cell>
          <cell r="C188">
            <v>237.630656274613</v>
          </cell>
          <cell r="D188">
            <v>0.00206991194557667</v>
          </cell>
          <cell r="E188">
            <v>0</v>
          </cell>
          <cell r="F188">
            <v>0.00206991194557667</v>
          </cell>
          <cell r="G188">
            <v>0.00123638634942494</v>
          </cell>
        </row>
        <row r="189">
          <cell r="A189">
            <v>41000</v>
          </cell>
          <cell r="B189">
            <v>0</v>
          </cell>
          <cell r="C189">
            <v>238.122717613443</v>
          </cell>
          <cell r="D189">
            <v>0.0020685571192789</v>
          </cell>
          <cell r="E189">
            <v>0</v>
          </cell>
          <cell r="F189">
            <v>0.0020685571192789</v>
          </cell>
          <cell r="G189">
            <v>0.00123638634942494</v>
          </cell>
        </row>
        <row r="190">
          <cell r="A190">
            <v>41030</v>
          </cell>
          <cell r="B190">
            <v>0</v>
          </cell>
          <cell r="C190">
            <v>238.615474574738</v>
          </cell>
          <cell r="D190">
            <v>0.00206720227095399</v>
          </cell>
          <cell r="E190">
            <v>0</v>
          </cell>
          <cell r="F190">
            <v>0.00206720227095399</v>
          </cell>
          <cell r="G190">
            <v>0.00123638634942494</v>
          </cell>
        </row>
        <row r="191">
          <cell r="A191">
            <v>41061</v>
          </cell>
          <cell r="B191">
            <v>0</v>
          </cell>
          <cell r="C191">
            <v>239.108927256108</v>
          </cell>
          <cell r="D191">
            <v>0.00206584740060162</v>
          </cell>
          <cell r="E191">
            <v>0</v>
          </cell>
          <cell r="F191">
            <v>0.00206584740060162</v>
          </cell>
          <cell r="G191">
            <v>0.00123638634942494</v>
          </cell>
        </row>
        <row r="192">
          <cell r="A192">
            <v>41091</v>
          </cell>
          <cell r="B192">
            <v>0</v>
          </cell>
          <cell r="C192">
            <v>239.603075752501</v>
          </cell>
          <cell r="D192">
            <v>0.00206449250822061</v>
          </cell>
          <cell r="E192">
            <v>0</v>
          </cell>
          <cell r="F192">
            <v>0.00206449250822061</v>
          </cell>
          <cell r="G192">
            <v>0.00123638634942494</v>
          </cell>
        </row>
        <row r="193">
          <cell r="A193">
            <v>41122</v>
          </cell>
          <cell r="B193">
            <v>0</v>
          </cell>
          <cell r="C193">
            <v>240.097920156198</v>
          </cell>
          <cell r="D193">
            <v>0.00206313759381064</v>
          </cell>
          <cell r="E193">
            <v>0</v>
          </cell>
          <cell r="F193">
            <v>0.00206313759381064</v>
          </cell>
          <cell r="G193">
            <v>0.00123638634942494</v>
          </cell>
        </row>
        <row r="194">
          <cell r="A194">
            <v>41153</v>
          </cell>
          <cell r="B194">
            <v>0</v>
          </cell>
          <cell r="C194">
            <v>240.593460556805</v>
          </cell>
          <cell r="D194">
            <v>0.00206178265737052</v>
          </cell>
          <cell r="E194">
            <v>0</v>
          </cell>
          <cell r="F194">
            <v>0.00206178265737052</v>
          </cell>
          <cell r="G194">
            <v>0.00123638634942494</v>
          </cell>
        </row>
        <row r="195">
          <cell r="A195">
            <v>41183</v>
          </cell>
          <cell r="B195">
            <v>0</v>
          </cell>
          <cell r="C195">
            <v>241.089697041251</v>
          </cell>
          <cell r="D195">
            <v>0.00206042769889995</v>
          </cell>
          <cell r="E195">
            <v>0</v>
          </cell>
          <cell r="F195">
            <v>0.00206042769889995</v>
          </cell>
          <cell r="G195">
            <v>0.00123638634942494</v>
          </cell>
        </row>
        <row r="196">
          <cell r="A196">
            <v>41214</v>
          </cell>
          <cell r="B196">
            <v>0</v>
          </cell>
          <cell r="C196">
            <v>241.586629693776</v>
          </cell>
          <cell r="D196">
            <v>0.00205907271839815</v>
          </cell>
          <cell r="E196">
            <v>0</v>
          </cell>
          <cell r="F196">
            <v>0.00205907271839815</v>
          </cell>
          <cell r="G196">
            <v>0.00123638634942494</v>
          </cell>
        </row>
        <row r="197">
          <cell r="A197">
            <v>41244</v>
          </cell>
          <cell r="B197">
            <v>0</v>
          </cell>
          <cell r="C197">
            <v>242.084258595928</v>
          </cell>
          <cell r="D197">
            <v>0.00205771771586418</v>
          </cell>
          <cell r="E197">
            <v>0</v>
          </cell>
          <cell r="F197">
            <v>0.00205771771586418</v>
          </cell>
          <cell r="G197">
            <v>0.00123638634942494</v>
          </cell>
        </row>
        <row r="198">
          <cell r="A198">
            <v>41275</v>
          </cell>
          <cell r="B198">
            <v>0</v>
          </cell>
          <cell r="C198">
            <v>242.583405581331</v>
          </cell>
          <cell r="D198">
            <v>0.00205975021140298</v>
          </cell>
          <cell r="E198">
            <v>0</v>
          </cell>
          <cell r="F198">
            <v>0.00205975021140298</v>
          </cell>
          <cell r="G198">
            <v>0.00123638634942494</v>
          </cell>
        </row>
        <row r="199">
          <cell r="A199">
            <v>41306</v>
          </cell>
          <cell r="B199">
            <v>0</v>
          </cell>
          <cell r="C199">
            <v>243.08407579915</v>
          </cell>
          <cell r="D199">
            <v>0.00206178265737052</v>
          </cell>
          <cell r="E199">
            <v>0</v>
          </cell>
          <cell r="F199">
            <v>0.00206178265737052</v>
          </cell>
          <cell r="G199">
            <v>0.00123638634942494</v>
          </cell>
        </row>
        <row r="200">
          <cell r="A200">
            <v>41334</v>
          </cell>
          <cell r="B200">
            <v>0</v>
          </cell>
          <cell r="C200">
            <v>243.586274418398</v>
          </cell>
          <cell r="D200">
            <v>0.00206381505376931</v>
          </cell>
          <cell r="E200">
            <v>0</v>
          </cell>
          <cell r="F200">
            <v>0.00206381505376931</v>
          </cell>
          <cell r="G200">
            <v>0.00123638634942494</v>
          </cell>
        </row>
        <row r="201">
          <cell r="A201">
            <v>41365</v>
          </cell>
          <cell r="B201">
            <v>0</v>
          </cell>
          <cell r="C201">
            <v>244.090006628017</v>
          </cell>
          <cell r="D201">
            <v>0.00206584740060162</v>
          </cell>
          <cell r="E201">
            <v>0</v>
          </cell>
          <cell r="F201">
            <v>0.00206584740060162</v>
          </cell>
          <cell r="G201">
            <v>0.00123638634942494</v>
          </cell>
        </row>
        <row r="202">
          <cell r="A202">
            <v>41395</v>
          </cell>
          <cell r="B202">
            <v>0</v>
          </cell>
          <cell r="C202">
            <v>244.595277636956</v>
          </cell>
          <cell r="D202">
            <v>0.00206787969786976</v>
          </cell>
          <cell r="E202">
            <v>0</v>
          </cell>
          <cell r="F202">
            <v>0.00206787969786976</v>
          </cell>
          <cell r="G202">
            <v>0.00123638634942494</v>
          </cell>
        </row>
        <row r="203">
          <cell r="A203">
            <v>41426</v>
          </cell>
          <cell r="B203">
            <v>0</v>
          </cell>
          <cell r="C203">
            <v>245.102092674263</v>
          </cell>
          <cell r="D203">
            <v>0.00206991194557667</v>
          </cell>
          <cell r="E203">
            <v>0</v>
          </cell>
          <cell r="F203">
            <v>0.00206991194557667</v>
          </cell>
          <cell r="G203">
            <v>0.00123638634942494</v>
          </cell>
        </row>
        <row r="204">
          <cell r="A204">
            <v>41456</v>
          </cell>
          <cell r="B204">
            <v>0</v>
          </cell>
          <cell r="C204">
            <v>245.610456989161</v>
          </cell>
          <cell r="D204">
            <v>0.00207194414372419</v>
          </cell>
          <cell r="E204">
            <v>0</v>
          </cell>
          <cell r="F204">
            <v>0.00207194414372419</v>
          </cell>
          <cell r="G204">
            <v>0.00123638634942494</v>
          </cell>
        </row>
        <row r="205">
          <cell r="A205">
            <v>41487</v>
          </cell>
          <cell r="B205">
            <v>0</v>
          </cell>
          <cell r="C205">
            <v>246.120375851137</v>
          </cell>
          <cell r="D205">
            <v>0.00207397629231485</v>
          </cell>
          <cell r="E205">
            <v>0</v>
          </cell>
          <cell r="F205">
            <v>0.00207397629231485</v>
          </cell>
          <cell r="G205">
            <v>0.00123638634942494</v>
          </cell>
        </row>
        <row r="206">
          <cell r="A206">
            <v>41518</v>
          </cell>
          <cell r="B206">
            <v>0</v>
          </cell>
          <cell r="C206">
            <v>246.631854550024</v>
          </cell>
          <cell r="D206">
            <v>0.00207600839135136</v>
          </cell>
          <cell r="E206">
            <v>0</v>
          </cell>
          <cell r="F206">
            <v>0.00207600839135136</v>
          </cell>
          <cell r="G206">
            <v>0.00123638634942494</v>
          </cell>
        </row>
        <row r="207">
          <cell r="A207">
            <v>41548</v>
          </cell>
          <cell r="B207">
            <v>0</v>
          </cell>
          <cell r="C207">
            <v>247.144898396086</v>
          </cell>
          <cell r="D207">
            <v>0.00207804044083601</v>
          </cell>
          <cell r="E207">
            <v>0</v>
          </cell>
          <cell r="F207">
            <v>0.00207804044083601</v>
          </cell>
          <cell r="G207">
            <v>0.00123638634942494</v>
          </cell>
        </row>
        <row r="208">
          <cell r="A208">
            <v>41579</v>
          </cell>
          <cell r="B208">
            <v>0</v>
          </cell>
          <cell r="C208">
            <v>247.659512720105</v>
          </cell>
          <cell r="D208">
            <v>0.0020800724407711</v>
          </cell>
          <cell r="E208">
            <v>0</v>
          </cell>
          <cell r="F208">
            <v>0.0020800724407711</v>
          </cell>
          <cell r="G208">
            <v>0.00123638634942494</v>
          </cell>
        </row>
        <row r="209">
          <cell r="A209">
            <v>41609</v>
          </cell>
          <cell r="B209">
            <v>0</v>
          </cell>
          <cell r="C209">
            <v>248.175702873464</v>
          </cell>
          <cell r="D209">
            <v>0.00208210439115914</v>
          </cell>
          <cell r="E209">
            <v>0</v>
          </cell>
          <cell r="F209">
            <v>0.00208210439115914</v>
          </cell>
          <cell r="G209">
            <v>0.00123638634942494</v>
          </cell>
        </row>
        <row r="210">
          <cell r="A210">
            <v>41640</v>
          </cell>
          <cell r="B210">
            <v>0</v>
          </cell>
          <cell r="C210">
            <v>248.693642665714</v>
          </cell>
          <cell r="D210">
            <v>0.00208481358127406</v>
          </cell>
          <cell r="E210">
            <v>0</v>
          </cell>
          <cell r="F210">
            <v>0.00208481358127406</v>
          </cell>
          <cell r="G210">
            <v>0.00123638634942494</v>
          </cell>
        </row>
        <row r="211">
          <cell r="A211">
            <v>41671</v>
          </cell>
          <cell r="B211">
            <v>0</v>
          </cell>
          <cell r="C211">
            <v>249.213338535708</v>
          </cell>
          <cell r="D211">
            <v>0.00208752268331517</v>
          </cell>
          <cell r="E211">
            <v>0</v>
          </cell>
          <cell r="F211">
            <v>0.00208752268331517</v>
          </cell>
          <cell r="G211">
            <v>0.00123638634942494</v>
          </cell>
        </row>
        <row r="212">
          <cell r="A212">
            <v>41699</v>
          </cell>
          <cell r="B212">
            <v>0</v>
          </cell>
          <cell r="C212">
            <v>249.734796949898</v>
          </cell>
          <cell r="D212">
            <v>0.00209023169728868</v>
          </cell>
          <cell r="E212">
            <v>0</v>
          </cell>
          <cell r="F212">
            <v>0.00209023169728868</v>
          </cell>
          <cell r="G212">
            <v>0.00123638634942494</v>
          </cell>
        </row>
        <row r="213">
          <cell r="A213">
            <v>41730</v>
          </cell>
          <cell r="B213">
            <v>0</v>
          </cell>
          <cell r="C213">
            <v>250.258024402461</v>
          </cell>
          <cell r="D213">
            <v>0.00209294062319974</v>
          </cell>
          <cell r="E213">
            <v>0</v>
          </cell>
          <cell r="F213">
            <v>0.00209294062319974</v>
          </cell>
          <cell r="G213">
            <v>0.00123638634942494</v>
          </cell>
        </row>
        <row r="214">
          <cell r="A214">
            <v>41760</v>
          </cell>
          <cell r="B214">
            <v>0</v>
          </cell>
          <cell r="C214">
            <v>250.783027415425</v>
          </cell>
          <cell r="D214">
            <v>0.00209564946105436</v>
          </cell>
          <cell r="E214">
            <v>0</v>
          </cell>
          <cell r="F214">
            <v>0.00209564946105436</v>
          </cell>
          <cell r="G214">
            <v>0.00123638634942494</v>
          </cell>
        </row>
        <row r="215">
          <cell r="A215">
            <v>41791</v>
          </cell>
          <cell r="B215">
            <v>0</v>
          </cell>
          <cell r="C215">
            <v>251.309812538799</v>
          </cell>
          <cell r="D215">
            <v>0.0020983582108581</v>
          </cell>
          <cell r="E215">
            <v>0</v>
          </cell>
          <cell r="F215">
            <v>0.0020983582108581</v>
          </cell>
          <cell r="G215">
            <v>0.00123638634942494</v>
          </cell>
        </row>
        <row r="216">
          <cell r="A216">
            <v>41821</v>
          </cell>
          <cell r="B216">
            <v>0</v>
          </cell>
          <cell r="C216">
            <v>251.838386350703</v>
          </cell>
          <cell r="D216">
            <v>0.00210106687261698</v>
          </cell>
          <cell r="E216">
            <v>0</v>
          </cell>
          <cell r="F216">
            <v>0.00210106687261698</v>
          </cell>
          <cell r="G216">
            <v>0.00123638634942494</v>
          </cell>
        </row>
        <row r="217">
          <cell r="A217">
            <v>41852</v>
          </cell>
          <cell r="B217">
            <v>0</v>
          </cell>
          <cell r="C217">
            <v>252.368755457493</v>
          </cell>
          <cell r="D217">
            <v>0.00210377544633658</v>
          </cell>
          <cell r="E217">
            <v>0</v>
          </cell>
          <cell r="F217">
            <v>0.00210377544633658</v>
          </cell>
          <cell r="G217">
            <v>0.00123638634942494</v>
          </cell>
        </row>
        <row r="218">
          <cell r="A218">
            <v>41883</v>
          </cell>
          <cell r="B218">
            <v>0</v>
          </cell>
          <cell r="C218">
            <v>252.900926493895</v>
          </cell>
          <cell r="D218">
            <v>0.00210648393202245</v>
          </cell>
          <cell r="E218">
            <v>0</v>
          </cell>
          <cell r="F218">
            <v>0.00210648393202245</v>
          </cell>
          <cell r="G218">
            <v>0.00123638634942494</v>
          </cell>
        </row>
        <row r="219">
          <cell r="A219">
            <v>41913</v>
          </cell>
          <cell r="B219">
            <v>0</v>
          </cell>
          <cell r="C219">
            <v>253.434906123134</v>
          </cell>
          <cell r="D219">
            <v>0.00210919232968039</v>
          </cell>
          <cell r="E219">
            <v>0</v>
          </cell>
          <cell r="F219">
            <v>0.00210919232968039</v>
          </cell>
          <cell r="G219">
            <v>0.00123638634942494</v>
          </cell>
        </row>
        <row r="220">
          <cell r="A220">
            <v>41944</v>
          </cell>
          <cell r="B220">
            <v>0</v>
          </cell>
          <cell r="C220">
            <v>253.970701037069</v>
          </cell>
          <cell r="D220">
            <v>0.0021119006393162</v>
          </cell>
          <cell r="E220">
            <v>0</v>
          </cell>
          <cell r="F220">
            <v>0.0021119006393162</v>
          </cell>
          <cell r="G220">
            <v>0.00123638634942494</v>
          </cell>
        </row>
        <row r="221">
          <cell r="A221">
            <v>41974</v>
          </cell>
          <cell r="B221">
            <v>0</v>
          </cell>
          <cell r="C221">
            <v>254.508317956318</v>
          </cell>
          <cell r="D221">
            <v>0.00211460886093566</v>
          </cell>
          <cell r="E221">
            <v>0</v>
          </cell>
          <cell r="F221">
            <v>0.00211460886093566</v>
          </cell>
          <cell r="G221">
            <v>0.00123638634942494</v>
          </cell>
        </row>
        <row r="222">
          <cell r="A222">
            <v>42005</v>
          </cell>
          <cell r="B222">
            <v>0</v>
          </cell>
          <cell r="C222">
            <v>255.047763630397</v>
          </cell>
          <cell r="D222">
            <v>0.00211731699454435</v>
          </cell>
          <cell r="E222">
            <v>0</v>
          </cell>
          <cell r="F222">
            <v>0.00211731699454435</v>
          </cell>
          <cell r="G222">
            <v>0.00123638634942494</v>
          </cell>
        </row>
        <row r="223">
          <cell r="A223">
            <v>42036</v>
          </cell>
          <cell r="B223">
            <v>0</v>
          </cell>
          <cell r="C223">
            <v>255.589044837851</v>
          </cell>
          <cell r="D223">
            <v>0.00212002504014806</v>
          </cell>
          <cell r="E223">
            <v>0</v>
          </cell>
          <cell r="F223">
            <v>0.00212002504014806</v>
          </cell>
          <cell r="G223">
            <v>0.00123638634942494</v>
          </cell>
        </row>
        <row r="224">
          <cell r="A224">
            <v>42064</v>
          </cell>
          <cell r="B224">
            <v>0</v>
          </cell>
          <cell r="C224">
            <v>256.132168386389</v>
          </cell>
          <cell r="D224">
            <v>0.00212273299775257</v>
          </cell>
          <cell r="E224">
            <v>0</v>
          </cell>
          <cell r="F224">
            <v>0.00212273299775257</v>
          </cell>
          <cell r="G224">
            <v>0.00123638634942494</v>
          </cell>
        </row>
        <row r="225">
          <cell r="A225">
            <v>42095</v>
          </cell>
          <cell r="B225">
            <v>0</v>
          </cell>
          <cell r="C225">
            <v>256.677141113017</v>
          </cell>
          <cell r="D225">
            <v>0.00212544086736346</v>
          </cell>
          <cell r="E225">
            <v>0</v>
          </cell>
          <cell r="F225">
            <v>0.00212544086736346</v>
          </cell>
          <cell r="G225">
            <v>0.00123638634942494</v>
          </cell>
        </row>
        <row r="226">
          <cell r="A226">
            <v>42125</v>
          </cell>
          <cell r="B226">
            <v>0</v>
          </cell>
          <cell r="C226">
            <v>257.223969884175</v>
          </cell>
          <cell r="D226">
            <v>0.00212814864898652</v>
          </cell>
          <cell r="E226">
            <v>0</v>
          </cell>
          <cell r="F226">
            <v>0.00212814864898652</v>
          </cell>
          <cell r="G226">
            <v>0.00123638634942494</v>
          </cell>
        </row>
        <row r="227">
          <cell r="A227">
            <v>42156</v>
          </cell>
          <cell r="B227">
            <v>0</v>
          </cell>
          <cell r="C227">
            <v>257.772661595872</v>
          </cell>
          <cell r="D227">
            <v>0.00213085634262753</v>
          </cell>
          <cell r="E227">
            <v>0</v>
          </cell>
          <cell r="F227">
            <v>0.00213085634262753</v>
          </cell>
          <cell r="G227">
            <v>0.00123638634942494</v>
          </cell>
        </row>
        <row r="228">
          <cell r="A228">
            <v>42186</v>
          </cell>
          <cell r="B228">
            <v>0</v>
          </cell>
          <cell r="C228">
            <v>258.323223173824</v>
          </cell>
          <cell r="D228">
            <v>0.00213356394829208</v>
          </cell>
          <cell r="E228">
            <v>0</v>
          </cell>
          <cell r="F228">
            <v>0.00213356394829208</v>
          </cell>
          <cell r="G228">
            <v>0.00123638634942494</v>
          </cell>
        </row>
        <row r="229">
          <cell r="A229">
            <v>42217</v>
          </cell>
          <cell r="B229">
            <v>0</v>
          </cell>
          <cell r="C229">
            <v>258.875661573592</v>
          </cell>
          <cell r="D229">
            <v>0.00213627146598595</v>
          </cell>
          <cell r="E229">
            <v>0</v>
          </cell>
          <cell r="F229">
            <v>0.00213627146598595</v>
          </cell>
          <cell r="G229">
            <v>0.00123638634942494</v>
          </cell>
        </row>
        <row r="230">
          <cell r="A230">
            <v>42248</v>
          </cell>
          <cell r="B230">
            <v>0</v>
          </cell>
          <cell r="C230">
            <v>259.429983780718</v>
          </cell>
          <cell r="D230">
            <v>0.00213897889571492</v>
          </cell>
          <cell r="E230">
            <v>0</v>
          </cell>
          <cell r="F230">
            <v>0.00213897889571492</v>
          </cell>
          <cell r="G230">
            <v>0.00123638634942494</v>
          </cell>
        </row>
        <row r="231">
          <cell r="A231">
            <v>42278</v>
          </cell>
          <cell r="B231">
            <v>0</v>
          </cell>
          <cell r="C231">
            <v>259.986196810864</v>
          </cell>
          <cell r="D231">
            <v>0.00214168623748436</v>
          </cell>
          <cell r="E231">
            <v>0</v>
          </cell>
          <cell r="F231">
            <v>0.00214168623748436</v>
          </cell>
          <cell r="G231">
            <v>0.00123638634942494</v>
          </cell>
        </row>
        <row r="232">
          <cell r="A232">
            <v>42309</v>
          </cell>
          <cell r="B232">
            <v>0</v>
          </cell>
          <cell r="C232">
            <v>260.544307709953</v>
          </cell>
          <cell r="D232">
            <v>0.00214439349130049</v>
          </cell>
          <cell r="E232">
            <v>0</v>
          </cell>
          <cell r="F232">
            <v>0.00214439349130049</v>
          </cell>
          <cell r="G232">
            <v>0.00123638634942494</v>
          </cell>
        </row>
        <row r="233">
          <cell r="A233">
            <v>42339</v>
          </cell>
          <cell r="B233">
            <v>0</v>
          </cell>
          <cell r="C233">
            <v>261.104323554311</v>
          </cell>
          <cell r="D233">
            <v>0.00214710065716887</v>
          </cell>
          <cell r="E233">
            <v>0</v>
          </cell>
          <cell r="F233">
            <v>0.00214710065716887</v>
          </cell>
          <cell r="G233">
            <v>0.00123638634942494</v>
          </cell>
        </row>
        <row r="234">
          <cell r="A234">
            <v>42370</v>
          </cell>
          <cell r="B234">
            <v>0</v>
          </cell>
          <cell r="C234">
            <v>261.666605617881</v>
          </cell>
          <cell r="D234">
            <v>0.00215116124108155</v>
          </cell>
          <cell r="E234">
            <v>0</v>
          </cell>
          <cell r="F234">
            <v>0.00215116124108155</v>
          </cell>
          <cell r="G234">
            <v>0.00123638634942494</v>
          </cell>
        </row>
        <row r="235">
          <cell r="A235">
            <v>42401</v>
          </cell>
          <cell r="B235">
            <v>0</v>
          </cell>
          <cell r="C235">
            <v>262.231163300344</v>
          </cell>
          <cell r="D235">
            <v>0.00215522162714396</v>
          </cell>
          <cell r="E235">
            <v>0</v>
          </cell>
          <cell r="F235">
            <v>0.00215522162714396</v>
          </cell>
          <cell r="G235">
            <v>0.00123638634942494</v>
          </cell>
        </row>
        <row r="236">
          <cell r="A236">
            <v>42430</v>
          </cell>
          <cell r="B236">
            <v>0</v>
          </cell>
          <cell r="C236">
            <v>262.798006049061</v>
          </cell>
          <cell r="D236">
            <v>0.00215928181537508</v>
          </cell>
          <cell r="E236">
            <v>0</v>
          </cell>
          <cell r="F236">
            <v>0.00215928181537508</v>
          </cell>
          <cell r="G236">
            <v>0.00123638634942494</v>
          </cell>
        </row>
        <row r="237">
          <cell r="A237">
            <v>42461</v>
          </cell>
          <cell r="B237">
            <v>0</v>
          </cell>
          <cell r="C237">
            <v>263.367143359329</v>
          </cell>
          <cell r="D237">
            <v>0.0021633418057943</v>
          </cell>
          <cell r="E237">
            <v>0</v>
          </cell>
          <cell r="F237">
            <v>0.0021633418057943</v>
          </cell>
          <cell r="G237">
            <v>0.00123638634942494</v>
          </cell>
        </row>
        <row r="238">
          <cell r="A238">
            <v>42491</v>
          </cell>
          <cell r="B238">
            <v>0</v>
          </cell>
          <cell r="C238">
            <v>263.938584774634</v>
          </cell>
          <cell r="D238">
            <v>0.00216740159842081</v>
          </cell>
          <cell r="E238">
            <v>0</v>
          </cell>
          <cell r="F238">
            <v>0.00216740159842081</v>
          </cell>
          <cell r="G238">
            <v>0.00123638634942494</v>
          </cell>
        </row>
        <row r="239">
          <cell r="A239">
            <v>42522</v>
          </cell>
          <cell r="B239">
            <v>0</v>
          </cell>
          <cell r="C239">
            <v>264.51233988691</v>
          </cell>
          <cell r="D239">
            <v>0.00217146119327423</v>
          </cell>
          <cell r="E239">
            <v>0</v>
          </cell>
          <cell r="F239">
            <v>0.00217146119327423</v>
          </cell>
          <cell r="G239">
            <v>0.00123638634942494</v>
          </cell>
        </row>
        <row r="240">
          <cell r="A240">
            <v>42552</v>
          </cell>
          <cell r="B240">
            <v>0</v>
          </cell>
          <cell r="C240">
            <v>265.088418336797</v>
          </cell>
          <cell r="D240">
            <v>0.00217552059037331</v>
          </cell>
          <cell r="E240">
            <v>0</v>
          </cell>
          <cell r="F240">
            <v>0.00217552059037331</v>
          </cell>
          <cell r="G240">
            <v>0.00123638634942494</v>
          </cell>
        </row>
        <row r="241">
          <cell r="A241">
            <v>42583</v>
          </cell>
          <cell r="B241">
            <v>0</v>
          </cell>
          <cell r="C241">
            <v>265.666829813899</v>
          </cell>
          <cell r="D241">
            <v>0.00217957978973765</v>
          </cell>
          <cell r="E241">
            <v>0</v>
          </cell>
          <cell r="F241">
            <v>0.00217957978973765</v>
          </cell>
          <cell r="G241">
            <v>0.00123638634942494</v>
          </cell>
        </row>
        <row r="242">
          <cell r="A242">
            <v>42614</v>
          </cell>
          <cell r="B242">
            <v>0</v>
          </cell>
          <cell r="C242">
            <v>266.247584057045</v>
          </cell>
          <cell r="D242">
            <v>0.00218363879138645</v>
          </cell>
          <cell r="E242">
            <v>0</v>
          </cell>
          <cell r="F242">
            <v>0.00218363879138645</v>
          </cell>
          <cell r="G242">
            <v>0.00123638634942494</v>
          </cell>
        </row>
        <row r="243">
          <cell r="A243">
            <v>42644</v>
          </cell>
          <cell r="B243">
            <v>0</v>
          </cell>
          <cell r="C243">
            <v>266.830690854558</v>
          </cell>
          <cell r="D243">
            <v>0.00218769759533888</v>
          </cell>
          <cell r="E243">
            <v>0</v>
          </cell>
          <cell r="F243">
            <v>0.00218769759533888</v>
          </cell>
          <cell r="G243">
            <v>0.00123638634942494</v>
          </cell>
        </row>
        <row r="244">
          <cell r="A244">
            <v>42675</v>
          </cell>
          <cell r="B244">
            <v>0</v>
          </cell>
          <cell r="C244">
            <v>267.41616004451</v>
          </cell>
          <cell r="D244">
            <v>0.00219175620161412</v>
          </cell>
          <cell r="E244">
            <v>0</v>
          </cell>
          <cell r="F244">
            <v>0.00219175620161412</v>
          </cell>
          <cell r="G244">
            <v>0.00123638634942494</v>
          </cell>
        </row>
        <row r="245">
          <cell r="A245">
            <v>42705</v>
          </cell>
          <cell r="B245">
            <v>0</v>
          </cell>
          <cell r="C245">
            <v>268.004001514998</v>
          </cell>
          <cell r="D245">
            <v>0.00219581461023179</v>
          </cell>
          <cell r="E245">
            <v>0</v>
          </cell>
          <cell r="F245">
            <v>0.00219581461023179</v>
          </cell>
          <cell r="G245">
            <v>0.00123638634942494</v>
          </cell>
        </row>
        <row r="246">
          <cell r="A246">
            <v>42736</v>
          </cell>
          <cell r="B246">
            <v>0</v>
          </cell>
          <cell r="C246">
            <v>268.593861873203</v>
          </cell>
          <cell r="D246">
            <v>0.00219852010617662</v>
          </cell>
          <cell r="E246">
            <v>0</v>
          </cell>
          <cell r="F246">
            <v>0.00219852010617662</v>
          </cell>
          <cell r="G246">
            <v>0.00123638634942494</v>
          </cell>
        </row>
        <row r="247">
          <cell r="A247">
            <v>42767</v>
          </cell>
          <cell r="B247">
            <v>0</v>
          </cell>
          <cell r="C247">
            <v>269.185748734175</v>
          </cell>
          <cell r="D247">
            <v>0.00220122551428751</v>
          </cell>
          <cell r="E247">
            <v>0</v>
          </cell>
          <cell r="F247">
            <v>0.00220122551428751</v>
          </cell>
          <cell r="G247">
            <v>0.00123638634942494</v>
          </cell>
        </row>
        <row r="248">
          <cell r="A248">
            <v>42795</v>
          </cell>
          <cell r="B248">
            <v>0</v>
          </cell>
          <cell r="C248">
            <v>269.779669746048</v>
          </cell>
          <cell r="D248">
            <v>0.00220393083457069</v>
          </cell>
          <cell r="E248">
            <v>0</v>
          </cell>
          <cell r="F248">
            <v>0.00220393083457069</v>
          </cell>
          <cell r="G248">
            <v>0.00123638634942494</v>
          </cell>
        </row>
        <row r="249">
          <cell r="A249">
            <v>42826</v>
          </cell>
          <cell r="B249">
            <v>0</v>
          </cell>
          <cell r="C249">
            <v>270.375632590191</v>
          </cell>
          <cell r="D249">
            <v>0.00220663606703151</v>
          </cell>
          <cell r="E249">
            <v>0</v>
          </cell>
          <cell r="F249">
            <v>0.00220663606703151</v>
          </cell>
          <cell r="G249">
            <v>0.00123638634942494</v>
          </cell>
        </row>
        <row r="250">
          <cell r="A250">
            <v>42856</v>
          </cell>
          <cell r="B250">
            <v>0</v>
          </cell>
          <cell r="C250">
            <v>270.973644981365</v>
          </cell>
          <cell r="D250">
            <v>0.00220934121167576</v>
          </cell>
          <cell r="E250">
            <v>0</v>
          </cell>
          <cell r="F250">
            <v>0.00220934121167576</v>
          </cell>
          <cell r="G250">
            <v>0.00123638634942494</v>
          </cell>
        </row>
        <row r="251">
          <cell r="A251">
            <v>42887</v>
          </cell>
          <cell r="B251">
            <v>0</v>
          </cell>
          <cell r="C251">
            <v>271.57371466788</v>
          </cell>
          <cell r="D251">
            <v>0.00221204626850945</v>
          </cell>
          <cell r="E251">
            <v>0</v>
          </cell>
          <cell r="F251">
            <v>0.00221204626850945</v>
          </cell>
          <cell r="G251">
            <v>0.00123638634942494</v>
          </cell>
        </row>
        <row r="252">
          <cell r="A252">
            <v>42917</v>
          </cell>
          <cell r="B252">
            <v>0</v>
          </cell>
          <cell r="C252">
            <v>272.175849431752</v>
          </cell>
          <cell r="D252">
            <v>0.0022147512375377</v>
          </cell>
          <cell r="E252">
            <v>0</v>
          </cell>
          <cell r="F252">
            <v>0.0022147512375377</v>
          </cell>
          <cell r="G252">
            <v>0.00123638634942494</v>
          </cell>
        </row>
        <row r="253">
          <cell r="A253">
            <v>42948</v>
          </cell>
          <cell r="B253">
            <v>0</v>
          </cell>
          <cell r="C253">
            <v>272.780057088858</v>
          </cell>
          <cell r="D253">
            <v>0.00221745611876652</v>
          </cell>
          <cell r="E253">
            <v>0</v>
          </cell>
          <cell r="F253">
            <v>0.00221745611876652</v>
          </cell>
          <cell r="G253">
            <v>0.00123638634942494</v>
          </cell>
        </row>
        <row r="254">
          <cell r="A254">
            <v>42979</v>
          </cell>
          <cell r="B254">
            <v>0</v>
          </cell>
          <cell r="C254">
            <v>273.3863454891</v>
          </cell>
          <cell r="D254">
            <v>0.0022201609122017</v>
          </cell>
          <cell r="E254">
            <v>0</v>
          </cell>
          <cell r="F254">
            <v>0.0022201609122017</v>
          </cell>
          <cell r="G254">
            <v>0.00123638634942494</v>
          </cell>
        </row>
        <row r="255">
          <cell r="A255">
            <v>43009</v>
          </cell>
          <cell r="B255">
            <v>0</v>
          </cell>
          <cell r="C255">
            <v>273.99472251656</v>
          </cell>
          <cell r="D255">
            <v>0.00222286561784881</v>
          </cell>
          <cell r="E255">
            <v>0</v>
          </cell>
          <cell r="F255">
            <v>0.00222286561784881</v>
          </cell>
          <cell r="G255">
            <v>0.00123638634942494</v>
          </cell>
        </row>
        <row r="256">
          <cell r="A256">
            <v>43040</v>
          </cell>
          <cell r="B256">
            <v>0</v>
          </cell>
          <cell r="C256">
            <v>274.605196089661</v>
          </cell>
          <cell r="D256">
            <v>0.00222557023571363</v>
          </cell>
          <cell r="E256">
            <v>0</v>
          </cell>
          <cell r="F256">
            <v>0.00222557023571363</v>
          </cell>
          <cell r="G256">
            <v>0.00123638634942494</v>
          </cell>
        </row>
        <row r="257">
          <cell r="A257">
            <v>43070</v>
          </cell>
          <cell r="B257">
            <v>0</v>
          </cell>
          <cell r="C257">
            <v>275.21777416133</v>
          </cell>
          <cell r="D257">
            <v>0.00222827476580173</v>
          </cell>
          <cell r="E257">
            <v>0</v>
          </cell>
          <cell r="F257">
            <v>0.00222827476580173</v>
          </cell>
          <cell r="G257">
            <v>0.00123638634942494</v>
          </cell>
        </row>
        <row r="258">
          <cell r="A258">
            <v>43101</v>
          </cell>
          <cell r="B258">
            <v>0</v>
          </cell>
          <cell r="C258">
            <v>275.832278228244</v>
          </cell>
          <cell r="D258">
            <v>0.00223030310576802</v>
          </cell>
          <cell r="E258">
            <v>0</v>
          </cell>
          <cell r="F258">
            <v>0.00223030310576802</v>
          </cell>
          <cell r="G258">
            <v>0.00123638634942494</v>
          </cell>
        </row>
        <row r="259">
          <cell r="A259">
            <v>43132</v>
          </cell>
          <cell r="B259">
            <v>0</v>
          </cell>
          <cell r="C259">
            <v>276.448715072734</v>
          </cell>
          <cell r="D259">
            <v>0.00223233139636535</v>
          </cell>
          <cell r="E259">
            <v>0</v>
          </cell>
          <cell r="F259">
            <v>0.00223233139636535</v>
          </cell>
          <cell r="G259">
            <v>0.00123638634942494</v>
          </cell>
        </row>
        <row r="260">
          <cell r="A260">
            <v>43160</v>
          </cell>
          <cell r="B260">
            <v>0</v>
          </cell>
          <cell r="C260">
            <v>277.067091503964</v>
          </cell>
          <cell r="D260">
            <v>0.00223435963759623</v>
          </cell>
          <cell r="E260">
            <v>0</v>
          </cell>
          <cell r="F260">
            <v>0.00223435963759623</v>
          </cell>
          <cell r="G260">
            <v>0.00123638634942494</v>
          </cell>
        </row>
        <row r="261">
          <cell r="A261">
            <v>43191</v>
          </cell>
          <cell r="B261">
            <v>0</v>
          </cell>
          <cell r="C261">
            <v>277.687414358047</v>
          </cell>
          <cell r="D261">
            <v>0.00223638782946339</v>
          </cell>
          <cell r="E261">
            <v>0</v>
          </cell>
          <cell r="F261">
            <v>0.00223638782946339</v>
          </cell>
          <cell r="G261">
            <v>0.00123638634942494</v>
          </cell>
        </row>
        <row r="262">
          <cell r="A262">
            <v>43221</v>
          </cell>
          <cell r="B262">
            <v>0</v>
          </cell>
          <cell r="C262">
            <v>278.30969049816</v>
          </cell>
          <cell r="D262">
            <v>0.00223841597196889</v>
          </cell>
          <cell r="E262">
            <v>0</v>
          </cell>
          <cell r="F262">
            <v>0.00223841597196889</v>
          </cell>
          <cell r="G262">
            <v>0.00123638634942494</v>
          </cell>
        </row>
        <row r="263">
          <cell r="A263">
            <v>43252</v>
          </cell>
          <cell r="B263">
            <v>0</v>
          </cell>
          <cell r="C263">
            <v>278.933926814658</v>
          </cell>
          <cell r="D263">
            <v>0.00224044406511523</v>
          </cell>
          <cell r="E263">
            <v>0</v>
          </cell>
          <cell r="F263">
            <v>0.00224044406511523</v>
          </cell>
          <cell r="G263">
            <v>0.00123638634942494</v>
          </cell>
        </row>
        <row r="264">
          <cell r="A264">
            <v>43282</v>
          </cell>
          <cell r="B264">
            <v>0</v>
          </cell>
          <cell r="C264">
            <v>279.560130225194</v>
          </cell>
          <cell r="D264">
            <v>0.00224247210890472</v>
          </cell>
          <cell r="E264">
            <v>0</v>
          </cell>
          <cell r="F264">
            <v>0.00224247210890472</v>
          </cell>
          <cell r="G264">
            <v>0.00123638634942494</v>
          </cell>
        </row>
        <row r="265">
          <cell r="A265">
            <v>43313</v>
          </cell>
          <cell r="B265">
            <v>0</v>
          </cell>
          <cell r="C265">
            <v>280.188307674831</v>
          </cell>
          <cell r="D265">
            <v>0.00224450010334006</v>
          </cell>
          <cell r="E265">
            <v>0</v>
          </cell>
          <cell r="F265">
            <v>0.00224450010334006</v>
          </cell>
          <cell r="G265">
            <v>0.00123638634942494</v>
          </cell>
        </row>
        <row r="266">
          <cell r="A266">
            <v>43344</v>
          </cell>
          <cell r="B266">
            <v>0</v>
          </cell>
          <cell r="C266">
            <v>280.818466136164</v>
          </cell>
          <cell r="D266">
            <v>0.00224652804842334</v>
          </cell>
          <cell r="E266">
            <v>0</v>
          </cell>
          <cell r="F266">
            <v>0.00224652804842334</v>
          </cell>
          <cell r="G266">
            <v>0.00123638634942494</v>
          </cell>
        </row>
        <row r="267">
          <cell r="A267">
            <v>43374</v>
          </cell>
          <cell r="B267">
            <v>0</v>
          </cell>
          <cell r="C267">
            <v>281.450612609434</v>
          </cell>
          <cell r="D267">
            <v>0.00224855594415727</v>
          </cell>
          <cell r="E267">
            <v>0</v>
          </cell>
          <cell r="F267">
            <v>0.00224855594415727</v>
          </cell>
          <cell r="G267">
            <v>0.00123638634942494</v>
          </cell>
        </row>
        <row r="268">
          <cell r="A268">
            <v>43405</v>
          </cell>
          <cell r="B268">
            <v>0</v>
          </cell>
          <cell r="C268">
            <v>282.08475412265</v>
          </cell>
          <cell r="D268">
            <v>0.00225058379054392</v>
          </cell>
          <cell r="E268">
            <v>0</v>
          </cell>
          <cell r="F268">
            <v>0.00225058379054392</v>
          </cell>
          <cell r="G268">
            <v>0.00123638634942494</v>
          </cell>
        </row>
        <row r="269">
          <cell r="A269">
            <v>43435</v>
          </cell>
          <cell r="B269">
            <v>0</v>
          </cell>
          <cell r="C269">
            <v>282.720897731704</v>
          </cell>
          <cell r="D269">
            <v>0.0022526115875858</v>
          </cell>
          <cell r="E269">
            <v>0</v>
          </cell>
          <cell r="F269">
            <v>0.0022526115875858</v>
          </cell>
          <cell r="G269">
            <v>0.00123638634942494</v>
          </cell>
        </row>
        <row r="270">
          <cell r="A270">
            <v>43466</v>
          </cell>
          <cell r="B270">
            <v>0</v>
          </cell>
          <cell r="C270">
            <v>283.360008125482</v>
          </cell>
          <cell r="D270">
            <v>0.00225801880514171</v>
          </cell>
          <cell r="E270">
            <v>0</v>
          </cell>
          <cell r="F270">
            <v>0.00225801880514171</v>
          </cell>
          <cell r="G270">
            <v>0.00123638634942494</v>
          </cell>
        </row>
        <row r="271">
          <cell r="A271">
            <v>43497</v>
          </cell>
          <cell r="B271">
            <v>0</v>
          </cell>
          <cell r="C271">
            <v>284.002098830422</v>
          </cell>
          <cell r="D271">
            <v>0.00226342567186435</v>
          </cell>
          <cell r="E271">
            <v>0</v>
          </cell>
          <cell r="F271">
            <v>0.00226342567186435</v>
          </cell>
          <cell r="G271">
            <v>0.00123638634942494</v>
          </cell>
        </row>
        <row r="272">
          <cell r="A272">
            <v>43525</v>
          </cell>
          <cell r="B272">
            <v>0</v>
          </cell>
          <cell r="C272">
            <v>284.647183451307</v>
          </cell>
          <cell r="D272">
            <v>0.00226883218779933</v>
          </cell>
          <cell r="E272">
            <v>0</v>
          </cell>
          <cell r="F272">
            <v>0.00226883218779933</v>
          </cell>
          <cell r="G272">
            <v>0.00123638634942494</v>
          </cell>
        </row>
        <row r="273">
          <cell r="A273">
            <v>43556</v>
          </cell>
          <cell r="B273">
            <v>0</v>
          </cell>
          <cell r="C273">
            <v>285.295275671738</v>
          </cell>
          <cell r="D273">
            <v>0.00227423835299208</v>
          </cell>
          <cell r="E273">
            <v>0</v>
          </cell>
          <cell r="F273">
            <v>0.00227423835299208</v>
          </cell>
          <cell r="G273">
            <v>0.00123638634942494</v>
          </cell>
        </row>
        <row r="274">
          <cell r="A274">
            <v>43586</v>
          </cell>
          <cell r="B274">
            <v>0</v>
          </cell>
          <cell r="C274">
            <v>285.946389254602</v>
          </cell>
          <cell r="D274">
            <v>0.00227964416748799</v>
          </cell>
          <cell r="E274">
            <v>0</v>
          </cell>
          <cell r="F274">
            <v>0.00227964416748799</v>
          </cell>
          <cell r="G274">
            <v>0.00123638634942494</v>
          </cell>
        </row>
        <row r="275">
          <cell r="A275">
            <v>43617</v>
          </cell>
          <cell r="B275">
            <v>0</v>
          </cell>
          <cell r="C275">
            <v>286.600538042538</v>
          </cell>
          <cell r="D275">
            <v>0.0022850496313327</v>
          </cell>
          <cell r="E275">
            <v>0</v>
          </cell>
          <cell r="F275">
            <v>0.0022850496313327</v>
          </cell>
          <cell r="G275">
            <v>0.00123638634942494</v>
          </cell>
        </row>
        <row r="276">
          <cell r="A276">
            <v>43647</v>
          </cell>
          <cell r="B276">
            <v>0</v>
          </cell>
          <cell r="C276">
            <v>287.257735958422</v>
          </cell>
          <cell r="D276">
            <v>0.00229045474457162</v>
          </cell>
          <cell r="E276">
            <v>0</v>
          </cell>
          <cell r="F276">
            <v>0.00229045474457162</v>
          </cell>
          <cell r="G276">
            <v>0.00123638634942494</v>
          </cell>
        </row>
        <row r="277">
          <cell r="A277">
            <v>43678</v>
          </cell>
          <cell r="B277">
            <v>0</v>
          </cell>
          <cell r="C277">
            <v>287.917997005837</v>
          </cell>
          <cell r="D277">
            <v>0.00229585950725036</v>
          </cell>
          <cell r="E277">
            <v>0</v>
          </cell>
          <cell r="F277">
            <v>0.00229585950725036</v>
          </cell>
          <cell r="G277">
            <v>0.00123638634942494</v>
          </cell>
        </row>
        <row r="278">
          <cell r="A278">
            <v>43709</v>
          </cell>
          <cell r="B278">
            <v>0</v>
          </cell>
          <cell r="C278">
            <v>288.58133526956</v>
          </cell>
          <cell r="D278">
            <v>0.00230126391941455</v>
          </cell>
          <cell r="E278">
            <v>0</v>
          </cell>
          <cell r="F278">
            <v>0.00230126391941455</v>
          </cell>
          <cell r="G278">
            <v>0.00123638634942494</v>
          </cell>
        </row>
        <row r="279">
          <cell r="A279">
            <v>43739</v>
          </cell>
          <cell r="B279">
            <v>0</v>
          </cell>
          <cell r="C279">
            <v>289.247764916045</v>
          </cell>
          <cell r="D279">
            <v>0.00230666798110914</v>
          </cell>
          <cell r="E279">
            <v>0</v>
          </cell>
          <cell r="F279">
            <v>0.00230666798110914</v>
          </cell>
          <cell r="G279">
            <v>0.00123638634942494</v>
          </cell>
        </row>
        <row r="280">
          <cell r="A280">
            <v>43770</v>
          </cell>
          <cell r="B280">
            <v>0</v>
          </cell>
          <cell r="C280">
            <v>289.917300193913</v>
          </cell>
          <cell r="D280">
            <v>0.00231207169237999</v>
          </cell>
          <cell r="E280">
            <v>0</v>
          </cell>
          <cell r="F280">
            <v>0.00231207169237999</v>
          </cell>
          <cell r="G280">
            <v>0.00123638634942494</v>
          </cell>
        </row>
        <row r="281">
          <cell r="A281">
            <v>43800</v>
          </cell>
          <cell r="B281">
            <v>0</v>
          </cell>
          <cell r="C281">
            <v>290.589955434443</v>
          </cell>
          <cell r="D281">
            <v>0.00231747505327227</v>
          </cell>
          <cell r="E281">
            <v>0</v>
          </cell>
          <cell r="F281">
            <v>0.00231747505327227</v>
          </cell>
          <cell r="G281">
            <v>0.00123638634942494</v>
          </cell>
        </row>
        <row r="282">
          <cell r="A282">
            <v>43831</v>
          </cell>
          <cell r="B282">
            <v>0</v>
          </cell>
          <cell r="C282">
            <v>291.265745052064</v>
          </cell>
          <cell r="D282">
            <v>0.00232287806383159</v>
          </cell>
          <cell r="E282">
            <v>0</v>
          </cell>
          <cell r="F282">
            <v>0.00232287806383159</v>
          </cell>
          <cell r="G282">
            <v>0.00123638634942494</v>
          </cell>
        </row>
        <row r="283">
          <cell r="A283">
            <v>43862</v>
          </cell>
          <cell r="B283">
            <v>0</v>
          </cell>
          <cell r="C283">
            <v>291.944683544859</v>
          </cell>
          <cell r="D283">
            <v>0.00232828072410336</v>
          </cell>
          <cell r="E283">
            <v>0</v>
          </cell>
          <cell r="F283">
            <v>0.00232828072410336</v>
          </cell>
          <cell r="G283">
            <v>0.00123638634942494</v>
          </cell>
        </row>
        <row r="284">
          <cell r="A284">
            <v>43891</v>
          </cell>
          <cell r="B284">
            <v>0</v>
          </cell>
          <cell r="C284">
            <v>292.626785495062</v>
          </cell>
          <cell r="D284">
            <v>0.00233368303413319</v>
          </cell>
          <cell r="E284">
            <v>0</v>
          </cell>
          <cell r="F284">
            <v>0.00233368303413319</v>
          </cell>
          <cell r="G284">
            <v>0.00123638634942494</v>
          </cell>
        </row>
        <row r="285">
          <cell r="A285">
            <v>43922</v>
          </cell>
          <cell r="B285">
            <v>0</v>
          </cell>
          <cell r="C285">
            <v>293.312065569567</v>
          </cell>
          <cell r="D285">
            <v>0.00233908499396602</v>
          </cell>
          <cell r="E285">
            <v>0</v>
          </cell>
          <cell r="F285">
            <v>0.00233908499396602</v>
          </cell>
          <cell r="G285">
            <v>0.00123638634942494</v>
          </cell>
        </row>
        <row r="286">
          <cell r="A286">
            <v>43952</v>
          </cell>
          <cell r="B286">
            <v>0</v>
          </cell>
          <cell r="C286">
            <v>294.000538520432</v>
          </cell>
          <cell r="D286">
            <v>0.0023444866036477</v>
          </cell>
          <cell r="E286">
            <v>0</v>
          </cell>
          <cell r="F286">
            <v>0.0023444866036477</v>
          </cell>
          <cell r="G286">
            <v>0.00123638634942494</v>
          </cell>
        </row>
        <row r="287">
          <cell r="A287">
            <v>43983</v>
          </cell>
          <cell r="B287">
            <v>0</v>
          </cell>
          <cell r="C287">
            <v>294.692219185395</v>
          </cell>
          <cell r="D287">
            <v>0.00234988786322317</v>
          </cell>
          <cell r="E287">
            <v>0</v>
          </cell>
          <cell r="F287">
            <v>0.00234988786322317</v>
          </cell>
          <cell r="G287">
            <v>0.00123638634942494</v>
          </cell>
        </row>
        <row r="288">
          <cell r="A288">
            <v>44013</v>
          </cell>
          <cell r="B288">
            <v>0</v>
          </cell>
          <cell r="C288">
            <v>295.387122488388</v>
          </cell>
          <cell r="D288">
            <v>0.00235528877273826</v>
          </cell>
          <cell r="E288">
            <v>0</v>
          </cell>
          <cell r="F288">
            <v>0.00235528877273826</v>
          </cell>
          <cell r="G288">
            <v>0.00123638634942494</v>
          </cell>
        </row>
        <row r="289">
          <cell r="A289">
            <v>44044</v>
          </cell>
          <cell r="B289">
            <v>0</v>
          </cell>
          <cell r="C289">
            <v>296.085263440056</v>
          </cell>
          <cell r="D289">
            <v>0.00236068933223814</v>
          </cell>
          <cell r="E289">
            <v>0</v>
          </cell>
          <cell r="F289">
            <v>0.00236068933223814</v>
          </cell>
          <cell r="G289">
            <v>0.00123638634942494</v>
          </cell>
        </row>
        <row r="290">
          <cell r="A290">
            <v>44075</v>
          </cell>
          <cell r="B290">
            <v>0</v>
          </cell>
          <cell r="C290">
            <v>296.786657138278</v>
          </cell>
          <cell r="D290">
            <v>0.00236608954176821</v>
          </cell>
          <cell r="E290">
            <v>0</v>
          </cell>
          <cell r="F290">
            <v>0.00236608954176821</v>
          </cell>
          <cell r="G290">
            <v>0.00123638634942494</v>
          </cell>
        </row>
        <row r="291">
          <cell r="A291">
            <v>44105</v>
          </cell>
          <cell r="B291">
            <v>0</v>
          </cell>
          <cell r="C291">
            <v>297.491318768695</v>
          </cell>
          <cell r="D291">
            <v>0.00237148940137361</v>
          </cell>
          <cell r="E291">
            <v>0</v>
          </cell>
          <cell r="F291">
            <v>0.00237148940137361</v>
          </cell>
          <cell r="G291">
            <v>0.00123638634942494</v>
          </cell>
        </row>
        <row r="292">
          <cell r="A292">
            <v>44136</v>
          </cell>
          <cell r="B292">
            <v>0</v>
          </cell>
          <cell r="C292">
            <v>298.199263605241</v>
          </cell>
          <cell r="D292">
            <v>0.00237688891110018</v>
          </cell>
          <cell r="E292">
            <v>0</v>
          </cell>
          <cell r="F292">
            <v>0.00237688891110018</v>
          </cell>
          <cell r="G292">
            <v>0.00123638634942494</v>
          </cell>
        </row>
        <row r="293">
          <cell r="A293">
            <v>44166</v>
          </cell>
          <cell r="B293">
            <v>0</v>
          </cell>
          <cell r="C293">
            <v>298.91050701067</v>
          </cell>
          <cell r="D293">
            <v>0.00238228807099264</v>
          </cell>
          <cell r="E293">
            <v>0</v>
          </cell>
          <cell r="F293">
            <v>0.00238228807099264</v>
          </cell>
          <cell r="G293">
            <v>0.00123638634942494</v>
          </cell>
        </row>
        <row r="294">
          <cell r="A294">
            <v>44197</v>
          </cell>
          <cell r="B294">
            <v>0</v>
          </cell>
          <cell r="C294">
            <v>299.626479770953</v>
          </cell>
          <cell r="D294">
            <v>0.00239241055303784</v>
          </cell>
          <cell r="E294">
            <v>0</v>
          </cell>
          <cell r="F294">
            <v>0.00239241055303784</v>
          </cell>
          <cell r="G294">
            <v>0.00123638634942494</v>
          </cell>
        </row>
        <row r="295">
          <cell r="A295">
            <v>44228</v>
          </cell>
          <cell r="B295">
            <v>0</v>
          </cell>
          <cell r="C295">
            <v>300.347207357215</v>
          </cell>
          <cell r="D295">
            <v>0.00240253180565635</v>
          </cell>
          <cell r="E295">
            <v>0</v>
          </cell>
          <cell r="F295">
            <v>0.00240253180565635</v>
          </cell>
          <cell r="G295">
            <v>0.00123638634942494</v>
          </cell>
        </row>
        <row r="296">
          <cell r="A296">
            <v>44256</v>
          </cell>
          <cell r="B296">
            <v>0</v>
          </cell>
          <cell r="C296">
            <v>301.072715443705</v>
          </cell>
          <cell r="D296">
            <v>0.00241265182914738</v>
          </cell>
          <cell r="E296">
            <v>0</v>
          </cell>
          <cell r="F296">
            <v>0.00241265182914738</v>
          </cell>
          <cell r="G296">
            <v>0.00123638634942494</v>
          </cell>
        </row>
        <row r="297">
          <cell r="A297">
            <v>44287</v>
          </cell>
          <cell r="B297">
            <v>0</v>
          </cell>
          <cell r="C297">
            <v>301.803029909295</v>
          </cell>
          <cell r="D297">
            <v>0.00242277062380882</v>
          </cell>
          <cell r="E297">
            <v>0</v>
          </cell>
          <cell r="F297">
            <v>0.00242277062380882</v>
          </cell>
          <cell r="G297">
            <v>0.00123638634942494</v>
          </cell>
        </row>
        <row r="298">
          <cell r="A298">
            <v>44317</v>
          </cell>
          <cell r="B298">
            <v>0</v>
          </cell>
          <cell r="C298">
            <v>302.538176838983</v>
          </cell>
          <cell r="D298">
            <v>0.00243288818993965</v>
          </cell>
          <cell r="E298">
            <v>0</v>
          </cell>
          <cell r="F298">
            <v>0.00243288818993965</v>
          </cell>
          <cell r="G298">
            <v>0.00123638634942494</v>
          </cell>
        </row>
        <row r="299">
          <cell r="A299">
            <v>44348</v>
          </cell>
          <cell r="B299">
            <v>0</v>
          </cell>
          <cell r="C299">
            <v>303.27818252542</v>
          </cell>
          <cell r="D299">
            <v>0.0024430045278377</v>
          </cell>
          <cell r="E299">
            <v>0</v>
          </cell>
          <cell r="F299">
            <v>0.0024430045278377</v>
          </cell>
          <cell r="G299">
            <v>0.00123638634942494</v>
          </cell>
        </row>
        <row r="300">
          <cell r="A300">
            <v>44378</v>
          </cell>
          <cell r="B300">
            <v>0</v>
          </cell>
          <cell r="C300">
            <v>304.023073470442</v>
          </cell>
          <cell r="D300">
            <v>0.00245311963780147</v>
          </cell>
          <cell r="E300">
            <v>0</v>
          </cell>
          <cell r="F300">
            <v>0.00245311963780147</v>
          </cell>
          <cell r="G300">
            <v>0.00123638634942494</v>
          </cell>
        </row>
        <row r="301">
          <cell r="A301">
            <v>44409</v>
          </cell>
          <cell r="B301">
            <v>0</v>
          </cell>
          <cell r="C301">
            <v>304.772876386625</v>
          </cell>
          <cell r="D301">
            <v>0.00246323352012879</v>
          </cell>
          <cell r="E301">
            <v>0</v>
          </cell>
          <cell r="F301">
            <v>0.00246323352012879</v>
          </cell>
          <cell r="G301">
            <v>0.00123638634942494</v>
          </cell>
        </row>
        <row r="302">
          <cell r="A302">
            <v>44440</v>
          </cell>
          <cell r="B302">
            <v>0</v>
          </cell>
          <cell r="C302">
            <v>305.527618198845</v>
          </cell>
          <cell r="D302">
            <v>0.00247334617511744</v>
          </cell>
          <cell r="E302">
            <v>0</v>
          </cell>
          <cell r="F302">
            <v>0.00247334617511744</v>
          </cell>
          <cell r="G302">
            <v>0.00123638634942494</v>
          </cell>
        </row>
        <row r="303">
          <cell r="A303">
            <v>44470</v>
          </cell>
          <cell r="B303">
            <v>0</v>
          </cell>
          <cell r="C303">
            <v>306.28732604586</v>
          </cell>
          <cell r="D303">
            <v>0.00248345760306589</v>
          </cell>
          <cell r="E303">
            <v>0</v>
          </cell>
          <cell r="F303">
            <v>0.00248345760306589</v>
          </cell>
          <cell r="G303">
            <v>0.00123638634942494</v>
          </cell>
        </row>
        <row r="304">
          <cell r="A304">
            <v>44501</v>
          </cell>
          <cell r="B304">
            <v>0</v>
          </cell>
          <cell r="C304">
            <v>307.0520272819</v>
          </cell>
          <cell r="D304">
            <v>0.00249356780427123</v>
          </cell>
          <cell r="E304">
            <v>0</v>
          </cell>
          <cell r="F304">
            <v>0.00249356780427123</v>
          </cell>
          <cell r="G304">
            <v>0.00123638634942494</v>
          </cell>
        </row>
        <row r="305">
          <cell r="A305">
            <v>44531</v>
          </cell>
          <cell r="B305">
            <v>0</v>
          </cell>
          <cell r="C305">
            <v>307.821749478278</v>
          </cell>
          <cell r="D305">
            <v>0.00250367677903144</v>
          </cell>
          <cell r="E305">
            <v>0</v>
          </cell>
          <cell r="F305">
            <v>0.00250367677903144</v>
          </cell>
          <cell r="G305">
            <v>0.00123638634942494</v>
          </cell>
        </row>
        <row r="306">
          <cell r="A306">
            <v>44562</v>
          </cell>
          <cell r="B306">
            <v>0</v>
          </cell>
          <cell r="C306">
            <v>308.594648946455</v>
          </cell>
          <cell r="D306">
            <v>0.00250772002559753</v>
          </cell>
          <cell r="E306">
            <v>0</v>
          </cell>
          <cell r="F306">
            <v>0.00250772002559753</v>
          </cell>
          <cell r="G306">
            <v>0.00123638634942494</v>
          </cell>
        </row>
        <row r="307">
          <cell r="A307">
            <v>44593</v>
          </cell>
          <cell r="B307">
            <v>0</v>
          </cell>
          <cell r="C307">
            <v>309.370739861354</v>
          </cell>
          <cell r="D307">
            <v>0.00251176307599893</v>
          </cell>
          <cell r="E307">
            <v>0</v>
          </cell>
          <cell r="F307">
            <v>0.00251176307599893</v>
          </cell>
          <cell r="G307">
            <v>0.00123638634942494</v>
          </cell>
        </row>
        <row r="308">
          <cell r="A308">
            <v>44621</v>
          </cell>
          <cell r="B308">
            <v>0</v>
          </cell>
          <cell r="C308">
            <v>310.15003647183</v>
          </cell>
          <cell r="D308">
            <v>0.0025158059302548</v>
          </cell>
          <cell r="E308">
            <v>0</v>
          </cell>
          <cell r="F308">
            <v>0.0025158059302548</v>
          </cell>
          <cell r="G308">
            <v>0.00123638634942494</v>
          </cell>
        </row>
        <row r="309">
          <cell r="A309">
            <v>44652</v>
          </cell>
          <cell r="B309">
            <v>0</v>
          </cell>
          <cell r="C309">
            <v>310.932553101074</v>
          </cell>
          <cell r="D309">
            <v>0.00251984858838405</v>
          </cell>
          <cell r="E309">
            <v>0</v>
          </cell>
          <cell r="F309">
            <v>0.00251984858838405</v>
          </cell>
          <cell r="G309">
            <v>0.00123638634942494</v>
          </cell>
        </row>
        <row r="310">
          <cell r="A310">
            <v>44682</v>
          </cell>
          <cell r="B310">
            <v>0</v>
          </cell>
          <cell r="C310">
            <v>311.718304147038</v>
          </cell>
          <cell r="D310">
            <v>0.00252389105040606</v>
          </cell>
          <cell r="E310">
            <v>0</v>
          </cell>
          <cell r="F310">
            <v>0.00252389105040606</v>
          </cell>
          <cell r="G310">
            <v>0.00123638634942494</v>
          </cell>
        </row>
        <row r="311">
          <cell r="A311">
            <v>44713</v>
          </cell>
          <cell r="B311">
            <v>0</v>
          </cell>
          <cell r="C311">
            <v>312.507304082844</v>
          </cell>
          <cell r="D311">
            <v>0.0025279333163393</v>
          </cell>
          <cell r="E311">
            <v>0</v>
          </cell>
          <cell r="F311">
            <v>0.0025279333163393</v>
          </cell>
          <cell r="G311">
            <v>0.00123638634942494</v>
          </cell>
        </row>
        <row r="312">
          <cell r="A312">
            <v>44743</v>
          </cell>
          <cell r="B312">
            <v>0</v>
          </cell>
          <cell r="C312">
            <v>313.299567457213</v>
          </cell>
          <cell r="D312">
            <v>0.00253197538620336</v>
          </cell>
          <cell r="E312">
            <v>0</v>
          </cell>
          <cell r="F312">
            <v>0.00253197538620336</v>
          </cell>
          <cell r="G312">
            <v>0.00123638634942494</v>
          </cell>
        </row>
        <row r="313">
          <cell r="A313">
            <v>44774</v>
          </cell>
          <cell r="B313">
            <v>0</v>
          </cell>
          <cell r="C313">
            <v>314.095108894879</v>
          </cell>
          <cell r="D313">
            <v>0.00253601726001672</v>
          </cell>
          <cell r="E313">
            <v>0</v>
          </cell>
          <cell r="F313">
            <v>0.00253601726001672</v>
          </cell>
          <cell r="G313">
            <v>0.00123638634942494</v>
          </cell>
        </row>
        <row r="314">
          <cell r="A314">
            <v>44805</v>
          </cell>
          <cell r="B314">
            <v>0</v>
          </cell>
          <cell r="C314">
            <v>314.893943097024</v>
          </cell>
          <cell r="D314">
            <v>0.00254005893779897</v>
          </cell>
          <cell r="E314">
            <v>0</v>
          </cell>
          <cell r="F314">
            <v>0.00254005893779897</v>
          </cell>
          <cell r="G314">
            <v>0.00123638634942494</v>
          </cell>
        </row>
        <row r="315">
          <cell r="A315">
            <v>44835</v>
          </cell>
          <cell r="B315">
            <v>0</v>
          </cell>
          <cell r="C315">
            <v>315.6960848417</v>
          </cell>
          <cell r="D315">
            <v>0.00254410041956859</v>
          </cell>
          <cell r="E315">
            <v>0</v>
          </cell>
          <cell r="F315">
            <v>0.00254410041956859</v>
          </cell>
          <cell r="G315">
            <v>0.00123638634942494</v>
          </cell>
        </row>
        <row r="316">
          <cell r="A316">
            <v>44866</v>
          </cell>
          <cell r="B316">
            <v>0</v>
          </cell>
          <cell r="C316">
            <v>316.501548984261</v>
          </cell>
          <cell r="D316">
            <v>0.00254814170534493</v>
          </cell>
          <cell r="E316">
            <v>0</v>
          </cell>
          <cell r="F316">
            <v>0.00254814170534493</v>
          </cell>
          <cell r="G316">
            <v>0.00123638634942494</v>
          </cell>
        </row>
        <row r="317">
          <cell r="A317">
            <v>44896</v>
          </cell>
          <cell r="B317">
            <v>0</v>
          </cell>
          <cell r="C317">
            <v>317.310350457799</v>
          </cell>
          <cell r="D317">
            <v>0.00255218279514671</v>
          </cell>
          <cell r="E317">
            <v>0</v>
          </cell>
          <cell r="F317">
            <v>0.00255218279514671</v>
          </cell>
          <cell r="G317">
            <v>0.00123638634942494</v>
          </cell>
        </row>
        <row r="318">
          <cell r="A318">
            <v>44927</v>
          </cell>
          <cell r="B318">
            <v>0</v>
          </cell>
          <cell r="C318">
            <v>318.122718517467</v>
          </cell>
          <cell r="D318">
            <v>0.00255689715225116</v>
          </cell>
          <cell r="E318">
            <v>0</v>
          </cell>
          <cell r="F318">
            <v>0.00255689715225116</v>
          </cell>
          <cell r="G318">
            <v>0.00123638634942494</v>
          </cell>
        </row>
        <row r="319">
          <cell r="A319">
            <v>44958</v>
          </cell>
          <cell r="B319">
            <v>0</v>
          </cell>
          <cell r="C319">
            <v>318.938669878681</v>
          </cell>
          <cell r="D319">
            <v>0.00256161124266873</v>
          </cell>
          <cell r="E319">
            <v>0</v>
          </cell>
          <cell r="F319">
            <v>0.00256161124266873</v>
          </cell>
          <cell r="G319">
            <v>0.00123638634942494</v>
          </cell>
        </row>
        <row r="320">
          <cell r="A320">
            <v>44986</v>
          </cell>
          <cell r="B320">
            <v>0</v>
          </cell>
          <cell r="C320">
            <v>319.758221349787</v>
          </cell>
          <cell r="D320">
            <v>0.00256632506642944</v>
          </cell>
          <cell r="E320">
            <v>0</v>
          </cell>
          <cell r="F320">
            <v>0.00256632506642944</v>
          </cell>
          <cell r="G320">
            <v>0.00123638634942494</v>
          </cell>
        </row>
        <row r="321">
          <cell r="A321">
            <v>45017</v>
          </cell>
          <cell r="B321">
            <v>0</v>
          </cell>
          <cell r="C321">
            <v>320.581389832616</v>
          </cell>
          <cell r="D321">
            <v>0.00257103862356377</v>
          </cell>
          <cell r="E321">
            <v>0</v>
          </cell>
          <cell r="F321">
            <v>0.00257103862356377</v>
          </cell>
          <cell r="G321">
            <v>0.00123638634942494</v>
          </cell>
        </row>
        <row r="322">
          <cell r="A322">
            <v>45047</v>
          </cell>
          <cell r="B322">
            <v>0</v>
          </cell>
          <cell r="C322">
            <v>321.408192323033</v>
          </cell>
          <cell r="D322">
            <v>0.00257575191410172</v>
          </cell>
          <cell r="E322">
            <v>0</v>
          </cell>
          <cell r="F322">
            <v>0.00257575191410172</v>
          </cell>
          <cell r="G322">
            <v>0.00123638634942494</v>
          </cell>
        </row>
        <row r="323">
          <cell r="A323">
            <v>45078</v>
          </cell>
          <cell r="B323">
            <v>0</v>
          </cell>
          <cell r="C323">
            <v>322.238645911497</v>
          </cell>
          <cell r="D323">
            <v>0.00258046493807333</v>
          </cell>
          <cell r="E323">
            <v>0</v>
          </cell>
          <cell r="F323">
            <v>0.00258046493807333</v>
          </cell>
          <cell r="G323">
            <v>0.00123638634942494</v>
          </cell>
        </row>
        <row r="324">
          <cell r="A324">
            <v>45108</v>
          </cell>
          <cell r="B324">
            <v>0</v>
          </cell>
          <cell r="C324">
            <v>323.072767783622</v>
          </cell>
          <cell r="D324">
            <v>0.00258517769550905</v>
          </cell>
          <cell r="E324">
            <v>0</v>
          </cell>
          <cell r="F324">
            <v>0.00258517769550905</v>
          </cell>
          <cell r="G324">
            <v>0.00123638634942494</v>
          </cell>
        </row>
        <row r="325">
          <cell r="A325">
            <v>45139</v>
          </cell>
          <cell r="B325">
            <v>0</v>
          </cell>
          <cell r="C325">
            <v>323.910575220738</v>
          </cell>
          <cell r="D325">
            <v>0.00258989018643868</v>
          </cell>
          <cell r="E325">
            <v>0</v>
          </cell>
          <cell r="F325">
            <v>0.00258989018643868</v>
          </cell>
          <cell r="G325">
            <v>0.00123638634942494</v>
          </cell>
        </row>
        <row r="326">
          <cell r="A326">
            <v>45170</v>
          </cell>
          <cell r="B326">
            <v>0</v>
          </cell>
          <cell r="C326">
            <v>324.752085600465</v>
          </cell>
          <cell r="D326">
            <v>0.00259460241089268</v>
          </cell>
          <cell r="E326">
            <v>0</v>
          </cell>
          <cell r="F326">
            <v>0.00259460241089268</v>
          </cell>
          <cell r="G326">
            <v>0.00123638634942494</v>
          </cell>
        </row>
        <row r="327">
          <cell r="A327">
            <v>45200</v>
          </cell>
          <cell r="B327">
            <v>0</v>
          </cell>
          <cell r="C327">
            <v>325.597316397279</v>
          </cell>
          <cell r="D327">
            <v>0.00259931436890084</v>
          </cell>
          <cell r="E327">
            <v>0</v>
          </cell>
          <cell r="F327">
            <v>0.00259931436890084</v>
          </cell>
          <cell r="G327">
            <v>0.00123638634942494</v>
          </cell>
        </row>
        <row r="328">
          <cell r="A328">
            <v>45231</v>
          </cell>
          <cell r="B328">
            <v>0</v>
          </cell>
          <cell r="C328">
            <v>326.446285183091</v>
          </cell>
          <cell r="D328">
            <v>0.00260402606049363</v>
          </cell>
          <cell r="E328">
            <v>0</v>
          </cell>
          <cell r="F328">
            <v>0.00260402606049363</v>
          </cell>
          <cell r="G328">
            <v>0.00123638634942494</v>
          </cell>
        </row>
        <row r="329">
          <cell r="A329">
            <v>45261</v>
          </cell>
          <cell r="B329">
            <v>0</v>
          </cell>
          <cell r="C329">
            <v>327.299009627826</v>
          </cell>
          <cell r="D329">
            <v>0.00260873748570107</v>
          </cell>
          <cell r="E329">
            <v>0</v>
          </cell>
          <cell r="F329">
            <v>0.00260873748570107</v>
          </cell>
          <cell r="G329">
            <v>0.00123638634942494</v>
          </cell>
        </row>
        <row r="330">
          <cell r="A330">
            <v>45292</v>
          </cell>
          <cell r="B330">
            <v>0</v>
          </cell>
          <cell r="C330">
            <v>327.299009627826</v>
          </cell>
          <cell r="D330">
            <v>0</v>
          </cell>
          <cell r="E330">
            <v>0</v>
          </cell>
          <cell r="F330">
            <v>0</v>
          </cell>
          <cell r="G330">
            <v>0.00123638634942494</v>
          </cell>
        </row>
        <row r="331">
          <cell r="A331">
            <v>45323</v>
          </cell>
          <cell r="B331">
            <v>0</v>
          </cell>
          <cell r="C331">
            <v>328.156611728872</v>
          </cell>
          <cell r="D331">
            <v>0.00261681359496096</v>
          </cell>
          <cell r="E331">
            <v>0</v>
          </cell>
          <cell r="F331">
            <v>0.00261681359496096</v>
          </cell>
          <cell r="G331">
            <v>0.00123638634942494</v>
          </cell>
        </row>
        <row r="332">
          <cell r="A332">
            <v>45352</v>
          </cell>
          <cell r="B332">
            <v>0</v>
          </cell>
          <cell r="C332">
            <v>329.019117879748</v>
          </cell>
          <cell r="D332">
            <v>0.00262488892161428</v>
          </cell>
          <cell r="E332">
            <v>0</v>
          </cell>
          <cell r="F332">
            <v>0.00262488892161428</v>
          </cell>
          <cell r="G332">
            <v>0.00123638634942494</v>
          </cell>
        </row>
        <row r="333">
          <cell r="A333">
            <v>45383</v>
          </cell>
          <cell r="B333">
            <v>0</v>
          </cell>
          <cell r="C333">
            <v>329.883890987418</v>
          </cell>
          <cell r="D333">
            <v>0.00262488892161428</v>
          </cell>
          <cell r="E333">
            <v>0</v>
          </cell>
          <cell r="F333">
            <v>0.00262488892161428</v>
          </cell>
          <cell r="G333">
            <v>0.00123638634942494</v>
          </cell>
        </row>
        <row r="334">
          <cell r="A334">
            <v>45413</v>
          </cell>
          <cell r="B334">
            <v>0</v>
          </cell>
          <cell r="C334">
            <v>330.75360768405</v>
          </cell>
          <cell r="D334">
            <v>0.00263296346581255</v>
          </cell>
          <cell r="E334">
            <v>0</v>
          </cell>
          <cell r="F334">
            <v>0.00263296346581255</v>
          </cell>
          <cell r="G334">
            <v>0.00123638634942494</v>
          </cell>
        </row>
        <row r="335">
          <cell r="A335">
            <v>45444</v>
          </cell>
          <cell r="B335">
            <v>0</v>
          </cell>
          <cell r="C335">
            <v>331.628294807352</v>
          </cell>
          <cell r="D335">
            <v>0.00264103722770752</v>
          </cell>
          <cell r="E335">
            <v>0</v>
          </cell>
          <cell r="F335">
            <v>0.00264103722770752</v>
          </cell>
          <cell r="G335">
            <v>0.00123638634942494</v>
          </cell>
        </row>
        <row r="336">
          <cell r="A336">
            <v>45474</v>
          </cell>
          <cell r="B336">
            <v>0</v>
          </cell>
          <cell r="C336">
            <v>332.505295065102</v>
          </cell>
          <cell r="D336">
            <v>0.00264103722770752</v>
          </cell>
          <cell r="E336">
            <v>0</v>
          </cell>
          <cell r="F336">
            <v>0.00264103722770752</v>
          </cell>
          <cell r="G336">
            <v>0.00123638634942494</v>
          </cell>
        </row>
        <row r="337">
          <cell r="A337">
            <v>45505</v>
          </cell>
          <cell r="B337">
            <v>0</v>
          </cell>
          <cell r="C337">
            <v>333.387305992552</v>
          </cell>
          <cell r="D337">
            <v>0.0026491102074507</v>
          </cell>
          <cell r="E337">
            <v>0</v>
          </cell>
          <cell r="F337">
            <v>0.0026491102074507</v>
          </cell>
          <cell r="G337">
            <v>0.00123638634942494</v>
          </cell>
        </row>
        <row r="338">
          <cell r="A338">
            <v>45536</v>
          </cell>
          <cell r="B338">
            <v>0</v>
          </cell>
          <cell r="C338">
            <v>334.27165656177</v>
          </cell>
          <cell r="D338">
            <v>0.0026491102074507</v>
          </cell>
          <cell r="E338">
            <v>0</v>
          </cell>
          <cell r="F338">
            <v>0.0026491102074507</v>
          </cell>
          <cell r="G338">
            <v>0.00123638634942494</v>
          </cell>
        </row>
        <row r="339">
          <cell r="A339">
            <v>45566</v>
          </cell>
          <cell r="B339">
            <v>0</v>
          </cell>
          <cell r="C339">
            <v>335.15835297894</v>
          </cell>
          <cell r="D339">
            <v>0.0026491102074507</v>
          </cell>
          <cell r="E339">
            <v>0</v>
          </cell>
          <cell r="F339">
            <v>0.0026491102074507</v>
          </cell>
          <cell r="G339">
            <v>0.00123638634942494</v>
          </cell>
        </row>
        <row r="340">
          <cell r="A340">
            <v>45597</v>
          </cell>
          <cell r="B340">
            <v>0</v>
          </cell>
          <cell r="C340">
            <v>336.050114118736</v>
          </cell>
          <cell r="D340">
            <v>0.0026571824051934</v>
          </cell>
          <cell r="E340">
            <v>0</v>
          </cell>
          <cell r="F340">
            <v>0.0026571824051934</v>
          </cell>
          <cell r="G340">
            <v>0.00123638634942494</v>
          </cell>
        </row>
        <row r="341">
          <cell r="A341">
            <v>45627</v>
          </cell>
          <cell r="B341">
            <v>0</v>
          </cell>
          <cell r="C341">
            <v>336.944247981525</v>
          </cell>
          <cell r="D341">
            <v>0.0026571824051934</v>
          </cell>
          <cell r="E341">
            <v>0</v>
          </cell>
          <cell r="F341">
            <v>0.0026571824051934</v>
          </cell>
          <cell r="G341">
            <v>0.00123638634942494</v>
          </cell>
        </row>
        <row r="342">
          <cell r="A342">
            <v>45658</v>
          </cell>
          <cell r="B342">
            <v>0</v>
          </cell>
          <cell r="C342">
            <v>337.840760880448</v>
          </cell>
          <cell r="D342">
            <v>0.0026571824051934</v>
          </cell>
          <cell r="E342">
            <v>0</v>
          </cell>
          <cell r="F342">
            <v>0.0026571824051934</v>
          </cell>
          <cell r="G342">
            <v>0.00123638634942494</v>
          </cell>
        </row>
        <row r="343">
          <cell r="A343">
            <v>45689</v>
          </cell>
          <cell r="B343">
            <v>0</v>
          </cell>
          <cell r="C343">
            <v>338.739659145446</v>
          </cell>
          <cell r="D343">
            <v>0.0026571824051934</v>
          </cell>
          <cell r="E343">
            <v>0</v>
          </cell>
          <cell r="F343">
            <v>0.0026571824051934</v>
          </cell>
          <cell r="G343">
            <v>0.00123638634942494</v>
          </cell>
        </row>
        <row r="344">
          <cell r="A344">
            <v>45717</v>
          </cell>
          <cell r="B344">
            <v>0</v>
          </cell>
          <cell r="C344">
            <v>339.640949123299</v>
          </cell>
          <cell r="D344">
            <v>0.0026571824051934</v>
          </cell>
          <cell r="E344">
            <v>0</v>
          </cell>
          <cell r="F344">
            <v>0.0026571824051934</v>
          </cell>
          <cell r="G344">
            <v>0.00123638634942494</v>
          </cell>
        </row>
        <row r="345">
          <cell r="A345">
            <v>45748</v>
          </cell>
          <cell r="B345">
            <v>0</v>
          </cell>
          <cell r="C345">
            <v>340.544637177675</v>
          </cell>
          <cell r="D345">
            <v>0.0026571824051934</v>
          </cell>
          <cell r="E345">
            <v>0</v>
          </cell>
          <cell r="F345">
            <v>0.0026571824051934</v>
          </cell>
          <cell r="G345">
            <v>0.00123638634942494</v>
          </cell>
        </row>
        <row r="346">
          <cell r="A346">
            <v>45778</v>
          </cell>
          <cell r="B346">
            <v>0</v>
          </cell>
          <cell r="C346">
            <v>341.450729689175</v>
          </cell>
          <cell r="D346">
            <v>0.0026571824051934</v>
          </cell>
          <cell r="E346">
            <v>0</v>
          </cell>
          <cell r="F346">
            <v>0.0026571824051934</v>
          </cell>
          <cell r="G346">
            <v>0.00123638634942494</v>
          </cell>
        </row>
        <row r="347">
          <cell r="A347">
            <v>45809</v>
          </cell>
          <cell r="B347">
            <v>0</v>
          </cell>
          <cell r="C347">
            <v>342.359233055376</v>
          </cell>
          <cell r="D347">
            <v>0.0026571824051934</v>
          </cell>
          <cell r="E347">
            <v>0</v>
          </cell>
          <cell r="F347">
            <v>0.0026571824051934</v>
          </cell>
          <cell r="G347">
            <v>0.00123638634942494</v>
          </cell>
        </row>
        <row r="348">
          <cell r="A348">
            <v>45839</v>
          </cell>
          <cell r="B348">
            <v>0</v>
          </cell>
          <cell r="C348">
            <v>343.270153690877</v>
          </cell>
          <cell r="D348">
            <v>0.0026571824051934</v>
          </cell>
          <cell r="E348">
            <v>0</v>
          </cell>
          <cell r="F348">
            <v>0.0026571824051934</v>
          </cell>
          <cell r="G348">
            <v>0.00123638634942494</v>
          </cell>
        </row>
        <row r="349">
          <cell r="A349">
            <v>45870</v>
          </cell>
          <cell r="B349">
            <v>0</v>
          </cell>
          <cell r="C349">
            <v>344.183498027345</v>
          </cell>
          <cell r="D349">
            <v>0.0026571824051934</v>
          </cell>
          <cell r="E349">
            <v>0</v>
          </cell>
          <cell r="F349">
            <v>0.0026571824051934</v>
          </cell>
          <cell r="G349">
            <v>0.00123638634942494</v>
          </cell>
        </row>
        <row r="350">
          <cell r="A350">
            <v>45901</v>
          </cell>
          <cell r="B350">
            <v>0</v>
          </cell>
          <cell r="C350">
            <v>345.099272513559</v>
          </cell>
          <cell r="D350">
            <v>0.0026571824051934</v>
          </cell>
          <cell r="E350">
            <v>0</v>
          </cell>
          <cell r="F350">
            <v>0.0026571824051934</v>
          </cell>
          <cell r="G350">
            <v>0.00123638634942494</v>
          </cell>
        </row>
        <row r="351">
          <cell r="A351">
            <v>45931</v>
          </cell>
          <cell r="B351">
            <v>0</v>
          </cell>
          <cell r="C351">
            <v>346.017483615458</v>
          </cell>
          <cell r="D351">
            <v>0.0026571824051934</v>
          </cell>
          <cell r="E351">
            <v>0</v>
          </cell>
          <cell r="F351">
            <v>0.0026571824051934</v>
          </cell>
          <cell r="G351">
            <v>0.00123638634942494</v>
          </cell>
        </row>
        <row r="352">
          <cell r="A352">
            <v>45962</v>
          </cell>
          <cell r="B352">
            <v>0</v>
          </cell>
          <cell r="C352">
            <v>346.938137816183</v>
          </cell>
          <cell r="D352">
            <v>0.0026571824051934</v>
          </cell>
          <cell r="E352">
            <v>0</v>
          </cell>
          <cell r="F352">
            <v>0.0026571824051934</v>
          </cell>
          <cell r="G352">
            <v>0.00123638634942494</v>
          </cell>
        </row>
        <row r="353">
          <cell r="A353">
            <v>45992</v>
          </cell>
          <cell r="B353">
            <v>0</v>
          </cell>
          <cell r="C353">
            <v>347.861241616126</v>
          </cell>
          <cell r="D353">
            <v>0.0026571824051934</v>
          </cell>
          <cell r="E353">
            <v>0</v>
          </cell>
          <cell r="F353">
            <v>0.0026571824051934</v>
          </cell>
          <cell r="G353">
            <v>0.00123638634942494</v>
          </cell>
        </row>
        <row r="354">
          <cell r="A354">
            <v>46023</v>
          </cell>
          <cell r="B354">
            <v>0</v>
          </cell>
          <cell r="C354">
            <v>348.786801532975</v>
          </cell>
          <cell r="D354">
            <v>0.0026571824051934</v>
          </cell>
          <cell r="E354">
            <v>0</v>
          </cell>
          <cell r="F354">
            <v>0.0026571824051934</v>
          </cell>
          <cell r="G354">
            <v>0.00123638634942494</v>
          </cell>
        </row>
        <row r="355">
          <cell r="A355">
            <v>46054</v>
          </cell>
          <cell r="B355">
            <v>0</v>
          </cell>
          <cell r="C355">
            <v>349.714824101758</v>
          </cell>
          <cell r="D355">
            <v>0.0026571824051934</v>
          </cell>
          <cell r="E355">
            <v>0</v>
          </cell>
          <cell r="F355">
            <v>0.0026571824051934</v>
          </cell>
          <cell r="G355">
            <v>0.00123638634942494</v>
          </cell>
        </row>
        <row r="356">
          <cell r="A356">
            <v>46082</v>
          </cell>
          <cell r="B356">
            <v>0</v>
          </cell>
          <cell r="C356">
            <v>350.645315874893</v>
          </cell>
          <cell r="D356">
            <v>0.0026571824051934</v>
          </cell>
          <cell r="E356">
            <v>0</v>
          </cell>
          <cell r="F356">
            <v>0.0026571824051934</v>
          </cell>
          <cell r="G356">
            <v>0.00123638634942494</v>
          </cell>
        </row>
        <row r="357">
          <cell r="A357">
            <v>46113</v>
          </cell>
          <cell r="B357">
            <v>0</v>
          </cell>
          <cell r="C357">
            <v>351.578283422231</v>
          </cell>
          <cell r="D357">
            <v>0.0026571824051934</v>
          </cell>
          <cell r="E357">
            <v>0</v>
          </cell>
          <cell r="F357">
            <v>0.0026571824051934</v>
          </cell>
          <cell r="G357">
            <v>0.00123638634942494</v>
          </cell>
        </row>
        <row r="358">
          <cell r="A358">
            <v>46143</v>
          </cell>
          <cell r="B358">
            <v>0</v>
          </cell>
          <cell r="C358">
            <v>352.513733331104</v>
          </cell>
          <cell r="D358">
            <v>0.0026571824051934</v>
          </cell>
          <cell r="E358">
            <v>0</v>
          </cell>
          <cell r="F358">
            <v>0.0026571824051934</v>
          </cell>
          <cell r="G358">
            <v>0.00123638634942494</v>
          </cell>
        </row>
        <row r="359">
          <cell r="A359">
            <v>46174</v>
          </cell>
          <cell r="B359">
            <v>0</v>
          </cell>
          <cell r="C359">
            <v>353.45167220637</v>
          </cell>
          <cell r="D359">
            <v>0.0026571824051934</v>
          </cell>
          <cell r="E359">
            <v>0</v>
          </cell>
          <cell r="F359">
            <v>0.0026571824051934</v>
          </cell>
          <cell r="G359">
            <v>0.00123638634942494</v>
          </cell>
        </row>
        <row r="360">
          <cell r="A360">
            <v>46204</v>
          </cell>
          <cell r="B360">
            <v>0</v>
          </cell>
          <cell r="C360">
            <v>354.392106670461</v>
          </cell>
          <cell r="D360">
            <v>0.0026571824051934</v>
          </cell>
          <cell r="E360">
            <v>0</v>
          </cell>
          <cell r="F360">
            <v>0.0026571824051934</v>
          </cell>
          <cell r="G360">
            <v>0.00123638634942494</v>
          </cell>
        </row>
        <row r="361">
          <cell r="A361">
            <v>46235</v>
          </cell>
          <cell r="B361">
            <v>0</v>
          </cell>
          <cell r="C361">
            <v>355.33504336343</v>
          </cell>
          <cell r="D361">
            <v>0.0026571824051934</v>
          </cell>
          <cell r="E361">
            <v>0</v>
          </cell>
          <cell r="F361">
            <v>0.0026571824051934</v>
          </cell>
          <cell r="G361">
            <v>0.00123638634942494</v>
          </cell>
        </row>
        <row r="362">
          <cell r="A362">
            <v>46266</v>
          </cell>
          <cell r="B362">
            <v>0</v>
          </cell>
          <cell r="C362">
            <v>356.280488942998</v>
          </cell>
          <cell r="D362">
            <v>0.0026571824051934</v>
          </cell>
          <cell r="E362">
            <v>0</v>
          </cell>
          <cell r="F362">
            <v>0.0026571824051934</v>
          </cell>
          <cell r="G362">
            <v>0.00123638634942494</v>
          </cell>
        </row>
        <row r="363">
          <cell r="A363">
            <v>46296</v>
          </cell>
          <cell r="B363">
            <v>0</v>
          </cell>
          <cell r="C363">
            <v>357.228450084598</v>
          </cell>
          <cell r="D363">
            <v>0.0026571824051934</v>
          </cell>
          <cell r="E363">
            <v>0</v>
          </cell>
          <cell r="F363">
            <v>0.0026571824051934</v>
          </cell>
          <cell r="G363">
            <v>0.00123638634942494</v>
          </cell>
        </row>
        <row r="364">
          <cell r="A364">
            <v>46327</v>
          </cell>
          <cell r="B364">
            <v>0</v>
          </cell>
          <cell r="C364">
            <v>358.178933481427</v>
          </cell>
          <cell r="D364">
            <v>0.0026571824051934</v>
          </cell>
          <cell r="E364">
            <v>0</v>
          </cell>
          <cell r="F364">
            <v>0.0026571824051934</v>
          </cell>
          <cell r="G364">
            <v>0.00123638634942494</v>
          </cell>
        </row>
        <row r="365">
          <cell r="A365">
            <v>46357</v>
          </cell>
          <cell r="B365">
            <v>0</v>
          </cell>
          <cell r="C365">
            <v>359.131945844488</v>
          </cell>
          <cell r="D365">
            <v>0.0026571824051934</v>
          </cell>
          <cell r="E365">
            <v>0</v>
          </cell>
          <cell r="F365">
            <v>0.0026571824051934</v>
          </cell>
          <cell r="G365">
            <v>0.00123638634942494</v>
          </cell>
        </row>
        <row r="366">
          <cell r="A366">
            <v>46388</v>
          </cell>
          <cell r="B366">
            <v>0</v>
          </cell>
          <cell r="C366">
            <v>360.087493902643</v>
          </cell>
          <cell r="D366">
            <v>0.0026571824051934</v>
          </cell>
          <cell r="E366">
            <v>0</v>
          </cell>
          <cell r="F366">
            <v>0.0026571824051934</v>
          </cell>
          <cell r="G366">
            <v>0.00123638634942494</v>
          </cell>
        </row>
        <row r="367">
          <cell r="A367">
            <v>46419</v>
          </cell>
          <cell r="B367">
            <v>0</v>
          </cell>
          <cell r="C367">
            <v>361.045584402655</v>
          </cell>
          <cell r="D367">
            <v>0.0026571824051934</v>
          </cell>
          <cell r="E367">
            <v>0</v>
          </cell>
          <cell r="F367">
            <v>0.0026571824051934</v>
          </cell>
          <cell r="G367">
            <v>0.00123638634942494</v>
          </cell>
        </row>
        <row r="368">
          <cell r="A368">
            <v>46447</v>
          </cell>
          <cell r="B368">
            <v>0</v>
          </cell>
          <cell r="C368">
            <v>362.006224109239</v>
          </cell>
          <cell r="D368">
            <v>0.0026571824051934</v>
          </cell>
          <cell r="E368">
            <v>0</v>
          </cell>
          <cell r="F368">
            <v>0.0026571824051934</v>
          </cell>
          <cell r="G368">
            <v>0.00123638634942494</v>
          </cell>
        </row>
        <row r="369">
          <cell r="A369">
            <v>46478</v>
          </cell>
          <cell r="B369">
            <v>0</v>
          </cell>
          <cell r="C369">
            <v>362.969419805111</v>
          </cell>
          <cell r="D369">
            <v>0.0026571824051934</v>
          </cell>
          <cell r="E369">
            <v>0</v>
          </cell>
          <cell r="F369">
            <v>0.0026571824051934</v>
          </cell>
          <cell r="G369">
            <v>0.00123638634942494</v>
          </cell>
        </row>
        <row r="370">
          <cell r="A370">
            <v>46508</v>
          </cell>
          <cell r="B370">
            <v>0</v>
          </cell>
          <cell r="C370">
            <v>363.935178291031</v>
          </cell>
          <cell r="D370">
            <v>0.0026571824051934</v>
          </cell>
          <cell r="E370">
            <v>0</v>
          </cell>
          <cell r="F370">
            <v>0.0026571824051934</v>
          </cell>
          <cell r="G370">
            <v>0.00123638634942494</v>
          </cell>
        </row>
        <row r="371">
          <cell r="A371">
            <v>46539</v>
          </cell>
          <cell r="B371">
            <v>0</v>
          </cell>
          <cell r="C371">
            <v>364.903506385855</v>
          </cell>
          <cell r="D371">
            <v>0.0026571824051934</v>
          </cell>
          <cell r="E371">
            <v>0</v>
          </cell>
          <cell r="F371">
            <v>0.0026571824051934</v>
          </cell>
          <cell r="G371">
            <v>0.00123638634942494</v>
          </cell>
        </row>
        <row r="372">
          <cell r="A372">
            <v>46569</v>
          </cell>
          <cell r="B372">
            <v>0</v>
          </cell>
          <cell r="C372">
            <v>365.874410926583</v>
          </cell>
          <cell r="D372">
            <v>0.0026571824051934</v>
          </cell>
          <cell r="E372">
            <v>0</v>
          </cell>
          <cell r="F372">
            <v>0.0026571824051934</v>
          </cell>
          <cell r="G372">
            <v>0.00123638634942494</v>
          </cell>
        </row>
        <row r="373">
          <cell r="A373">
            <v>46600</v>
          </cell>
          <cell r="B373">
            <v>0</v>
          </cell>
          <cell r="C373">
            <v>366.847898768405</v>
          </cell>
          <cell r="D373">
            <v>0.0026571824051934</v>
          </cell>
          <cell r="E373">
            <v>0</v>
          </cell>
          <cell r="F373">
            <v>0.0026571824051934</v>
          </cell>
          <cell r="G373">
            <v>0.00123638634942494</v>
          </cell>
        </row>
        <row r="374">
          <cell r="A374">
            <v>46631</v>
          </cell>
          <cell r="B374">
            <v>0</v>
          </cell>
          <cell r="C374">
            <v>367.823976784751</v>
          </cell>
          <cell r="D374">
            <v>0.0026571824051934</v>
          </cell>
          <cell r="E374">
            <v>0</v>
          </cell>
          <cell r="F374">
            <v>0.0026571824051934</v>
          </cell>
          <cell r="G374">
            <v>0.00123638634942494</v>
          </cell>
        </row>
        <row r="375">
          <cell r="A375">
            <v>46661</v>
          </cell>
          <cell r="B375">
            <v>0</v>
          </cell>
          <cell r="C375">
            <v>368.802651867339</v>
          </cell>
          <cell r="D375">
            <v>0.0026571824051934</v>
          </cell>
          <cell r="E375">
            <v>0</v>
          </cell>
          <cell r="F375">
            <v>0.0026571824051934</v>
          </cell>
          <cell r="G375">
            <v>0.00123638634942494</v>
          </cell>
        </row>
        <row r="376">
          <cell r="A376">
            <v>46692</v>
          </cell>
          <cell r="B376">
            <v>0</v>
          </cell>
          <cell r="C376">
            <v>369.783930926225</v>
          </cell>
          <cell r="D376">
            <v>0.0026571824051934</v>
          </cell>
          <cell r="E376">
            <v>0</v>
          </cell>
          <cell r="F376">
            <v>0.0026571824051934</v>
          </cell>
          <cell r="G376">
            <v>0.00123638634942494</v>
          </cell>
        </row>
        <row r="377">
          <cell r="A377">
            <v>46722</v>
          </cell>
          <cell r="B377">
            <v>0</v>
          </cell>
          <cell r="C377">
            <v>370.767820889849</v>
          </cell>
          <cell r="D377">
            <v>0.0026571824051934</v>
          </cell>
          <cell r="E377">
            <v>0</v>
          </cell>
          <cell r="F377">
            <v>0.0026571824051934</v>
          </cell>
          <cell r="G377">
            <v>0.00123638634942494</v>
          </cell>
        </row>
        <row r="378">
          <cell r="A378">
            <v>46753</v>
          </cell>
          <cell r="B378">
            <v>0</v>
          </cell>
          <cell r="C378">
            <v>371.754328705088</v>
          </cell>
          <cell r="D378">
            <v>0.0026571824051934</v>
          </cell>
          <cell r="E378">
            <v>0</v>
          </cell>
          <cell r="F378">
            <v>0.0026571824051934</v>
          </cell>
          <cell r="G378">
            <v>0.00123638634942494</v>
          </cell>
        </row>
        <row r="379">
          <cell r="A379">
            <v>46784</v>
          </cell>
          <cell r="B379">
            <v>0</v>
          </cell>
          <cell r="C379">
            <v>372.7434613373</v>
          </cell>
          <cell r="D379">
            <v>0.0026571824051934</v>
          </cell>
          <cell r="E379">
            <v>0</v>
          </cell>
          <cell r="F379">
            <v>0.0026571824051934</v>
          </cell>
          <cell r="G379">
            <v>0.00123638634942494</v>
          </cell>
        </row>
        <row r="380">
          <cell r="A380">
            <v>46813</v>
          </cell>
          <cell r="B380">
            <v>0</v>
          </cell>
          <cell r="C380">
            <v>373.735225770378</v>
          </cell>
          <cell r="D380">
            <v>0.0026571824051934</v>
          </cell>
          <cell r="E380">
            <v>0</v>
          </cell>
          <cell r="F380">
            <v>0.0026571824051934</v>
          </cell>
          <cell r="G380">
            <v>0.00123638634942494</v>
          </cell>
        </row>
        <row r="381">
          <cell r="A381">
            <v>46844</v>
          </cell>
          <cell r="B381">
            <v>0</v>
          </cell>
          <cell r="C381">
            <v>374.729629006796</v>
          </cell>
          <cell r="D381">
            <v>0.0026571824051934</v>
          </cell>
          <cell r="E381">
            <v>0</v>
          </cell>
          <cell r="F381">
            <v>0.0026571824051934</v>
          </cell>
          <cell r="G381">
            <v>0.00123638634942494</v>
          </cell>
        </row>
        <row r="382">
          <cell r="A382">
            <v>46874</v>
          </cell>
          <cell r="B382">
            <v>0</v>
          </cell>
          <cell r="C382">
            <v>375.72667806766</v>
          </cell>
          <cell r="D382">
            <v>0.0026571824051934</v>
          </cell>
          <cell r="E382">
            <v>0</v>
          </cell>
          <cell r="F382">
            <v>0.0026571824051934</v>
          </cell>
          <cell r="G382">
            <v>0.00123638634942494</v>
          </cell>
        </row>
        <row r="383">
          <cell r="A383">
            <v>46905</v>
          </cell>
          <cell r="B383">
            <v>0</v>
          </cell>
          <cell r="C383">
            <v>376.726379992757</v>
          </cell>
          <cell r="D383">
            <v>0.0026571824051934</v>
          </cell>
          <cell r="E383">
            <v>0</v>
          </cell>
          <cell r="F383">
            <v>0.0026571824051934</v>
          </cell>
          <cell r="G383">
            <v>0.00123638634942494</v>
          </cell>
        </row>
        <row r="384">
          <cell r="A384">
            <v>46935</v>
          </cell>
          <cell r="B384">
            <v>0</v>
          </cell>
          <cell r="C384">
            <v>377.728741840604</v>
          </cell>
          <cell r="D384">
            <v>0.0026571824051934</v>
          </cell>
          <cell r="E384">
            <v>0</v>
          </cell>
          <cell r="F384">
            <v>0.0026571824051934</v>
          </cell>
          <cell r="G384">
            <v>0.00123638634942494</v>
          </cell>
        </row>
        <row r="385">
          <cell r="A385">
            <v>46966</v>
          </cell>
          <cell r="B385">
            <v>0</v>
          </cell>
          <cell r="C385">
            <v>378.733770688501</v>
          </cell>
          <cell r="D385">
            <v>0.0026571824051934</v>
          </cell>
          <cell r="E385">
            <v>0</v>
          </cell>
          <cell r="F385">
            <v>0.0026571824051934</v>
          </cell>
          <cell r="G385">
            <v>0.00123638634942494</v>
          </cell>
        </row>
        <row r="386">
          <cell r="A386">
            <v>46997</v>
          </cell>
          <cell r="B386">
            <v>0</v>
          </cell>
          <cell r="C386">
            <v>379.741473632576</v>
          </cell>
          <cell r="D386">
            <v>0.0026571824051934</v>
          </cell>
          <cell r="E386">
            <v>0</v>
          </cell>
          <cell r="F386">
            <v>0.0026571824051934</v>
          </cell>
          <cell r="G386">
            <v>0.00123638634942494</v>
          </cell>
        </row>
        <row r="387">
          <cell r="A387">
            <v>47027</v>
          </cell>
          <cell r="B387">
            <v>0</v>
          </cell>
          <cell r="C387">
            <v>380.75185778784</v>
          </cell>
          <cell r="D387">
            <v>0.0026571824051934</v>
          </cell>
          <cell r="E387">
            <v>0</v>
          </cell>
          <cell r="F387">
            <v>0.0026571824051934</v>
          </cell>
          <cell r="G387">
            <v>0.00123638634942494</v>
          </cell>
        </row>
        <row r="388">
          <cell r="A388">
            <v>47058</v>
          </cell>
          <cell r="B388">
            <v>0</v>
          </cell>
          <cell r="C388">
            <v>381.764930288234</v>
          </cell>
          <cell r="D388">
            <v>0.0026571824051934</v>
          </cell>
          <cell r="E388">
            <v>0</v>
          </cell>
          <cell r="F388">
            <v>0.0026571824051934</v>
          </cell>
          <cell r="G388">
            <v>0.00123638634942494</v>
          </cell>
        </row>
        <row r="389">
          <cell r="A389">
            <v>47088</v>
          </cell>
          <cell r="B389">
            <v>0</v>
          </cell>
          <cell r="C389">
            <v>382.78069828668</v>
          </cell>
          <cell r="D389">
            <v>0.0026571824051934</v>
          </cell>
          <cell r="E389">
            <v>0</v>
          </cell>
          <cell r="F389">
            <v>0.0026571824051934</v>
          </cell>
          <cell r="G389">
            <v>0.00123638634942494</v>
          </cell>
        </row>
        <row r="390">
          <cell r="A390">
            <v>47119</v>
          </cell>
          <cell r="B390">
            <v>0</v>
          </cell>
          <cell r="C390">
            <v>383.799168955132</v>
          </cell>
          <cell r="D390">
            <v>0.0026571824051934</v>
          </cell>
          <cell r="E390">
            <v>0</v>
          </cell>
          <cell r="F390">
            <v>0.0026571824051934</v>
          </cell>
          <cell r="G390">
            <v>0.00123638634942494</v>
          </cell>
        </row>
        <row r="391">
          <cell r="A391">
            <v>47150</v>
          </cell>
          <cell r="B391">
            <v>0</v>
          </cell>
          <cell r="C391">
            <v>384.820349484628</v>
          </cell>
          <cell r="D391">
            <v>0.0026571824051934</v>
          </cell>
          <cell r="E391">
            <v>0</v>
          </cell>
          <cell r="F391">
            <v>0.0026571824051934</v>
          </cell>
          <cell r="G391">
            <v>0.00123638634942494</v>
          </cell>
        </row>
        <row r="392">
          <cell r="A392">
            <v>47178</v>
          </cell>
          <cell r="B392">
            <v>0</v>
          </cell>
          <cell r="C392">
            <v>385.844247085338</v>
          </cell>
          <cell r="D392">
            <v>0.0026571824051934</v>
          </cell>
          <cell r="E392">
            <v>0</v>
          </cell>
          <cell r="F392">
            <v>0.0026571824051934</v>
          </cell>
          <cell r="G392">
            <v>0.00123638634942494</v>
          </cell>
        </row>
        <row r="393">
          <cell r="A393">
            <v>47209</v>
          </cell>
          <cell r="B393">
            <v>0</v>
          </cell>
          <cell r="C393">
            <v>386.870868986616</v>
          </cell>
          <cell r="D393">
            <v>0.0026571824051934</v>
          </cell>
          <cell r="E393">
            <v>0</v>
          </cell>
          <cell r="F393">
            <v>0.0026571824051934</v>
          </cell>
          <cell r="G393">
            <v>0.00123638634942494</v>
          </cell>
        </row>
        <row r="394">
          <cell r="A394">
            <v>47239</v>
          </cell>
          <cell r="B394">
            <v>0</v>
          </cell>
          <cell r="C394">
            <v>387.900222437052</v>
          </cell>
          <cell r="D394">
            <v>0.0026571824051934</v>
          </cell>
          <cell r="E394">
            <v>0</v>
          </cell>
          <cell r="F394">
            <v>0.0026571824051934</v>
          </cell>
          <cell r="G394">
            <v>0.00123638634942494</v>
          </cell>
        </row>
        <row r="395">
          <cell r="A395">
            <v>47270</v>
          </cell>
          <cell r="B395">
            <v>0</v>
          </cell>
          <cell r="C395">
            <v>388.932314704522</v>
          </cell>
          <cell r="D395">
            <v>0.0026571824051934</v>
          </cell>
          <cell r="E395">
            <v>0</v>
          </cell>
          <cell r="F395">
            <v>0.0026571824051934</v>
          </cell>
          <cell r="G395">
            <v>0.00123638634942494</v>
          </cell>
        </row>
        <row r="396">
          <cell r="A396">
            <v>47300</v>
          </cell>
          <cell r="B396">
            <v>0</v>
          </cell>
          <cell r="C396">
            <v>389.967153076239</v>
          </cell>
          <cell r="D396">
            <v>0.0026571824051934</v>
          </cell>
          <cell r="E396">
            <v>0</v>
          </cell>
          <cell r="F396">
            <v>0.0026571824051934</v>
          </cell>
          <cell r="G396">
            <v>0.00123638634942494</v>
          </cell>
        </row>
        <row r="397">
          <cell r="A397">
            <v>47331</v>
          </cell>
          <cell r="B397">
            <v>0</v>
          </cell>
          <cell r="C397">
            <v>391.004744858808</v>
          </cell>
          <cell r="D397">
            <v>0.0026571824051934</v>
          </cell>
          <cell r="E397">
            <v>0</v>
          </cell>
          <cell r="F397">
            <v>0.0026571824051934</v>
          </cell>
          <cell r="G397">
            <v>0.00123638634942494</v>
          </cell>
        </row>
        <row r="398">
          <cell r="A398">
            <v>47362</v>
          </cell>
          <cell r="B398">
            <v>0</v>
          </cell>
          <cell r="C398">
            <v>392.045097378271</v>
          </cell>
          <cell r="D398">
            <v>0.0026571824051934</v>
          </cell>
          <cell r="E398">
            <v>0</v>
          </cell>
          <cell r="F398">
            <v>0.0026571824051934</v>
          </cell>
          <cell r="G398">
            <v>0.00123638634942494</v>
          </cell>
        </row>
        <row r="399">
          <cell r="A399">
            <v>47392</v>
          </cell>
          <cell r="B399">
            <v>0</v>
          </cell>
          <cell r="C399">
            <v>393.088217980166</v>
          </cell>
          <cell r="D399">
            <v>0.0026571824051934</v>
          </cell>
          <cell r="E399">
            <v>0</v>
          </cell>
          <cell r="F399">
            <v>0.0026571824051934</v>
          </cell>
          <cell r="G399">
            <v>0.00123638634942494</v>
          </cell>
        </row>
        <row r="400">
          <cell r="A400">
            <v>47423</v>
          </cell>
          <cell r="B400">
            <v>0</v>
          </cell>
          <cell r="C400">
            <v>394.134114029572</v>
          </cell>
          <cell r="D400">
            <v>0.0026571824051934</v>
          </cell>
          <cell r="E400">
            <v>0</v>
          </cell>
          <cell r="F400">
            <v>0.0026571824051934</v>
          </cell>
          <cell r="G400">
            <v>0.00123638634942494</v>
          </cell>
        </row>
        <row r="401">
          <cell r="A401">
            <v>47453</v>
          </cell>
          <cell r="B401">
            <v>0</v>
          </cell>
          <cell r="C401">
            <v>395.182792911168</v>
          </cell>
          <cell r="D401">
            <v>0.0026571824051934</v>
          </cell>
          <cell r="E401">
            <v>0</v>
          </cell>
          <cell r="F401">
            <v>0.0026571824051934</v>
          </cell>
          <cell r="G401">
            <v>0.00123638634942494</v>
          </cell>
        </row>
        <row r="402">
          <cell r="A402">
            <v>47484</v>
          </cell>
          <cell r="B402">
            <v>0</v>
          </cell>
          <cell r="C402">
            <v>396.234262029278</v>
          </cell>
          <cell r="D402">
            <v>0.0026571824051934</v>
          </cell>
          <cell r="E402">
            <v>0</v>
          </cell>
          <cell r="F402">
            <v>0.0026571824051934</v>
          </cell>
          <cell r="G402">
            <v>0.00123638634942494</v>
          </cell>
        </row>
        <row r="403">
          <cell r="A403">
            <v>47515</v>
          </cell>
          <cell r="B403">
            <v>0</v>
          </cell>
          <cell r="C403">
            <v>397.28852880793</v>
          </cell>
          <cell r="D403">
            <v>0.0026571824051934</v>
          </cell>
          <cell r="E403">
            <v>0</v>
          </cell>
          <cell r="F403">
            <v>0.0026571824051934</v>
          </cell>
          <cell r="G403">
            <v>0.00123638634942494</v>
          </cell>
        </row>
        <row r="404">
          <cell r="A404">
            <v>47543</v>
          </cell>
          <cell r="B404">
            <v>0</v>
          </cell>
          <cell r="C404">
            <v>398.345600690903</v>
          </cell>
          <cell r="D404">
            <v>0.0026571824051934</v>
          </cell>
          <cell r="E404">
            <v>0</v>
          </cell>
          <cell r="F404">
            <v>0.0026571824051934</v>
          </cell>
          <cell r="G404">
            <v>0.00123638634942494</v>
          </cell>
        </row>
        <row r="405">
          <cell r="A405">
            <v>47574</v>
          </cell>
          <cell r="B405">
            <v>0</v>
          </cell>
          <cell r="C405">
            <v>399.405485141782</v>
          </cell>
          <cell r="D405">
            <v>0.0026571824051934</v>
          </cell>
          <cell r="E405">
            <v>0</v>
          </cell>
          <cell r="F405">
            <v>0.0026571824051934</v>
          </cell>
          <cell r="G405">
            <v>0.00123638634942494</v>
          </cell>
        </row>
        <row r="406">
          <cell r="A406">
            <v>47604</v>
          </cell>
          <cell r="B406">
            <v>0</v>
          </cell>
          <cell r="C406">
            <v>400.468189644012</v>
          </cell>
          <cell r="D406">
            <v>0.0026571824051934</v>
          </cell>
          <cell r="E406">
            <v>0</v>
          </cell>
          <cell r="F406">
            <v>0.0026571824051934</v>
          </cell>
          <cell r="G406">
            <v>0.00123638634942494</v>
          </cell>
        </row>
        <row r="407">
          <cell r="A407">
            <v>47635</v>
          </cell>
          <cell r="B407">
            <v>0</v>
          </cell>
          <cell r="C407">
            <v>401.533721700948</v>
          </cell>
          <cell r="D407">
            <v>0.0026571824051934</v>
          </cell>
          <cell r="E407">
            <v>0</v>
          </cell>
          <cell r="F407">
            <v>0.0026571824051934</v>
          </cell>
          <cell r="G407">
            <v>0.00123638634942494</v>
          </cell>
        </row>
        <row r="408">
          <cell r="A408">
            <v>47665</v>
          </cell>
          <cell r="B408">
            <v>0</v>
          </cell>
          <cell r="C408">
            <v>402.602088835909</v>
          </cell>
          <cell r="D408">
            <v>0.0026571824051934</v>
          </cell>
          <cell r="E408">
            <v>0</v>
          </cell>
          <cell r="F408">
            <v>0.0026571824051934</v>
          </cell>
          <cell r="G408">
            <v>0.00123638634942494</v>
          </cell>
        </row>
        <row r="409">
          <cell r="A409">
            <v>47696</v>
          </cell>
          <cell r="B409">
            <v>0</v>
          </cell>
          <cell r="C409">
            <v>403.673298592233</v>
          </cell>
          <cell r="D409">
            <v>0.0026571824051934</v>
          </cell>
          <cell r="E409">
            <v>0</v>
          </cell>
          <cell r="F409">
            <v>0.0026571824051934</v>
          </cell>
          <cell r="G409">
            <v>0.00123638634942494</v>
          </cell>
        </row>
        <row r="410">
          <cell r="A410">
            <v>47727</v>
          </cell>
          <cell r="B410">
            <v>0</v>
          </cell>
          <cell r="C410">
            <v>404.747358533327</v>
          </cell>
          <cell r="D410">
            <v>0.0026571824051934</v>
          </cell>
          <cell r="E410">
            <v>0</v>
          </cell>
          <cell r="F410">
            <v>0.0026571824051934</v>
          </cell>
          <cell r="G410">
            <v>0.00123638634942494</v>
          </cell>
        </row>
        <row r="411">
          <cell r="A411">
            <v>47757</v>
          </cell>
          <cell r="B411">
            <v>0</v>
          </cell>
          <cell r="C411">
            <v>405.824276242723</v>
          </cell>
          <cell r="D411">
            <v>0.0026571824051934</v>
          </cell>
          <cell r="E411">
            <v>0</v>
          </cell>
          <cell r="F411">
            <v>0.0026571824051934</v>
          </cell>
          <cell r="G411">
            <v>0.00123638634942494</v>
          </cell>
        </row>
        <row r="412">
          <cell r="A412">
            <v>47788</v>
          </cell>
          <cell r="B412">
            <v>0</v>
          </cell>
          <cell r="C412">
            <v>406.90405932413</v>
          </cell>
          <cell r="D412">
            <v>0.0026571824051934</v>
          </cell>
          <cell r="E412">
            <v>0</v>
          </cell>
          <cell r="F412">
            <v>0.0026571824051934</v>
          </cell>
          <cell r="G412">
            <v>0.00123638634942494</v>
          </cell>
        </row>
        <row r="413">
          <cell r="A413">
            <v>47818</v>
          </cell>
          <cell r="B413">
            <v>0</v>
          </cell>
          <cell r="C413">
            <v>407.986715401489</v>
          </cell>
          <cell r="D413">
            <v>0.0026571824051934</v>
          </cell>
          <cell r="E413">
            <v>0</v>
          </cell>
          <cell r="F413">
            <v>0.0026571824051934</v>
          </cell>
          <cell r="G413">
            <v>0.00123638634942494</v>
          </cell>
        </row>
        <row r="414">
          <cell r="A414">
            <v>47849</v>
          </cell>
          <cell r="B414">
            <v>0</v>
          </cell>
          <cell r="C414">
            <v>409.072252119026</v>
          </cell>
          <cell r="D414">
            <v>0.0026571824051934</v>
          </cell>
          <cell r="E414">
            <v>0</v>
          </cell>
          <cell r="F414">
            <v>0.0026571824051934</v>
          </cell>
          <cell r="G414">
            <v>0.00123638634942494</v>
          </cell>
        </row>
        <row r="415">
          <cell r="A415">
            <v>47880</v>
          </cell>
          <cell r="B415">
            <v>0</v>
          </cell>
          <cell r="C415">
            <v>410.160677141307</v>
          </cell>
          <cell r="D415">
            <v>0.0026571824051934</v>
          </cell>
          <cell r="E415">
            <v>0</v>
          </cell>
          <cell r="F415">
            <v>0.0026571824051934</v>
          </cell>
          <cell r="G415">
            <v>0.00123638634942494</v>
          </cell>
        </row>
        <row r="416">
          <cell r="A416">
            <v>47908</v>
          </cell>
          <cell r="B416">
            <v>0</v>
          </cell>
          <cell r="C416">
            <v>411.251998153288</v>
          </cell>
          <cell r="D416">
            <v>0.0026571824051934</v>
          </cell>
          <cell r="E416">
            <v>0</v>
          </cell>
          <cell r="F416">
            <v>0.0026571824051934</v>
          </cell>
          <cell r="G416">
            <v>0.00123638634942494</v>
          </cell>
        </row>
        <row r="417">
          <cell r="A417">
            <v>47939</v>
          </cell>
          <cell r="B417">
            <v>0</v>
          </cell>
          <cell r="C417">
            <v>412.346222860375</v>
          </cell>
          <cell r="D417">
            <v>0.0026571824051934</v>
          </cell>
          <cell r="E417">
            <v>0</v>
          </cell>
          <cell r="F417">
            <v>0.0026571824051934</v>
          </cell>
          <cell r="G417">
            <v>0.00123638634942494</v>
          </cell>
        </row>
        <row r="418">
          <cell r="A418">
            <v>47969</v>
          </cell>
          <cell r="B418">
            <v>0</v>
          </cell>
          <cell r="C418">
            <v>413.443358988478</v>
          </cell>
          <cell r="D418">
            <v>0.0026571824051934</v>
          </cell>
          <cell r="E418">
            <v>0</v>
          </cell>
          <cell r="F418">
            <v>0.0026571824051934</v>
          </cell>
          <cell r="G418">
            <v>0.00123638634942494</v>
          </cell>
        </row>
        <row r="419">
          <cell r="A419">
            <v>48000</v>
          </cell>
          <cell r="B419">
            <v>0</v>
          </cell>
          <cell r="C419">
            <v>414.543414284058</v>
          </cell>
          <cell r="D419">
            <v>0.0026571824051934</v>
          </cell>
          <cell r="E419">
            <v>0</v>
          </cell>
          <cell r="F419">
            <v>0.0026571824051934</v>
          </cell>
          <cell r="G419">
            <v>0.00123638634942494</v>
          </cell>
        </row>
        <row r="420">
          <cell r="A420">
            <v>48030</v>
          </cell>
          <cell r="B420">
            <v>0</v>
          </cell>
          <cell r="C420">
            <v>415.646396514192</v>
          </cell>
          <cell r="D420">
            <v>0.0026571824051934</v>
          </cell>
          <cell r="E420">
            <v>0</v>
          </cell>
          <cell r="F420">
            <v>0.0026571824051934</v>
          </cell>
          <cell r="G420">
            <v>0.00123638634942494</v>
          </cell>
        </row>
        <row r="421">
          <cell r="A421">
            <v>48061</v>
          </cell>
          <cell r="B421">
            <v>0</v>
          </cell>
          <cell r="C421">
            <v>416.752313466621</v>
          </cell>
          <cell r="D421">
            <v>0.0026571824051934</v>
          </cell>
          <cell r="E421">
            <v>0</v>
          </cell>
          <cell r="F421">
            <v>0.0026571824051934</v>
          </cell>
          <cell r="G421">
            <v>0.00123638634942494</v>
          </cell>
        </row>
        <row r="422">
          <cell r="A422">
            <v>48092</v>
          </cell>
          <cell r="B422">
            <v>0</v>
          </cell>
          <cell r="C422">
            <v>417.861172949806</v>
          </cell>
          <cell r="D422">
            <v>0.0026571824051934</v>
          </cell>
          <cell r="E422">
            <v>0</v>
          </cell>
          <cell r="F422">
            <v>0.0026571824051934</v>
          </cell>
          <cell r="G422">
            <v>0.00123638634942494</v>
          </cell>
        </row>
        <row r="423">
          <cell r="A423">
            <v>48122</v>
          </cell>
          <cell r="B423">
            <v>0</v>
          </cell>
          <cell r="C423">
            <v>418.972982792986</v>
          </cell>
          <cell r="D423">
            <v>0.0026571824051934</v>
          </cell>
          <cell r="E423">
            <v>0</v>
          </cell>
          <cell r="F423">
            <v>0.0026571824051934</v>
          </cell>
          <cell r="G423">
            <v>0.00123638634942494</v>
          </cell>
        </row>
        <row r="424">
          <cell r="A424">
            <v>48153</v>
          </cell>
          <cell r="B424">
            <v>0</v>
          </cell>
          <cell r="C424">
            <v>420.087750846231</v>
          </cell>
          <cell r="D424">
            <v>0.0026571824051934</v>
          </cell>
          <cell r="E424">
            <v>0</v>
          </cell>
          <cell r="F424">
            <v>0.0026571824051934</v>
          </cell>
          <cell r="G424">
            <v>0.00123638634942494</v>
          </cell>
        </row>
        <row r="425">
          <cell r="A425">
            <v>48183</v>
          </cell>
          <cell r="B425">
            <v>0</v>
          </cell>
          <cell r="C425">
            <v>421.205484980497</v>
          </cell>
          <cell r="D425">
            <v>0.0026571824051934</v>
          </cell>
          <cell r="E425">
            <v>0</v>
          </cell>
          <cell r="F425">
            <v>0.0026571824051934</v>
          </cell>
          <cell r="G425">
            <v>0.00123638634942494</v>
          </cell>
        </row>
        <row r="426">
          <cell r="A426">
            <v>48214</v>
          </cell>
          <cell r="B426">
            <v>0</v>
          </cell>
          <cell r="C426">
            <v>422.326193087682</v>
          </cell>
          <cell r="D426">
            <v>0.0026571824051934</v>
          </cell>
          <cell r="E426">
            <v>0</v>
          </cell>
          <cell r="F426">
            <v>0.0026571824051934</v>
          </cell>
          <cell r="G426">
            <v>0.00123638634942494</v>
          </cell>
        </row>
        <row r="427">
          <cell r="A427">
            <v>48245</v>
          </cell>
          <cell r="B427">
            <v>0</v>
          </cell>
          <cell r="C427">
            <v>423.449883080684</v>
          </cell>
          <cell r="D427">
            <v>0.0026571824051934</v>
          </cell>
          <cell r="E427">
            <v>0</v>
          </cell>
          <cell r="F427">
            <v>0.0026571824051934</v>
          </cell>
          <cell r="G427">
            <v>0.00123638634942494</v>
          </cell>
        </row>
        <row r="428">
          <cell r="A428">
            <v>48274</v>
          </cell>
          <cell r="B428">
            <v>0</v>
          </cell>
          <cell r="C428">
            <v>424.576562893454</v>
          </cell>
          <cell r="D428">
            <v>0.0026571824051934</v>
          </cell>
          <cell r="E428">
            <v>0</v>
          </cell>
          <cell r="F428">
            <v>0.0026571824051934</v>
          </cell>
          <cell r="G428">
            <v>0.00123638634942494</v>
          </cell>
        </row>
        <row r="429">
          <cell r="A429">
            <v>48305</v>
          </cell>
          <cell r="B429">
            <v>0</v>
          </cell>
          <cell r="C429">
            <v>425.706240481051</v>
          </cell>
          <cell r="D429">
            <v>0.0026571824051934</v>
          </cell>
          <cell r="E429">
            <v>0</v>
          </cell>
          <cell r="F429">
            <v>0.0026571824051934</v>
          </cell>
          <cell r="G429">
            <v>0.00123638634942494</v>
          </cell>
        </row>
        <row r="430">
          <cell r="A430">
            <v>48335</v>
          </cell>
          <cell r="B430">
            <v>0</v>
          </cell>
          <cell r="C430">
            <v>426.838923819704</v>
          </cell>
          <cell r="D430">
            <v>0.0026571824051934</v>
          </cell>
          <cell r="E430">
            <v>0</v>
          </cell>
          <cell r="F430">
            <v>0.0026571824051934</v>
          </cell>
          <cell r="G430">
            <v>0.00123638634942494</v>
          </cell>
        </row>
        <row r="431">
          <cell r="A431">
            <v>48366</v>
          </cell>
          <cell r="B431">
            <v>0</v>
          </cell>
          <cell r="C431">
            <v>427.974620906861</v>
          </cell>
          <cell r="D431">
            <v>0.0026571824051934</v>
          </cell>
          <cell r="E431">
            <v>0</v>
          </cell>
          <cell r="F431">
            <v>0.0026571824051934</v>
          </cell>
          <cell r="G431">
            <v>0.00123638634942494</v>
          </cell>
        </row>
        <row r="432">
          <cell r="A432">
            <v>48396</v>
          </cell>
          <cell r="B432">
            <v>0</v>
          </cell>
          <cell r="C432">
            <v>429.113339761252</v>
          </cell>
          <cell r="D432">
            <v>0.0026571824051934</v>
          </cell>
          <cell r="E432">
            <v>0</v>
          </cell>
          <cell r="F432">
            <v>0.0026571824051934</v>
          </cell>
          <cell r="G432">
            <v>0.00123638634942494</v>
          </cell>
        </row>
        <row r="433">
          <cell r="A433">
            <v>48427</v>
          </cell>
          <cell r="B433">
            <v>0</v>
          </cell>
          <cell r="C433">
            <v>430.255088422939</v>
          </cell>
          <cell r="D433">
            <v>0.0026571824051934</v>
          </cell>
          <cell r="E433">
            <v>0</v>
          </cell>
          <cell r="F433">
            <v>0.0026571824051934</v>
          </cell>
          <cell r="G433">
            <v>0.00123638634942494</v>
          </cell>
        </row>
        <row r="434">
          <cell r="A434">
            <v>48458</v>
          </cell>
          <cell r="B434">
            <v>0</v>
          </cell>
          <cell r="C434">
            <v>431.399874953379</v>
          </cell>
          <cell r="D434">
            <v>0.0026571824051934</v>
          </cell>
          <cell r="E434">
            <v>0</v>
          </cell>
          <cell r="F434">
            <v>0.0026571824051934</v>
          </cell>
          <cell r="G434">
            <v>0.00123638634942494</v>
          </cell>
        </row>
        <row r="435">
          <cell r="A435">
            <v>48488</v>
          </cell>
          <cell r="B435">
            <v>0</v>
          </cell>
          <cell r="C435">
            <v>432.547707435479</v>
          </cell>
          <cell r="D435">
            <v>0.0026571824051934</v>
          </cell>
          <cell r="E435">
            <v>0</v>
          </cell>
          <cell r="F435">
            <v>0.0026571824051934</v>
          </cell>
          <cell r="G435">
            <v>0.00123638634942494</v>
          </cell>
        </row>
        <row r="436">
          <cell r="A436">
            <v>48519</v>
          </cell>
          <cell r="B436">
            <v>0</v>
          </cell>
          <cell r="C436">
            <v>433.698593973649</v>
          </cell>
          <cell r="D436">
            <v>0.0026571824051934</v>
          </cell>
          <cell r="E436">
            <v>0</v>
          </cell>
          <cell r="F436">
            <v>0.0026571824051934</v>
          </cell>
          <cell r="G436">
            <v>0.00123638634942494</v>
          </cell>
        </row>
        <row r="437">
          <cell r="A437">
            <v>48549</v>
          </cell>
          <cell r="B437">
            <v>0</v>
          </cell>
          <cell r="C437">
            <v>434.852542693865</v>
          </cell>
          <cell r="D437">
            <v>0.0026571824051934</v>
          </cell>
          <cell r="E437">
            <v>0</v>
          </cell>
          <cell r="F437">
            <v>0.0026571824051934</v>
          </cell>
          <cell r="G437">
            <v>0.00123638634942494</v>
          </cell>
        </row>
        <row r="438">
          <cell r="A438">
            <v>48580</v>
          </cell>
          <cell r="B438">
            <v>0</v>
          </cell>
          <cell r="C438">
            <v>436.009561743723</v>
          </cell>
          <cell r="D438">
            <v>0.0026571824051934</v>
          </cell>
          <cell r="E438">
            <v>0</v>
          </cell>
          <cell r="F438">
            <v>0.0026571824051934</v>
          </cell>
          <cell r="G438">
            <v>0.00123638634942494</v>
          </cell>
        </row>
        <row r="439">
          <cell r="A439">
            <v>48611</v>
          </cell>
          <cell r="B439">
            <v>0</v>
          </cell>
          <cell r="C439">
            <v>437.169659292498</v>
          </cell>
          <cell r="D439">
            <v>0.0026571824051934</v>
          </cell>
          <cell r="E439">
            <v>0</v>
          </cell>
          <cell r="F439">
            <v>0.0026571824051934</v>
          </cell>
          <cell r="G439">
            <v>0.00123638634942494</v>
          </cell>
        </row>
        <row r="440">
          <cell r="A440">
            <v>48639</v>
          </cell>
          <cell r="B440">
            <v>0</v>
          </cell>
          <cell r="C440">
            <v>438.332843531201</v>
          </cell>
          <cell r="D440">
            <v>0.0026571824051934</v>
          </cell>
          <cell r="E440">
            <v>0</v>
          </cell>
          <cell r="F440">
            <v>0.0026571824051934</v>
          </cell>
          <cell r="G440">
            <v>0.00123638634942494</v>
          </cell>
        </row>
        <row r="441">
          <cell r="A441">
            <v>48670</v>
          </cell>
          <cell r="B441">
            <v>0</v>
          </cell>
          <cell r="C441">
            <v>439.499122672637</v>
          </cell>
          <cell r="D441">
            <v>0.0026571824051934</v>
          </cell>
          <cell r="E441">
            <v>0</v>
          </cell>
          <cell r="F441">
            <v>0.0026571824051934</v>
          </cell>
          <cell r="G441">
            <v>0.00123638634942494</v>
          </cell>
        </row>
        <row r="442">
          <cell r="A442">
            <v>48700</v>
          </cell>
          <cell r="B442">
            <v>0</v>
          </cell>
          <cell r="C442">
            <v>440.668504951462</v>
          </cell>
          <cell r="D442">
            <v>0.0026571824051934</v>
          </cell>
          <cell r="E442">
            <v>0</v>
          </cell>
          <cell r="F442">
            <v>0.0026571824051934</v>
          </cell>
          <cell r="G442">
            <v>0.00123638634942494</v>
          </cell>
        </row>
        <row r="443">
          <cell r="A443">
            <v>48731</v>
          </cell>
          <cell r="B443">
            <v>0</v>
          </cell>
          <cell r="C443">
            <v>441.840998624243</v>
          </cell>
          <cell r="D443">
            <v>0.0026571824051934</v>
          </cell>
          <cell r="E443">
            <v>0</v>
          </cell>
          <cell r="F443">
            <v>0.0026571824051934</v>
          </cell>
          <cell r="G443">
            <v>0.00123638634942494</v>
          </cell>
        </row>
        <row r="444">
          <cell r="A444">
            <v>48761</v>
          </cell>
          <cell r="B444">
            <v>0</v>
          </cell>
          <cell r="C444">
            <v>443.016611969516</v>
          </cell>
          <cell r="D444">
            <v>0.0026571824051934</v>
          </cell>
          <cell r="E444">
            <v>0</v>
          </cell>
          <cell r="F444">
            <v>0.0026571824051934</v>
          </cell>
          <cell r="G444">
            <v>0.00123638634942494</v>
          </cell>
        </row>
        <row r="445">
          <cell r="A445">
            <v>48792</v>
          </cell>
          <cell r="B445">
            <v>0</v>
          </cell>
          <cell r="C445">
            <v>444.195353287842</v>
          </cell>
          <cell r="D445">
            <v>0.0026571824051934</v>
          </cell>
          <cell r="E445">
            <v>0</v>
          </cell>
          <cell r="F445">
            <v>0.0026571824051934</v>
          </cell>
          <cell r="G445">
            <v>0.00123638634942494</v>
          </cell>
        </row>
        <row r="446">
          <cell r="A446">
            <v>48823</v>
          </cell>
          <cell r="B446">
            <v>0</v>
          </cell>
          <cell r="C446">
            <v>445.377230901869</v>
          </cell>
          <cell r="D446">
            <v>0.0026571824051934</v>
          </cell>
          <cell r="E446">
            <v>0</v>
          </cell>
          <cell r="F446">
            <v>0.0026571824051934</v>
          </cell>
          <cell r="G446">
            <v>0.00123638634942494</v>
          </cell>
        </row>
        <row r="447">
          <cell r="A447">
            <v>48853</v>
          </cell>
          <cell r="B447">
            <v>0</v>
          </cell>
          <cell r="C447">
            <v>446.562253156388</v>
          </cell>
          <cell r="D447">
            <v>0.0026571824051934</v>
          </cell>
          <cell r="E447">
            <v>0</v>
          </cell>
          <cell r="F447">
            <v>0.0026571824051934</v>
          </cell>
          <cell r="G447">
            <v>0.00123638634942494</v>
          </cell>
        </row>
        <row r="448">
          <cell r="A448">
            <v>48884</v>
          </cell>
          <cell r="B448">
            <v>0</v>
          </cell>
          <cell r="C448">
            <v>447.750428418395</v>
          </cell>
          <cell r="D448">
            <v>0.0026571824051934</v>
          </cell>
          <cell r="E448">
            <v>0</v>
          </cell>
          <cell r="F448">
            <v>0.0026571824051934</v>
          </cell>
          <cell r="G448">
            <v>0.00123638634942494</v>
          </cell>
        </row>
        <row r="449">
          <cell r="A449">
            <v>48914</v>
          </cell>
          <cell r="B449">
            <v>0</v>
          </cell>
          <cell r="C449">
            <v>448.941765077146</v>
          </cell>
          <cell r="D449">
            <v>0.0026571824051934</v>
          </cell>
          <cell r="E449">
            <v>0</v>
          </cell>
          <cell r="F449">
            <v>0.0026571824051934</v>
          </cell>
          <cell r="G449">
            <v>0.00123638634942494</v>
          </cell>
        </row>
        <row r="450">
          <cell r="A450">
            <v>48945</v>
          </cell>
          <cell r="B450">
            <v>0</v>
          </cell>
          <cell r="C450">
            <v>450.136271544219</v>
          </cell>
          <cell r="D450">
            <v>0.0026571824051934</v>
          </cell>
          <cell r="E450">
            <v>0</v>
          </cell>
          <cell r="F450">
            <v>0.0026571824051934</v>
          </cell>
          <cell r="G450">
            <v>0.00123638634942494</v>
          </cell>
        </row>
        <row r="451">
          <cell r="A451">
            <v>48976</v>
          </cell>
          <cell r="B451">
            <v>0</v>
          </cell>
          <cell r="C451">
            <v>451.333956253575</v>
          </cell>
          <cell r="D451">
            <v>0.0026571824051934</v>
          </cell>
          <cell r="E451">
            <v>0</v>
          </cell>
          <cell r="F451">
            <v>0.0026571824051934</v>
          </cell>
          <cell r="G451">
            <v>0.00123638634942494</v>
          </cell>
        </row>
        <row r="452">
          <cell r="A452">
            <v>49004</v>
          </cell>
          <cell r="B452">
            <v>0</v>
          </cell>
          <cell r="C452">
            <v>452.534827661612</v>
          </cell>
          <cell r="D452">
            <v>0.0026571824051934</v>
          </cell>
          <cell r="E452">
            <v>0</v>
          </cell>
          <cell r="F452">
            <v>0.0026571824051934</v>
          </cell>
          <cell r="G452">
            <v>0.00123638634942494</v>
          </cell>
        </row>
        <row r="453">
          <cell r="A453">
            <v>49035</v>
          </cell>
          <cell r="B453">
            <v>0</v>
          </cell>
          <cell r="C453">
            <v>453.73889424723</v>
          </cell>
          <cell r="D453">
            <v>0.0026571824051934</v>
          </cell>
          <cell r="E453">
            <v>0</v>
          </cell>
          <cell r="F453">
            <v>0.0026571824051934</v>
          </cell>
          <cell r="G453">
            <v>0.00123638634942494</v>
          </cell>
        </row>
        <row r="454">
          <cell r="A454">
            <v>49065</v>
          </cell>
          <cell r="B454">
            <v>0</v>
          </cell>
          <cell r="C454">
            <v>454.946164511889</v>
          </cell>
          <cell r="D454">
            <v>0.0026571824051934</v>
          </cell>
          <cell r="E454">
            <v>0</v>
          </cell>
          <cell r="F454">
            <v>0.0026571824051934</v>
          </cell>
          <cell r="G454">
            <v>0.00123638634942494</v>
          </cell>
        </row>
        <row r="455">
          <cell r="A455">
            <v>49096</v>
          </cell>
          <cell r="B455">
            <v>0</v>
          </cell>
          <cell r="C455">
            <v>456.156646979668</v>
          </cell>
          <cell r="D455">
            <v>0.0026571824051934</v>
          </cell>
          <cell r="E455">
            <v>0</v>
          </cell>
          <cell r="F455">
            <v>0.0026571824051934</v>
          </cell>
          <cell r="G455">
            <v>0.00123638634942494</v>
          </cell>
        </row>
        <row r="456">
          <cell r="A456">
            <v>49126</v>
          </cell>
          <cell r="B456">
            <v>0</v>
          </cell>
          <cell r="C456">
            <v>457.370350197328</v>
          </cell>
          <cell r="D456">
            <v>0.0026571824051934</v>
          </cell>
          <cell r="E456">
            <v>0</v>
          </cell>
          <cell r="F456">
            <v>0.0026571824051934</v>
          </cell>
          <cell r="G456">
            <v>0.00123638634942494</v>
          </cell>
        </row>
        <row r="457">
          <cell r="A457">
            <v>49157</v>
          </cell>
          <cell r="B457">
            <v>0</v>
          </cell>
          <cell r="C457">
            <v>458.587282734367</v>
          </cell>
          <cell r="D457">
            <v>0.0026571824051934</v>
          </cell>
          <cell r="E457">
            <v>0</v>
          </cell>
          <cell r="F457">
            <v>0.0026571824051934</v>
          </cell>
          <cell r="G457">
            <v>0.00123638634942494</v>
          </cell>
        </row>
        <row r="458">
          <cell r="A458">
            <v>49188</v>
          </cell>
          <cell r="B458">
            <v>0</v>
          </cell>
          <cell r="C458">
            <v>459.807453183089</v>
          </cell>
          <cell r="D458">
            <v>0.0026571824051934</v>
          </cell>
          <cell r="E458">
            <v>0</v>
          </cell>
          <cell r="F458">
            <v>0.0026571824051934</v>
          </cell>
          <cell r="G458">
            <v>0.00123638634942494</v>
          </cell>
        </row>
        <row r="459">
          <cell r="A459">
            <v>49218</v>
          </cell>
          <cell r="B459">
            <v>0</v>
          </cell>
          <cell r="C459">
            <v>461.030870158654</v>
          </cell>
          <cell r="D459">
            <v>0.0026571824051934</v>
          </cell>
          <cell r="E459">
            <v>0</v>
          </cell>
          <cell r="F459">
            <v>0.0026571824051934</v>
          </cell>
          <cell r="G459">
            <v>0.00123638634942494</v>
          </cell>
        </row>
        <row r="460">
          <cell r="A460">
            <v>49249</v>
          </cell>
          <cell r="B460">
            <v>0</v>
          </cell>
          <cell r="C460">
            <v>462.25754229915</v>
          </cell>
          <cell r="D460">
            <v>0.0026571824051934</v>
          </cell>
          <cell r="E460">
            <v>0</v>
          </cell>
          <cell r="F460">
            <v>0.0026571824051934</v>
          </cell>
          <cell r="G460">
            <v>0.00123638634942494</v>
          </cell>
        </row>
        <row r="461">
          <cell r="A461">
            <v>49279</v>
          </cell>
          <cell r="B461">
            <v>0</v>
          </cell>
          <cell r="C461">
            <v>463.487478265645</v>
          </cell>
          <cell r="D461">
            <v>0.0026571824051934</v>
          </cell>
          <cell r="E461">
            <v>0</v>
          </cell>
          <cell r="F461">
            <v>0.0026571824051934</v>
          </cell>
          <cell r="G461">
            <v>0.00123638634942494</v>
          </cell>
        </row>
        <row r="462">
          <cell r="A462">
            <v>49310</v>
          </cell>
          <cell r="B462">
            <v>0</v>
          </cell>
          <cell r="C462">
            <v>464.720686742251</v>
          </cell>
          <cell r="D462">
            <v>0.0026571824051934</v>
          </cell>
          <cell r="E462">
            <v>0</v>
          </cell>
          <cell r="F462">
            <v>0.0026571824051934</v>
          </cell>
          <cell r="G462">
            <v>0.00123638634942494</v>
          </cell>
        </row>
        <row r="463">
          <cell r="A463">
            <v>49341</v>
          </cell>
          <cell r="B463">
            <v>0</v>
          </cell>
          <cell r="C463">
            <v>465.95717643619</v>
          </cell>
          <cell r="D463">
            <v>0.0026571824051934</v>
          </cell>
          <cell r="E463">
            <v>0</v>
          </cell>
          <cell r="F463">
            <v>0.0026571824051934</v>
          </cell>
          <cell r="G463">
            <v>0.00123638634942494</v>
          </cell>
        </row>
        <row r="464">
          <cell r="A464">
            <v>49369</v>
          </cell>
          <cell r="B464">
            <v>0</v>
          </cell>
          <cell r="C464">
            <v>467.196956077847</v>
          </cell>
          <cell r="D464">
            <v>0.0026571824051934</v>
          </cell>
          <cell r="E464">
            <v>0</v>
          </cell>
          <cell r="F464">
            <v>0.0026571824051934</v>
          </cell>
          <cell r="G464">
            <v>0.00123638634942494</v>
          </cell>
        </row>
        <row r="465">
          <cell r="A465">
            <v>49400</v>
          </cell>
          <cell r="B465">
            <v>0</v>
          </cell>
          <cell r="C465">
            <v>468.44003442084</v>
          </cell>
          <cell r="D465">
            <v>0.0026571824051934</v>
          </cell>
          <cell r="E465">
            <v>0</v>
          </cell>
          <cell r="F465">
            <v>0.0026571824051934</v>
          </cell>
          <cell r="G465">
            <v>0.00123638634942494</v>
          </cell>
        </row>
        <row r="466">
          <cell r="A466">
            <v>49430</v>
          </cell>
          <cell r="B466">
            <v>0</v>
          </cell>
          <cell r="C466">
            <v>469.686420242074</v>
          </cell>
          <cell r="D466">
            <v>0.0026571824051934</v>
          </cell>
          <cell r="E466">
            <v>0</v>
          </cell>
          <cell r="F466">
            <v>0.0026571824051934</v>
          </cell>
          <cell r="G466">
            <v>0.00123638634942494</v>
          </cell>
        </row>
        <row r="467">
          <cell r="A467">
            <v>49461</v>
          </cell>
          <cell r="B467">
            <v>0</v>
          </cell>
          <cell r="C467">
            <v>470.936122341809</v>
          </cell>
          <cell r="D467">
            <v>0.0026571824051934</v>
          </cell>
          <cell r="E467">
            <v>0</v>
          </cell>
          <cell r="F467">
            <v>0.0026571824051934</v>
          </cell>
          <cell r="G467">
            <v>0.00123638634942494</v>
          </cell>
        </row>
        <row r="468">
          <cell r="A468">
            <v>49491</v>
          </cell>
          <cell r="B468">
            <v>0</v>
          </cell>
          <cell r="C468">
            <v>472.189149543721</v>
          </cell>
          <cell r="D468">
            <v>0.0026571824051934</v>
          </cell>
          <cell r="E468">
            <v>0</v>
          </cell>
          <cell r="F468">
            <v>0.0026571824051934</v>
          </cell>
          <cell r="G468">
            <v>0.00123638634942494</v>
          </cell>
        </row>
        <row r="469">
          <cell r="A469">
            <v>49522</v>
          </cell>
          <cell r="B469">
            <v>0</v>
          </cell>
          <cell r="C469">
            <v>473.44551069496</v>
          </cell>
          <cell r="D469">
            <v>0.0026571824051934</v>
          </cell>
          <cell r="E469">
            <v>0</v>
          </cell>
          <cell r="F469">
            <v>0.0026571824051934</v>
          </cell>
          <cell r="G469">
            <v>0.00123638634942494</v>
          </cell>
        </row>
        <row r="470">
          <cell r="A470">
            <v>49553</v>
          </cell>
          <cell r="B470">
            <v>0</v>
          </cell>
          <cell r="C470">
            <v>474.70521466622</v>
          </cell>
          <cell r="D470">
            <v>0.0026571824051934</v>
          </cell>
          <cell r="E470">
            <v>0</v>
          </cell>
          <cell r="F470">
            <v>0.0026571824051934</v>
          </cell>
          <cell r="G470">
            <v>0.00123638634942494</v>
          </cell>
        </row>
        <row r="471">
          <cell r="A471">
            <v>49583</v>
          </cell>
          <cell r="B471">
            <v>0</v>
          </cell>
          <cell r="C471">
            <v>475.968270351794</v>
          </cell>
          <cell r="D471">
            <v>0.0026571824051934</v>
          </cell>
          <cell r="E471">
            <v>0</v>
          </cell>
          <cell r="F471">
            <v>0.0026571824051934</v>
          </cell>
          <cell r="G471">
            <v>0.00123638634942494</v>
          </cell>
        </row>
        <row r="472">
          <cell r="A472">
            <v>49614</v>
          </cell>
          <cell r="B472">
            <v>0</v>
          </cell>
          <cell r="C472">
            <v>477.234686669642</v>
          </cell>
          <cell r="D472">
            <v>0.0026571824051934</v>
          </cell>
          <cell r="E472">
            <v>0</v>
          </cell>
          <cell r="F472">
            <v>0.0026571824051934</v>
          </cell>
          <cell r="G472">
            <v>0.00123638634942494</v>
          </cell>
        </row>
        <row r="473">
          <cell r="A473">
            <v>49644</v>
          </cell>
          <cell r="B473">
            <v>0</v>
          </cell>
          <cell r="C473">
            <v>478.504472561451</v>
          </cell>
          <cell r="D473">
            <v>0.0026571824051934</v>
          </cell>
          <cell r="E473">
            <v>0</v>
          </cell>
          <cell r="F473">
            <v>0.0026571824051934</v>
          </cell>
          <cell r="G473">
            <v>0.00123638634942494</v>
          </cell>
        </row>
      </sheetData>
      <sheetData sheetId="4"/>
      <sheetData sheetId="5"/>
      <sheetData sheetId="6"/>
      <sheetData sheetId="7"/>
      <sheetData sheetId="8"/>
      <sheetData sheetId="9">
        <row r="3">
          <cell r="D3">
            <v>36616</v>
          </cell>
        </row>
        <row r="3">
          <cell r="I3">
            <v>36616</v>
          </cell>
        </row>
        <row r="3">
          <cell r="T3">
            <v>36616</v>
          </cell>
        </row>
        <row r="3">
          <cell r="AA3">
            <v>36616</v>
          </cell>
        </row>
        <row r="5">
          <cell r="A5">
            <v>35065</v>
          </cell>
          <cell r="B5">
            <v>3.6</v>
          </cell>
          <cell r="C5">
            <v>0</v>
          </cell>
          <cell r="D5">
            <v>3.6</v>
          </cell>
        </row>
        <row r="5">
          <cell r="F5">
            <v>35065</v>
          </cell>
          <cell r="G5">
            <v>17.74</v>
          </cell>
          <cell r="H5">
            <v>0</v>
          </cell>
          <cell r="I5">
            <v>17.74</v>
          </cell>
        </row>
        <row r="5">
          <cell r="P5">
            <v>35065</v>
          </cell>
        </row>
        <row r="5">
          <cell r="R5">
            <v>1.46</v>
          </cell>
        </row>
        <row r="5">
          <cell r="T5">
            <v>1.46</v>
          </cell>
          <cell r="U5">
            <v>0</v>
          </cell>
          <cell r="V5">
            <v>0</v>
          </cell>
        </row>
        <row r="5">
          <cell r="X5">
            <v>35065</v>
          </cell>
          <cell r="Y5">
            <v>16.64</v>
          </cell>
          <cell r="Z5">
            <v>0</v>
          </cell>
          <cell r="AA5">
            <v>16.64</v>
          </cell>
        </row>
        <row r="6">
          <cell r="A6">
            <v>35096</v>
          </cell>
          <cell r="B6">
            <v>3.75</v>
          </cell>
          <cell r="C6">
            <v>0</v>
          </cell>
          <cell r="D6">
            <v>3.75</v>
          </cell>
        </row>
        <row r="6">
          <cell r="F6">
            <v>35096</v>
          </cell>
          <cell r="G6">
            <v>19.54</v>
          </cell>
          <cell r="H6">
            <v>0</v>
          </cell>
          <cell r="I6">
            <v>19.54</v>
          </cell>
        </row>
        <row r="6">
          <cell r="P6">
            <v>35096</v>
          </cell>
        </row>
        <row r="6">
          <cell r="R6">
            <v>1.08</v>
          </cell>
        </row>
        <row r="6">
          <cell r="T6">
            <v>1.08</v>
          </cell>
          <cell r="U6">
            <v>0</v>
          </cell>
          <cell r="V6">
            <v>0</v>
          </cell>
        </row>
        <row r="6">
          <cell r="X6">
            <v>35096</v>
          </cell>
          <cell r="Y6">
            <v>18.74</v>
          </cell>
          <cell r="Z6">
            <v>0</v>
          </cell>
          <cell r="AA6">
            <v>18.74</v>
          </cell>
        </row>
        <row r="7">
          <cell r="A7">
            <v>35125</v>
          </cell>
          <cell r="B7">
            <v>2.6</v>
          </cell>
          <cell r="C7">
            <v>0</v>
          </cell>
          <cell r="D7">
            <v>2.6</v>
          </cell>
        </row>
        <row r="7">
          <cell r="F7">
            <v>35125</v>
          </cell>
          <cell r="G7">
            <v>21.47</v>
          </cell>
          <cell r="H7">
            <v>0</v>
          </cell>
          <cell r="I7">
            <v>21.47</v>
          </cell>
        </row>
        <row r="7">
          <cell r="P7">
            <v>35125</v>
          </cell>
        </row>
        <row r="7">
          <cell r="R7">
            <v>1.02</v>
          </cell>
        </row>
        <row r="7">
          <cell r="T7">
            <v>1.02</v>
          </cell>
          <cell r="U7">
            <v>0</v>
          </cell>
          <cell r="V7">
            <v>0</v>
          </cell>
        </row>
        <row r="7">
          <cell r="X7">
            <v>35125</v>
          </cell>
          <cell r="Y7">
            <v>20.41</v>
          </cell>
          <cell r="Z7">
            <v>0</v>
          </cell>
          <cell r="AA7">
            <v>20.41</v>
          </cell>
        </row>
        <row r="8">
          <cell r="A8">
            <v>35156</v>
          </cell>
          <cell r="B8">
            <v>2.25</v>
          </cell>
          <cell r="C8">
            <v>0</v>
          </cell>
          <cell r="D8">
            <v>2.25</v>
          </cell>
        </row>
        <row r="8">
          <cell r="F8">
            <v>35156</v>
          </cell>
          <cell r="G8">
            <v>21.2</v>
          </cell>
          <cell r="H8">
            <v>0</v>
          </cell>
          <cell r="I8">
            <v>21.2</v>
          </cell>
        </row>
        <row r="8">
          <cell r="P8">
            <v>35156</v>
          </cell>
        </row>
        <row r="8">
          <cell r="R8">
            <v>0.9</v>
          </cell>
        </row>
        <row r="8">
          <cell r="T8">
            <v>0.9</v>
          </cell>
          <cell r="U8">
            <v>0</v>
          </cell>
          <cell r="V8">
            <v>0</v>
          </cell>
        </row>
        <row r="8">
          <cell r="X8">
            <v>35156</v>
          </cell>
          <cell r="Y8">
            <v>19.22</v>
          </cell>
          <cell r="Z8">
            <v>0</v>
          </cell>
          <cell r="AA8">
            <v>19.22</v>
          </cell>
        </row>
        <row r="9">
          <cell r="A9">
            <v>35186</v>
          </cell>
          <cell r="B9">
            <v>2.33</v>
          </cell>
          <cell r="C9">
            <v>0</v>
          </cell>
          <cell r="D9">
            <v>2.33</v>
          </cell>
        </row>
        <row r="9">
          <cell r="F9">
            <v>35186</v>
          </cell>
          <cell r="G9">
            <v>19.76</v>
          </cell>
          <cell r="H9">
            <v>0</v>
          </cell>
          <cell r="I9">
            <v>19.76</v>
          </cell>
        </row>
        <row r="9">
          <cell r="P9">
            <v>35186</v>
          </cell>
        </row>
        <row r="9">
          <cell r="R9">
            <v>0.82</v>
          </cell>
        </row>
        <row r="9">
          <cell r="T9">
            <v>0.82</v>
          </cell>
          <cell r="U9">
            <v>0</v>
          </cell>
          <cell r="V9">
            <v>0</v>
          </cell>
        </row>
        <row r="9">
          <cell r="X9">
            <v>35186</v>
          </cell>
          <cell r="Y9">
            <v>17.9</v>
          </cell>
          <cell r="Z9">
            <v>0</v>
          </cell>
          <cell r="AA9">
            <v>17.9</v>
          </cell>
        </row>
        <row r="10">
          <cell r="A10">
            <v>35217</v>
          </cell>
          <cell r="B10">
            <v>2.65</v>
          </cell>
          <cell r="C10">
            <v>0</v>
          </cell>
          <cell r="D10">
            <v>2.65</v>
          </cell>
        </row>
        <row r="10">
          <cell r="F10">
            <v>35217</v>
          </cell>
          <cell r="G10">
            <v>20.92</v>
          </cell>
          <cell r="H10">
            <v>0</v>
          </cell>
          <cell r="I10">
            <v>20.92</v>
          </cell>
        </row>
        <row r="10">
          <cell r="P10">
            <v>35217</v>
          </cell>
        </row>
        <row r="10">
          <cell r="R10">
            <v>0.85</v>
          </cell>
        </row>
        <row r="10">
          <cell r="T10">
            <v>0.85</v>
          </cell>
          <cell r="U10">
            <v>0</v>
          </cell>
          <cell r="V10">
            <v>0</v>
          </cell>
        </row>
        <row r="10">
          <cell r="X10">
            <v>35217</v>
          </cell>
          <cell r="Y10">
            <v>18.71</v>
          </cell>
          <cell r="Z10">
            <v>0</v>
          </cell>
          <cell r="AA10">
            <v>18.71</v>
          </cell>
        </row>
        <row r="11">
          <cell r="A11">
            <v>35247</v>
          </cell>
          <cell r="B11">
            <v>2.08</v>
          </cell>
          <cell r="C11">
            <v>0</v>
          </cell>
          <cell r="D11">
            <v>2.08</v>
          </cell>
        </row>
        <row r="11">
          <cell r="F11">
            <v>35247</v>
          </cell>
          <cell r="G11">
            <v>20.42</v>
          </cell>
          <cell r="H11">
            <v>0</v>
          </cell>
          <cell r="I11">
            <v>20.42</v>
          </cell>
        </row>
        <row r="11">
          <cell r="P11">
            <v>35247</v>
          </cell>
        </row>
        <row r="11">
          <cell r="R11">
            <v>0.92</v>
          </cell>
        </row>
        <row r="11">
          <cell r="T11">
            <v>0.92</v>
          </cell>
          <cell r="U11">
            <v>0</v>
          </cell>
          <cell r="V11">
            <v>0</v>
          </cell>
        </row>
        <row r="11">
          <cell r="X11">
            <v>35247</v>
          </cell>
          <cell r="Y11">
            <v>19.06</v>
          </cell>
          <cell r="Z11">
            <v>0</v>
          </cell>
          <cell r="AA11">
            <v>19.06</v>
          </cell>
        </row>
        <row r="12">
          <cell r="A12">
            <v>35278</v>
          </cell>
          <cell r="B12">
            <v>1.86</v>
          </cell>
          <cell r="C12">
            <v>0</v>
          </cell>
          <cell r="D12">
            <v>1.86</v>
          </cell>
        </row>
        <row r="12">
          <cell r="F12">
            <v>35278</v>
          </cell>
          <cell r="G12">
            <v>22.25</v>
          </cell>
          <cell r="H12">
            <v>0</v>
          </cell>
          <cell r="I12">
            <v>22.25</v>
          </cell>
        </row>
        <row r="12">
          <cell r="P12">
            <v>35278</v>
          </cell>
        </row>
        <row r="12">
          <cell r="R12">
            <v>0.91</v>
          </cell>
        </row>
        <row r="12">
          <cell r="T12">
            <v>0.91</v>
          </cell>
          <cell r="U12">
            <v>0</v>
          </cell>
          <cell r="V12">
            <v>0</v>
          </cell>
        </row>
        <row r="12">
          <cell r="X12">
            <v>35278</v>
          </cell>
          <cell r="Y12">
            <v>20.4</v>
          </cell>
          <cell r="Z12">
            <v>0</v>
          </cell>
          <cell r="AA12">
            <v>20.4</v>
          </cell>
        </row>
        <row r="13">
          <cell r="A13">
            <v>35309</v>
          </cell>
          <cell r="B13">
            <v>1.86</v>
          </cell>
          <cell r="C13">
            <v>0</v>
          </cell>
          <cell r="D13">
            <v>1.86</v>
          </cell>
        </row>
        <row r="13">
          <cell r="F13">
            <v>35309</v>
          </cell>
          <cell r="G13">
            <v>24.38</v>
          </cell>
          <cell r="H13">
            <v>0</v>
          </cell>
          <cell r="I13">
            <v>24.38</v>
          </cell>
        </row>
        <row r="13">
          <cell r="P13">
            <v>35309</v>
          </cell>
        </row>
        <row r="13">
          <cell r="R13">
            <v>0.95</v>
          </cell>
        </row>
        <row r="13">
          <cell r="T13">
            <v>0.95</v>
          </cell>
          <cell r="U13">
            <v>0</v>
          </cell>
          <cell r="V13">
            <v>0</v>
          </cell>
        </row>
        <row r="13">
          <cell r="X13">
            <v>35309</v>
          </cell>
          <cell r="Y13">
            <v>22.67</v>
          </cell>
          <cell r="Z13">
            <v>0</v>
          </cell>
          <cell r="AA13">
            <v>22.67</v>
          </cell>
        </row>
        <row r="14">
          <cell r="A14">
            <v>35339</v>
          </cell>
          <cell r="B14">
            <v>2.7</v>
          </cell>
          <cell r="C14">
            <v>0</v>
          </cell>
          <cell r="D14">
            <v>2.7</v>
          </cell>
        </row>
        <row r="14">
          <cell r="F14">
            <v>35339</v>
          </cell>
          <cell r="G14">
            <v>23.35</v>
          </cell>
          <cell r="H14">
            <v>0</v>
          </cell>
          <cell r="I14">
            <v>23.35</v>
          </cell>
        </row>
        <row r="14">
          <cell r="P14">
            <v>35339</v>
          </cell>
        </row>
        <row r="14">
          <cell r="R14">
            <v>1.24</v>
          </cell>
        </row>
        <row r="14">
          <cell r="T14">
            <v>1.24</v>
          </cell>
          <cell r="U14">
            <v>0</v>
          </cell>
          <cell r="V14">
            <v>0</v>
          </cell>
        </row>
        <row r="14">
          <cell r="X14">
            <v>35339</v>
          </cell>
          <cell r="Y14">
            <v>21.82</v>
          </cell>
          <cell r="Z14">
            <v>0</v>
          </cell>
          <cell r="AA14">
            <v>21.82</v>
          </cell>
        </row>
        <row r="15">
          <cell r="A15">
            <v>35370</v>
          </cell>
          <cell r="B15">
            <v>3.8</v>
          </cell>
          <cell r="C15">
            <v>0</v>
          </cell>
          <cell r="D15">
            <v>3.8</v>
          </cell>
        </row>
        <row r="15">
          <cell r="F15">
            <v>35370</v>
          </cell>
          <cell r="G15">
            <v>23.75</v>
          </cell>
          <cell r="H15">
            <v>0</v>
          </cell>
          <cell r="I15">
            <v>23.75</v>
          </cell>
        </row>
        <row r="15">
          <cell r="P15">
            <v>35370</v>
          </cell>
        </row>
        <row r="15">
          <cell r="R15">
            <v>1.51</v>
          </cell>
        </row>
        <row r="15">
          <cell r="T15">
            <v>1.51</v>
          </cell>
          <cell r="U15">
            <v>0</v>
          </cell>
          <cell r="V15">
            <v>0</v>
          </cell>
        </row>
        <row r="15">
          <cell r="X15">
            <v>35370</v>
          </cell>
          <cell r="Y15">
            <v>23.12</v>
          </cell>
          <cell r="Z15">
            <v>0</v>
          </cell>
          <cell r="AA15">
            <v>23.12</v>
          </cell>
        </row>
        <row r="16">
          <cell r="A16">
            <v>35400</v>
          </cell>
          <cell r="B16">
            <v>2.46</v>
          </cell>
          <cell r="C16">
            <v>0</v>
          </cell>
          <cell r="D16">
            <v>2.46</v>
          </cell>
        </row>
        <row r="16">
          <cell r="F16">
            <v>35400</v>
          </cell>
          <cell r="G16">
            <v>25.92</v>
          </cell>
          <cell r="H16">
            <v>0</v>
          </cell>
          <cell r="I16">
            <v>25.92</v>
          </cell>
        </row>
        <row r="16">
          <cell r="P16">
            <v>35400</v>
          </cell>
        </row>
        <row r="16">
          <cell r="R16">
            <v>1.82</v>
          </cell>
        </row>
        <row r="16">
          <cell r="T16">
            <v>1.82</v>
          </cell>
          <cell r="U16">
            <v>0</v>
          </cell>
          <cell r="V16">
            <v>0</v>
          </cell>
        </row>
        <row r="16">
          <cell r="X16">
            <v>35400</v>
          </cell>
          <cell r="Y16">
            <v>23.56</v>
          </cell>
          <cell r="Z16">
            <v>0</v>
          </cell>
          <cell r="AA16">
            <v>23.56</v>
          </cell>
        </row>
        <row r="17">
          <cell r="A17">
            <v>35431</v>
          </cell>
          <cell r="B17">
            <v>2.88</v>
          </cell>
          <cell r="C17">
            <v>0</v>
          </cell>
          <cell r="D17">
            <v>2.88</v>
          </cell>
        </row>
        <row r="17">
          <cell r="F17">
            <v>35431</v>
          </cell>
          <cell r="G17">
            <v>24.15</v>
          </cell>
          <cell r="H17">
            <v>0</v>
          </cell>
          <cell r="I17">
            <v>24.15</v>
          </cell>
        </row>
        <row r="17">
          <cell r="P17">
            <v>35431</v>
          </cell>
        </row>
        <row r="17">
          <cell r="R17">
            <v>2.11</v>
          </cell>
        </row>
        <row r="17">
          <cell r="T17">
            <v>2.11</v>
          </cell>
          <cell r="U17">
            <v>0</v>
          </cell>
          <cell r="V17">
            <v>0</v>
          </cell>
        </row>
        <row r="17">
          <cell r="X17">
            <v>35431</v>
          </cell>
          <cell r="Y17">
            <v>22.82</v>
          </cell>
          <cell r="Z17">
            <v>0</v>
          </cell>
          <cell r="AA17">
            <v>22.82</v>
          </cell>
        </row>
        <row r="18">
          <cell r="A18">
            <v>35462</v>
          </cell>
          <cell r="B18">
            <v>1.79</v>
          </cell>
          <cell r="C18">
            <v>0</v>
          </cell>
          <cell r="D18">
            <v>1.79</v>
          </cell>
        </row>
        <row r="18">
          <cell r="F18">
            <v>35462</v>
          </cell>
          <cell r="G18">
            <v>20.3</v>
          </cell>
          <cell r="H18">
            <v>0</v>
          </cell>
          <cell r="I18">
            <v>20.3</v>
          </cell>
        </row>
        <row r="18">
          <cell r="P18">
            <v>35462</v>
          </cell>
        </row>
        <row r="18">
          <cell r="R18">
            <v>1.21</v>
          </cell>
        </row>
        <row r="18">
          <cell r="T18">
            <v>1.21</v>
          </cell>
          <cell r="U18">
            <v>0</v>
          </cell>
          <cell r="V18">
            <v>0</v>
          </cell>
        </row>
        <row r="18">
          <cell r="X18">
            <v>35462</v>
          </cell>
          <cell r="Y18">
            <v>19.4</v>
          </cell>
          <cell r="Z18">
            <v>0</v>
          </cell>
          <cell r="AA18">
            <v>19.4</v>
          </cell>
        </row>
        <row r="19">
          <cell r="A19">
            <v>35490</v>
          </cell>
          <cell r="B19">
            <v>1.85</v>
          </cell>
          <cell r="C19">
            <v>0</v>
          </cell>
          <cell r="D19">
            <v>1.85</v>
          </cell>
        </row>
        <row r="19">
          <cell r="F19">
            <v>35490</v>
          </cell>
          <cell r="G19">
            <v>20.41</v>
          </cell>
          <cell r="H19">
            <v>0</v>
          </cell>
          <cell r="I19">
            <v>20.41</v>
          </cell>
        </row>
        <row r="19">
          <cell r="P19">
            <v>35490</v>
          </cell>
        </row>
        <row r="19">
          <cell r="R19">
            <v>1.19</v>
          </cell>
        </row>
        <row r="19">
          <cell r="T19">
            <v>1.19</v>
          </cell>
          <cell r="U19">
            <v>0</v>
          </cell>
          <cell r="V19">
            <v>0</v>
          </cell>
        </row>
        <row r="19">
          <cell r="X19">
            <v>35490</v>
          </cell>
          <cell r="Y19">
            <v>18.58</v>
          </cell>
          <cell r="Z19">
            <v>0</v>
          </cell>
          <cell r="AA19">
            <v>18.58</v>
          </cell>
        </row>
        <row r="20">
          <cell r="A20">
            <v>35521</v>
          </cell>
          <cell r="B20">
            <v>2.1</v>
          </cell>
          <cell r="C20">
            <v>0</v>
          </cell>
          <cell r="D20">
            <v>2.1</v>
          </cell>
        </row>
        <row r="20">
          <cell r="F20">
            <v>35521</v>
          </cell>
          <cell r="G20">
            <v>20.21</v>
          </cell>
          <cell r="H20">
            <v>0</v>
          </cell>
          <cell r="I20">
            <v>20.21</v>
          </cell>
        </row>
        <row r="20">
          <cell r="P20">
            <v>35521</v>
          </cell>
        </row>
        <row r="20">
          <cell r="R20">
            <v>1.5</v>
          </cell>
        </row>
        <row r="20">
          <cell r="T20">
            <v>1.5</v>
          </cell>
          <cell r="U20">
            <v>0</v>
          </cell>
          <cell r="V20">
            <v>0</v>
          </cell>
        </row>
        <row r="20">
          <cell r="X20">
            <v>35521</v>
          </cell>
          <cell r="Y20">
            <v>18.21</v>
          </cell>
          <cell r="Z20">
            <v>0</v>
          </cell>
          <cell r="AA20">
            <v>18.21</v>
          </cell>
        </row>
        <row r="21">
          <cell r="A21">
            <v>35551</v>
          </cell>
          <cell r="B21">
            <v>2.2</v>
          </cell>
          <cell r="C21">
            <v>0</v>
          </cell>
          <cell r="D21">
            <v>2.2</v>
          </cell>
        </row>
        <row r="21">
          <cell r="F21">
            <v>35551</v>
          </cell>
          <cell r="G21">
            <v>20.88</v>
          </cell>
          <cell r="H21">
            <v>0</v>
          </cell>
          <cell r="I21">
            <v>20.88</v>
          </cell>
        </row>
        <row r="21">
          <cell r="P21">
            <v>35551</v>
          </cell>
        </row>
        <row r="21">
          <cell r="R21">
            <v>1.2</v>
          </cell>
        </row>
        <row r="21">
          <cell r="T21">
            <v>1.2</v>
          </cell>
          <cell r="U21">
            <v>0</v>
          </cell>
          <cell r="V21">
            <v>0</v>
          </cell>
        </row>
        <row r="21">
          <cell r="X21">
            <v>35551</v>
          </cell>
          <cell r="Y21">
            <v>19.2</v>
          </cell>
          <cell r="Z21">
            <v>0</v>
          </cell>
          <cell r="AA21">
            <v>19.2</v>
          </cell>
        </row>
        <row r="22">
          <cell r="A22">
            <v>35582</v>
          </cell>
          <cell r="B22">
            <v>2.17</v>
          </cell>
          <cell r="C22">
            <v>0</v>
          </cell>
          <cell r="D22">
            <v>2.17</v>
          </cell>
        </row>
        <row r="22">
          <cell r="F22">
            <v>35582</v>
          </cell>
          <cell r="G22">
            <v>19.8</v>
          </cell>
          <cell r="H22">
            <v>0</v>
          </cell>
          <cell r="I22">
            <v>19.8</v>
          </cell>
        </row>
        <row r="22">
          <cell r="P22">
            <v>35582</v>
          </cell>
        </row>
        <row r="22">
          <cell r="R22">
            <v>1.14</v>
          </cell>
        </row>
        <row r="22">
          <cell r="T22">
            <v>1.14</v>
          </cell>
          <cell r="U22">
            <v>0</v>
          </cell>
          <cell r="V22">
            <v>0</v>
          </cell>
        </row>
        <row r="22">
          <cell r="X22">
            <v>35582</v>
          </cell>
          <cell r="Y22">
            <v>18.26</v>
          </cell>
          <cell r="Z22">
            <v>0</v>
          </cell>
          <cell r="AA22">
            <v>18.26</v>
          </cell>
        </row>
        <row r="23">
          <cell r="A23">
            <v>35612</v>
          </cell>
          <cell r="B23">
            <v>2.23</v>
          </cell>
          <cell r="C23">
            <v>0</v>
          </cell>
          <cell r="D23">
            <v>2.23</v>
          </cell>
        </row>
        <row r="23">
          <cell r="F23">
            <v>35612</v>
          </cell>
          <cell r="G23">
            <v>20.14</v>
          </cell>
          <cell r="H23">
            <v>0</v>
          </cell>
          <cell r="I23">
            <v>20.14</v>
          </cell>
        </row>
        <row r="23">
          <cell r="P23">
            <v>35612</v>
          </cell>
        </row>
        <row r="23">
          <cell r="R23">
            <v>1.15</v>
          </cell>
        </row>
        <row r="23">
          <cell r="T23">
            <v>1.15</v>
          </cell>
          <cell r="U23">
            <v>0</v>
          </cell>
          <cell r="V23">
            <v>0</v>
          </cell>
        </row>
        <row r="23">
          <cell r="X23">
            <v>35612</v>
          </cell>
          <cell r="Y23">
            <v>19.12</v>
          </cell>
          <cell r="Z23">
            <v>0</v>
          </cell>
          <cell r="AA23">
            <v>19.12</v>
          </cell>
        </row>
        <row r="24">
          <cell r="A24">
            <v>35643</v>
          </cell>
          <cell r="B24">
            <v>2.7</v>
          </cell>
          <cell r="C24">
            <v>0</v>
          </cell>
          <cell r="D24">
            <v>2.7</v>
          </cell>
        </row>
        <row r="24">
          <cell r="F24">
            <v>35643</v>
          </cell>
          <cell r="G24">
            <v>19.61</v>
          </cell>
          <cell r="H24">
            <v>0</v>
          </cell>
          <cell r="I24">
            <v>19.61</v>
          </cell>
        </row>
        <row r="24">
          <cell r="P24">
            <v>35643</v>
          </cell>
        </row>
        <row r="24">
          <cell r="R24">
            <v>1.2</v>
          </cell>
        </row>
        <row r="24">
          <cell r="T24">
            <v>1.2</v>
          </cell>
          <cell r="U24">
            <v>0</v>
          </cell>
          <cell r="V24">
            <v>0</v>
          </cell>
        </row>
        <row r="24">
          <cell r="X24">
            <v>35643</v>
          </cell>
          <cell r="Y24">
            <v>18.25</v>
          </cell>
          <cell r="Z24">
            <v>0</v>
          </cell>
          <cell r="AA24">
            <v>18.25</v>
          </cell>
        </row>
        <row r="25">
          <cell r="A25">
            <v>35674</v>
          </cell>
          <cell r="B25">
            <v>2.97</v>
          </cell>
          <cell r="C25">
            <v>0</v>
          </cell>
          <cell r="D25">
            <v>2.97</v>
          </cell>
        </row>
        <row r="25">
          <cell r="F25">
            <v>35674</v>
          </cell>
          <cell r="G25">
            <v>21.18</v>
          </cell>
          <cell r="H25">
            <v>0</v>
          </cell>
          <cell r="I25">
            <v>21.18</v>
          </cell>
        </row>
        <row r="25">
          <cell r="P25">
            <v>35674</v>
          </cell>
        </row>
        <row r="25">
          <cell r="R25">
            <v>1.21</v>
          </cell>
        </row>
        <row r="25">
          <cell r="T25">
            <v>1.21</v>
          </cell>
          <cell r="U25">
            <v>0</v>
          </cell>
          <cell r="V25">
            <v>0</v>
          </cell>
        </row>
        <row r="25">
          <cell r="X25">
            <v>35674</v>
          </cell>
          <cell r="Y25">
            <v>19.86</v>
          </cell>
          <cell r="Z25">
            <v>0</v>
          </cell>
          <cell r="AA25">
            <v>19.86</v>
          </cell>
        </row>
        <row r="26">
          <cell r="A26">
            <v>35704</v>
          </cell>
          <cell r="B26">
            <v>3.27</v>
          </cell>
          <cell r="C26">
            <v>0</v>
          </cell>
          <cell r="D26">
            <v>3.27</v>
          </cell>
        </row>
        <row r="26">
          <cell r="F26">
            <v>35704</v>
          </cell>
          <cell r="G26">
            <v>21.08</v>
          </cell>
          <cell r="H26">
            <v>0</v>
          </cell>
          <cell r="I26">
            <v>21.08</v>
          </cell>
        </row>
        <row r="26">
          <cell r="P26">
            <v>35704</v>
          </cell>
        </row>
        <row r="26">
          <cell r="R26">
            <v>1.54</v>
          </cell>
        </row>
        <row r="26">
          <cell r="T26">
            <v>1.54</v>
          </cell>
          <cell r="U26">
            <v>0</v>
          </cell>
          <cell r="V26">
            <v>0</v>
          </cell>
        </row>
        <row r="26">
          <cell r="X26">
            <v>35704</v>
          </cell>
          <cell r="Y26">
            <v>19.52</v>
          </cell>
          <cell r="Z26">
            <v>0</v>
          </cell>
          <cell r="AA26">
            <v>19.52</v>
          </cell>
        </row>
        <row r="27">
          <cell r="A27">
            <v>35735</v>
          </cell>
          <cell r="B27">
            <v>2.4</v>
          </cell>
          <cell r="C27">
            <v>0</v>
          </cell>
          <cell r="D27">
            <v>2.4</v>
          </cell>
        </row>
        <row r="27">
          <cell r="F27">
            <v>35735</v>
          </cell>
          <cell r="G27">
            <v>19.15</v>
          </cell>
          <cell r="H27">
            <v>0</v>
          </cell>
          <cell r="I27">
            <v>19.15</v>
          </cell>
        </row>
        <row r="27">
          <cell r="P27">
            <v>35735</v>
          </cell>
        </row>
        <row r="27">
          <cell r="R27">
            <v>1.09</v>
          </cell>
        </row>
        <row r="27">
          <cell r="T27">
            <v>1.09</v>
          </cell>
          <cell r="U27">
            <v>0</v>
          </cell>
          <cell r="V27">
            <v>0</v>
          </cell>
        </row>
        <row r="27">
          <cell r="X27">
            <v>35735</v>
          </cell>
          <cell r="Y27">
            <v>18.97</v>
          </cell>
          <cell r="Z27">
            <v>0</v>
          </cell>
          <cell r="AA27">
            <v>18.97</v>
          </cell>
        </row>
        <row r="28">
          <cell r="A28">
            <v>35765</v>
          </cell>
          <cell r="B28">
            <v>2.23</v>
          </cell>
          <cell r="C28">
            <v>0</v>
          </cell>
          <cell r="D28">
            <v>2.23</v>
          </cell>
        </row>
        <row r="28">
          <cell r="F28">
            <v>35765</v>
          </cell>
          <cell r="G28">
            <v>17.64</v>
          </cell>
          <cell r="H28">
            <v>0</v>
          </cell>
          <cell r="I28">
            <v>17.64</v>
          </cell>
        </row>
        <row r="28">
          <cell r="P28">
            <v>35765</v>
          </cell>
        </row>
        <row r="28">
          <cell r="R28">
            <v>0.95</v>
          </cell>
        </row>
        <row r="28">
          <cell r="T28">
            <v>0.95</v>
          </cell>
          <cell r="U28">
            <v>0</v>
          </cell>
          <cell r="V28">
            <v>0</v>
          </cell>
        </row>
        <row r="28">
          <cell r="X28">
            <v>35765</v>
          </cell>
          <cell r="Y28">
            <v>15.94</v>
          </cell>
          <cell r="Z28">
            <v>0</v>
          </cell>
          <cell r="AA28">
            <v>15.94</v>
          </cell>
        </row>
        <row r="29">
          <cell r="A29">
            <v>35796</v>
          </cell>
          <cell r="B29">
            <v>2.07</v>
          </cell>
          <cell r="C29">
            <v>0</v>
          </cell>
          <cell r="D29">
            <v>2.07</v>
          </cell>
        </row>
        <row r="29">
          <cell r="F29">
            <v>35796</v>
          </cell>
          <cell r="G29">
            <v>17.21</v>
          </cell>
          <cell r="H29">
            <v>0</v>
          </cell>
          <cell r="I29">
            <v>17.21</v>
          </cell>
        </row>
        <row r="29">
          <cell r="P29">
            <v>35796</v>
          </cell>
        </row>
        <row r="29">
          <cell r="R29">
            <v>1.17</v>
          </cell>
          <cell r="S29">
            <v>1.453044458964</v>
          </cell>
          <cell r="T29">
            <v>1.17</v>
          </cell>
          <cell r="U29">
            <v>1.453044458964</v>
          </cell>
          <cell r="V29">
            <v>0</v>
          </cell>
        </row>
        <row r="29">
          <cell r="X29">
            <v>35796</v>
          </cell>
          <cell r="Y29">
            <v>15.57</v>
          </cell>
          <cell r="Z29">
            <v>0</v>
          </cell>
          <cell r="AA29">
            <v>15.57</v>
          </cell>
        </row>
        <row r="30">
          <cell r="A30">
            <v>35827</v>
          </cell>
          <cell r="B30">
            <v>2.2</v>
          </cell>
          <cell r="C30">
            <v>0</v>
          </cell>
          <cell r="D30">
            <v>2.2</v>
          </cell>
        </row>
        <row r="30">
          <cell r="F30">
            <v>35827</v>
          </cell>
          <cell r="G30">
            <v>15.5</v>
          </cell>
          <cell r="H30">
            <v>0</v>
          </cell>
          <cell r="I30">
            <v>15.5</v>
          </cell>
        </row>
        <row r="30">
          <cell r="P30">
            <v>35827</v>
          </cell>
        </row>
        <row r="30">
          <cell r="R30">
            <v>1.23</v>
          </cell>
          <cell r="S30">
            <v>1.58612717284</v>
          </cell>
          <cell r="T30">
            <v>1.23</v>
          </cell>
          <cell r="U30">
            <v>1.58612717284</v>
          </cell>
          <cell r="V30">
            <v>0</v>
          </cell>
        </row>
        <row r="30">
          <cell r="X30">
            <v>35827</v>
          </cell>
          <cell r="Y30">
            <v>13.42</v>
          </cell>
          <cell r="Z30">
            <v>0</v>
          </cell>
          <cell r="AA30">
            <v>13.42</v>
          </cell>
        </row>
        <row r="31">
          <cell r="A31">
            <v>35855</v>
          </cell>
          <cell r="B31">
            <v>2.34</v>
          </cell>
          <cell r="C31">
            <v>0</v>
          </cell>
          <cell r="D31">
            <v>2.34</v>
          </cell>
        </row>
        <row r="31">
          <cell r="F31">
            <v>35855</v>
          </cell>
          <cell r="G31">
            <v>15.7</v>
          </cell>
          <cell r="H31">
            <v>0</v>
          </cell>
          <cell r="I31">
            <v>15.7</v>
          </cell>
        </row>
        <row r="31">
          <cell r="P31">
            <v>35855</v>
          </cell>
        </row>
        <row r="31">
          <cell r="R31">
            <v>1.42</v>
          </cell>
          <cell r="S31">
            <v>1.736745594558</v>
          </cell>
          <cell r="T31">
            <v>1.42</v>
          </cell>
          <cell r="U31">
            <v>1.736745594558</v>
          </cell>
          <cell r="V31">
            <v>0</v>
          </cell>
        </row>
        <row r="31">
          <cell r="X31">
            <v>35855</v>
          </cell>
          <cell r="Y31">
            <v>13.77</v>
          </cell>
          <cell r="Z31">
            <v>0</v>
          </cell>
          <cell r="AA31">
            <v>13.77</v>
          </cell>
        </row>
        <row r="32">
          <cell r="A32">
            <v>35886</v>
          </cell>
          <cell r="B32">
            <v>2.14</v>
          </cell>
          <cell r="C32">
            <v>0</v>
          </cell>
          <cell r="D32">
            <v>2.14</v>
          </cell>
        </row>
        <row r="32">
          <cell r="F32">
            <v>35886</v>
          </cell>
          <cell r="G32">
            <v>15.48</v>
          </cell>
          <cell r="H32">
            <v>0</v>
          </cell>
          <cell r="I32">
            <v>15.48</v>
          </cell>
        </row>
        <row r="32">
          <cell r="P32">
            <v>35886</v>
          </cell>
        </row>
        <row r="32">
          <cell r="R32">
            <v>1.53</v>
          </cell>
          <cell r="S32">
            <v>1.73608382816</v>
          </cell>
          <cell r="T32">
            <v>1.53</v>
          </cell>
          <cell r="U32">
            <v>1.73608382816</v>
          </cell>
          <cell r="V32">
            <v>0</v>
          </cell>
        </row>
        <row r="32">
          <cell r="X32">
            <v>35886</v>
          </cell>
          <cell r="Y32">
            <v>13.99</v>
          </cell>
          <cell r="Z32">
            <v>0</v>
          </cell>
          <cell r="AA32">
            <v>13.99</v>
          </cell>
        </row>
        <row r="33">
          <cell r="A33">
            <v>35916</v>
          </cell>
          <cell r="B33">
            <v>2.11</v>
          </cell>
          <cell r="C33">
            <v>0</v>
          </cell>
          <cell r="D33">
            <v>2.11</v>
          </cell>
        </row>
        <row r="33">
          <cell r="F33">
            <v>35916</v>
          </cell>
          <cell r="G33">
            <v>15.23</v>
          </cell>
          <cell r="H33">
            <v>0</v>
          </cell>
          <cell r="I33">
            <v>15.23</v>
          </cell>
        </row>
        <row r="33">
          <cell r="P33">
            <v>35916</v>
          </cell>
        </row>
        <row r="33">
          <cell r="R33">
            <v>1.25</v>
          </cell>
          <cell r="S33">
            <v>2.231435446317</v>
          </cell>
          <cell r="T33">
            <v>1.25</v>
          </cell>
          <cell r="U33">
            <v>2.231435446317</v>
          </cell>
          <cell r="V33">
            <v>0</v>
          </cell>
        </row>
        <row r="33">
          <cell r="X33">
            <v>35916</v>
          </cell>
          <cell r="Y33">
            <v>14.12</v>
          </cell>
          <cell r="Z33">
            <v>0</v>
          </cell>
          <cell r="AA33">
            <v>14.12</v>
          </cell>
        </row>
        <row r="34">
          <cell r="A34">
            <v>35947</v>
          </cell>
          <cell r="B34">
            <v>2.41</v>
          </cell>
          <cell r="C34">
            <v>0</v>
          </cell>
          <cell r="D34">
            <v>2.41</v>
          </cell>
        </row>
        <row r="34">
          <cell r="F34">
            <v>35947</v>
          </cell>
          <cell r="G34">
            <v>14.26</v>
          </cell>
          <cell r="H34">
            <v>0</v>
          </cell>
          <cell r="I34">
            <v>14.26</v>
          </cell>
        </row>
        <row r="34">
          <cell r="P34">
            <v>35947</v>
          </cell>
        </row>
        <row r="34">
          <cell r="R34">
            <v>1.43</v>
          </cell>
          <cell r="S34">
            <v>1.9231539525795</v>
          </cell>
          <cell r="T34">
            <v>1.43</v>
          </cell>
          <cell r="U34">
            <v>1.9231539525795</v>
          </cell>
          <cell r="V34">
            <v>0</v>
          </cell>
        </row>
        <row r="34">
          <cell r="X34">
            <v>35947</v>
          </cell>
          <cell r="Y34">
            <v>11.88</v>
          </cell>
          <cell r="Z34">
            <v>0</v>
          </cell>
          <cell r="AA34">
            <v>11.88</v>
          </cell>
        </row>
        <row r="35">
          <cell r="A35">
            <v>35977</v>
          </cell>
          <cell r="B35">
            <v>1.85</v>
          </cell>
          <cell r="C35">
            <v>0</v>
          </cell>
          <cell r="D35">
            <v>1.85</v>
          </cell>
        </row>
        <row r="35">
          <cell r="F35">
            <v>35977</v>
          </cell>
          <cell r="G35">
            <v>14.26</v>
          </cell>
          <cell r="H35">
            <v>0</v>
          </cell>
          <cell r="I35">
            <v>14.26</v>
          </cell>
        </row>
        <row r="35">
          <cell r="P35">
            <v>35977</v>
          </cell>
        </row>
        <row r="35">
          <cell r="R35">
            <v>1.42</v>
          </cell>
          <cell r="S35">
            <v>1.84202878211355</v>
          </cell>
          <cell r="T35">
            <v>1.42</v>
          </cell>
          <cell r="U35">
            <v>1.84202878211355</v>
          </cell>
          <cell r="V35">
            <v>0</v>
          </cell>
        </row>
        <row r="35">
          <cell r="X35">
            <v>35977</v>
          </cell>
          <cell r="Y35">
            <v>12.55</v>
          </cell>
          <cell r="Z35">
            <v>0</v>
          </cell>
          <cell r="AA35">
            <v>12.55</v>
          </cell>
        </row>
        <row r="36">
          <cell r="A36">
            <v>36008</v>
          </cell>
          <cell r="B36">
            <v>1.68</v>
          </cell>
          <cell r="C36">
            <v>0</v>
          </cell>
          <cell r="D36">
            <v>1.68</v>
          </cell>
        </row>
        <row r="36">
          <cell r="F36">
            <v>36008</v>
          </cell>
          <cell r="G36">
            <v>13.38</v>
          </cell>
          <cell r="H36">
            <v>0</v>
          </cell>
          <cell r="I36">
            <v>13.38</v>
          </cell>
        </row>
        <row r="36">
          <cell r="P36">
            <v>36008</v>
          </cell>
        </row>
        <row r="36">
          <cell r="R36">
            <v>0.94</v>
          </cell>
          <cell r="S36">
            <v>2.04500394768</v>
          </cell>
          <cell r="T36">
            <v>0.94</v>
          </cell>
          <cell r="U36">
            <v>2.04500394768</v>
          </cell>
          <cell r="V36">
            <v>0</v>
          </cell>
        </row>
        <row r="36">
          <cell r="X36">
            <v>36008</v>
          </cell>
          <cell r="Y36">
            <v>11.95</v>
          </cell>
          <cell r="Z36">
            <v>0</v>
          </cell>
          <cell r="AA36">
            <v>11.95</v>
          </cell>
        </row>
        <row r="37">
          <cell r="A37">
            <v>36039</v>
          </cell>
          <cell r="B37">
            <v>2.2</v>
          </cell>
          <cell r="C37">
            <v>0</v>
          </cell>
          <cell r="D37">
            <v>2.2</v>
          </cell>
        </row>
        <row r="37">
          <cell r="F37">
            <v>36039</v>
          </cell>
          <cell r="G37">
            <v>16.17</v>
          </cell>
          <cell r="H37">
            <v>0</v>
          </cell>
          <cell r="I37">
            <v>16.17</v>
          </cell>
        </row>
        <row r="37">
          <cell r="P37">
            <v>36039</v>
          </cell>
        </row>
        <row r="37">
          <cell r="R37">
            <v>1.6</v>
          </cell>
          <cell r="S37">
            <v>1.72956860548468</v>
          </cell>
          <cell r="T37">
            <v>1.6</v>
          </cell>
          <cell r="U37">
            <v>1.72956860548468</v>
          </cell>
          <cell r="V37">
            <v>0</v>
          </cell>
        </row>
        <row r="37">
          <cell r="X37">
            <v>36039</v>
          </cell>
          <cell r="Y37">
            <v>14.78</v>
          </cell>
          <cell r="Z37">
            <v>0</v>
          </cell>
          <cell r="AA37">
            <v>14.78</v>
          </cell>
        </row>
        <row r="38">
          <cell r="A38">
            <v>36069</v>
          </cell>
          <cell r="B38">
            <v>1.83</v>
          </cell>
          <cell r="C38">
            <v>0</v>
          </cell>
          <cell r="D38">
            <v>1.83</v>
          </cell>
        </row>
        <row r="38">
          <cell r="F38">
            <v>36069</v>
          </cell>
          <cell r="G38">
            <v>14.45</v>
          </cell>
          <cell r="H38">
            <v>0</v>
          </cell>
          <cell r="I38">
            <v>14.45</v>
          </cell>
        </row>
        <row r="38">
          <cell r="P38">
            <v>36069</v>
          </cell>
        </row>
        <row r="38">
          <cell r="R38">
            <v>1.53</v>
          </cell>
          <cell r="S38">
            <v>2.00376849537457</v>
          </cell>
          <cell r="T38">
            <v>1.53</v>
          </cell>
          <cell r="U38">
            <v>2.00376849537457</v>
          </cell>
          <cell r="V38">
            <v>0</v>
          </cell>
        </row>
        <row r="38">
          <cell r="X38">
            <v>36069</v>
          </cell>
          <cell r="Y38">
            <v>12.31</v>
          </cell>
          <cell r="Z38">
            <v>0</v>
          </cell>
          <cell r="AA38">
            <v>12.31</v>
          </cell>
        </row>
        <row r="39">
          <cell r="A39">
            <v>36100</v>
          </cell>
          <cell r="B39">
            <v>1.66</v>
          </cell>
          <cell r="C39">
            <v>0</v>
          </cell>
          <cell r="D39">
            <v>1.66</v>
          </cell>
        </row>
        <row r="39">
          <cell r="F39">
            <v>36100</v>
          </cell>
          <cell r="G39">
            <v>11.26</v>
          </cell>
          <cell r="H39">
            <v>0</v>
          </cell>
          <cell r="I39">
            <v>11.26</v>
          </cell>
        </row>
        <row r="39">
          <cell r="P39">
            <v>36100</v>
          </cell>
        </row>
        <row r="39">
          <cell r="R39">
            <v>1.61</v>
          </cell>
          <cell r="S39">
            <v>2.7802355</v>
          </cell>
          <cell r="T39">
            <v>1.61</v>
          </cell>
          <cell r="U39">
            <v>2.7802355</v>
          </cell>
          <cell r="V39">
            <v>0</v>
          </cell>
        </row>
        <row r="39">
          <cell r="X39">
            <v>36100</v>
          </cell>
          <cell r="Y39">
            <v>10.06</v>
          </cell>
          <cell r="Z39">
            <v>0</v>
          </cell>
          <cell r="AA39">
            <v>10.06</v>
          </cell>
        </row>
        <row r="40">
          <cell r="A40">
            <v>36130</v>
          </cell>
          <cell r="B40">
            <v>1.94</v>
          </cell>
          <cell r="C40">
            <v>0</v>
          </cell>
          <cell r="D40">
            <v>1.94</v>
          </cell>
        </row>
        <row r="40">
          <cell r="F40">
            <v>36130</v>
          </cell>
          <cell r="G40">
            <v>12.09</v>
          </cell>
          <cell r="H40">
            <v>0</v>
          </cell>
          <cell r="I40">
            <v>12.09</v>
          </cell>
        </row>
        <row r="40">
          <cell r="P40">
            <v>36130</v>
          </cell>
        </row>
        <row r="40">
          <cell r="R40">
            <v>1.72</v>
          </cell>
          <cell r="S40">
            <v>2.93203272003443</v>
          </cell>
          <cell r="T40">
            <v>1.72</v>
          </cell>
          <cell r="U40">
            <v>2.93203272003443</v>
          </cell>
          <cell r="V40">
            <v>0</v>
          </cell>
        </row>
        <row r="40">
          <cell r="X40">
            <v>36130</v>
          </cell>
          <cell r="Y40">
            <v>10.57</v>
          </cell>
          <cell r="Z40">
            <v>0</v>
          </cell>
          <cell r="AA40">
            <v>10.57</v>
          </cell>
        </row>
        <row r="41">
          <cell r="A41">
            <v>36161</v>
          </cell>
          <cell r="B41">
            <v>1.82</v>
          </cell>
          <cell r="C41">
            <v>0</v>
          </cell>
          <cell r="D41">
            <v>1.82</v>
          </cell>
        </row>
        <row r="41">
          <cell r="F41">
            <v>36161</v>
          </cell>
          <cell r="G41">
            <v>12.76</v>
          </cell>
          <cell r="H41">
            <v>0</v>
          </cell>
          <cell r="I41">
            <v>12.76</v>
          </cell>
        </row>
        <row r="41">
          <cell r="P41">
            <v>36161</v>
          </cell>
        </row>
        <row r="41">
          <cell r="R41">
            <v>1.58</v>
          </cell>
          <cell r="S41">
            <v>2.38659</v>
          </cell>
          <cell r="T41">
            <v>1.58</v>
          </cell>
          <cell r="U41">
            <v>2.38659</v>
          </cell>
          <cell r="V41">
            <v>0</v>
          </cell>
        </row>
        <row r="41">
          <cell r="X41">
            <v>36161</v>
          </cell>
          <cell r="Y41">
            <v>11.47</v>
          </cell>
          <cell r="Z41">
            <v>0</v>
          </cell>
          <cell r="AA41">
            <v>11.47</v>
          </cell>
        </row>
        <row r="42">
          <cell r="A42">
            <v>36192</v>
          </cell>
          <cell r="B42">
            <v>1.66</v>
          </cell>
          <cell r="C42">
            <v>0</v>
          </cell>
          <cell r="D42">
            <v>1.66</v>
          </cell>
        </row>
        <row r="42">
          <cell r="F42">
            <v>36192</v>
          </cell>
          <cell r="G42">
            <v>12.28</v>
          </cell>
          <cell r="H42">
            <v>0</v>
          </cell>
          <cell r="I42">
            <v>12.28</v>
          </cell>
        </row>
        <row r="42">
          <cell r="P42">
            <v>36192</v>
          </cell>
        </row>
        <row r="42">
          <cell r="R42">
            <v>1.51</v>
          </cell>
          <cell r="S42">
            <v>2.279345</v>
          </cell>
          <cell r="T42">
            <v>1.51</v>
          </cell>
          <cell r="U42">
            <v>2.279345</v>
          </cell>
          <cell r="V42">
            <v>0</v>
          </cell>
        </row>
        <row r="42">
          <cell r="X42">
            <v>36192</v>
          </cell>
          <cell r="Y42">
            <v>10.48</v>
          </cell>
          <cell r="Z42">
            <v>0</v>
          </cell>
          <cell r="AA42">
            <v>10.48</v>
          </cell>
        </row>
        <row r="43">
          <cell r="A43">
            <v>36220</v>
          </cell>
          <cell r="B43">
            <v>2</v>
          </cell>
          <cell r="C43">
            <v>0</v>
          </cell>
          <cell r="D43">
            <v>2</v>
          </cell>
        </row>
        <row r="43">
          <cell r="F43">
            <v>36220</v>
          </cell>
          <cell r="G43">
            <v>16.76</v>
          </cell>
          <cell r="H43">
            <v>0</v>
          </cell>
          <cell r="I43">
            <v>16.76</v>
          </cell>
        </row>
        <row r="43">
          <cell r="P43">
            <v>36220</v>
          </cell>
        </row>
        <row r="43">
          <cell r="R43">
            <v>1.57</v>
          </cell>
          <cell r="S43">
            <v>2.364891</v>
          </cell>
          <cell r="T43">
            <v>1.57</v>
          </cell>
          <cell r="U43">
            <v>2.364891</v>
          </cell>
          <cell r="V43">
            <v>0</v>
          </cell>
        </row>
        <row r="43">
          <cell r="X43">
            <v>36220</v>
          </cell>
          <cell r="Y43">
            <v>15.09</v>
          </cell>
          <cell r="Z43">
            <v>0</v>
          </cell>
          <cell r="AA43">
            <v>15.09</v>
          </cell>
        </row>
        <row r="44">
          <cell r="A44">
            <v>36251</v>
          </cell>
          <cell r="B44">
            <v>2.25</v>
          </cell>
          <cell r="C44">
            <v>0</v>
          </cell>
          <cell r="D44">
            <v>2.25</v>
          </cell>
        </row>
        <row r="44">
          <cell r="F44">
            <v>36251</v>
          </cell>
          <cell r="G44">
            <v>18.66</v>
          </cell>
          <cell r="H44">
            <v>0</v>
          </cell>
          <cell r="I44">
            <v>18.66</v>
          </cell>
        </row>
        <row r="44">
          <cell r="P44">
            <v>36251</v>
          </cell>
        </row>
        <row r="44">
          <cell r="R44">
            <v>2</v>
          </cell>
          <cell r="S44">
            <v>2.913</v>
          </cell>
          <cell r="T44">
            <v>2</v>
          </cell>
          <cell r="U44">
            <v>2.913</v>
          </cell>
          <cell r="V44">
            <v>0</v>
          </cell>
        </row>
        <row r="44">
          <cell r="X44">
            <v>36251</v>
          </cell>
          <cell r="Y44">
            <v>16.71</v>
          </cell>
          <cell r="Z44">
            <v>0</v>
          </cell>
          <cell r="AA44">
            <v>16.71</v>
          </cell>
        </row>
        <row r="45">
          <cell r="A45">
            <v>36281</v>
          </cell>
          <cell r="B45">
            <v>2.29</v>
          </cell>
          <cell r="C45">
            <v>0</v>
          </cell>
          <cell r="D45">
            <v>2.29</v>
          </cell>
        </row>
        <row r="45">
          <cell r="F45">
            <v>36281</v>
          </cell>
          <cell r="G45">
            <v>16.84</v>
          </cell>
          <cell r="H45">
            <v>0</v>
          </cell>
          <cell r="I45">
            <v>16.84</v>
          </cell>
        </row>
        <row r="45">
          <cell r="P45">
            <v>36281</v>
          </cell>
        </row>
        <row r="45">
          <cell r="R45">
            <v>1.99</v>
          </cell>
          <cell r="S45">
            <v>2.932066</v>
          </cell>
          <cell r="T45">
            <v>1.99</v>
          </cell>
          <cell r="U45">
            <v>2.932066</v>
          </cell>
          <cell r="V45">
            <v>0</v>
          </cell>
        </row>
        <row r="45">
          <cell r="X45">
            <v>36281</v>
          </cell>
          <cell r="Y45">
            <v>14.75</v>
          </cell>
          <cell r="Z45">
            <v>0</v>
          </cell>
          <cell r="AA45">
            <v>14.75</v>
          </cell>
        </row>
        <row r="46">
          <cell r="A46">
            <v>36312</v>
          </cell>
          <cell r="B46">
            <v>2.33</v>
          </cell>
          <cell r="C46">
            <v>0</v>
          </cell>
          <cell r="D46">
            <v>2.33</v>
          </cell>
        </row>
        <row r="46">
          <cell r="F46">
            <v>36312</v>
          </cell>
          <cell r="G46">
            <v>19.29</v>
          </cell>
          <cell r="H46">
            <v>0</v>
          </cell>
          <cell r="I46">
            <v>19.29</v>
          </cell>
        </row>
        <row r="46">
          <cell r="P46">
            <v>36312</v>
          </cell>
        </row>
        <row r="46">
          <cell r="R46">
            <v>1.96</v>
          </cell>
          <cell r="S46">
            <v>2.867676</v>
          </cell>
          <cell r="T46">
            <v>1.96</v>
          </cell>
          <cell r="U46">
            <v>2.867676</v>
          </cell>
          <cell r="V46">
            <v>0</v>
          </cell>
        </row>
        <row r="46">
          <cell r="X46">
            <v>36312</v>
          </cell>
          <cell r="Y46">
            <v>17.07</v>
          </cell>
          <cell r="Z46">
            <v>0</v>
          </cell>
          <cell r="AA46">
            <v>17.07</v>
          </cell>
        </row>
        <row r="47">
          <cell r="A47">
            <v>36342</v>
          </cell>
          <cell r="B47">
            <v>2.55</v>
          </cell>
          <cell r="C47">
            <v>0</v>
          </cell>
          <cell r="D47">
            <v>2.55</v>
          </cell>
        </row>
        <row r="47">
          <cell r="F47">
            <v>36342</v>
          </cell>
          <cell r="G47">
            <v>20.53</v>
          </cell>
          <cell r="H47">
            <v>0</v>
          </cell>
          <cell r="I47">
            <v>20.53</v>
          </cell>
        </row>
        <row r="47">
          <cell r="P47">
            <v>36342</v>
          </cell>
        </row>
        <row r="47">
          <cell r="R47">
            <v>2.19</v>
          </cell>
          <cell r="S47">
            <v>3.299454</v>
          </cell>
          <cell r="T47">
            <v>2.19</v>
          </cell>
          <cell r="U47">
            <v>3.299454</v>
          </cell>
          <cell r="V47">
            <v>0</v>
          </cell>
        </row>
        <row r="47">
          <cell r="X47">
            <v>36342</v>
          </cell>
          <cell r="Y47">
            <v>19.2</v>
          </cell>
          <cell r="Z47">
            <v>0</v>
          </cell>
          <cell r="AA47">
            <v>19.2</v>
          </cell>
        </row>
        <row r="48">
          <cell r="A48">
            <v>36373</v>
          </cell>
          <cell r="B48">
            <v>2.87</v>
          </cell>
          <cell r="C48">
            <v>0</v>
          </cell>
          <cell r="D48">
            <v>2.87</v>
          </cell>
        </row>
        <row r="48">
          <cell r="F48">
            <v>36373</v>
          </cell>
          <cell r="G48">
            <v>22.11</v>
          </cell>
          <cell r="H48">
            <v>0</v>
          </cell>
          <cell r="I48">
            <v>22.11</v>
          </cell>
        </row>
        <row r="48">
          <cell r="P48">
            <v>36373</v>
          </cell>
        </row>
        <row r="48">
          <cell r="R48">
            <v>2.38</v>
          </cell>
          <cell r="S48">
            <v>3.552626</v>
          </cell>
          <cell r="T48">
            <v>2.38</v>
          </cell>
          <cell r="U48">
            <v>3.552626</v>
          </cell>
          <cell r="V48">
            <v>0</v>
          </cell>
        </row>
        <row r="48">
          <cell r="X48">
            <v>36373</v>
          </cell>
          <cell r="Y48">
            <v>21.03</v>
          </cell>
          <cell r="Z48">
            <v>0</v>
          </cell>
          <cell r="AA48">
            <v>21.03</v>
          </cell>
        </row>
        <row r="49">
          <cell r="A49">
            <v>36404</v>
          </cell>
          <cell r="B49">
            <v>2.32</v>
          </cell>
          <cell r="C49">
            <v>0</v>
          </cell>
          <cell r="D49">
            <v>2.32</v>
          </cell>
        </row>
        <row r="49">
          <cell r="F49">
            <v>36404</v>
          </cell>
          <cell r="G49">
            <v>24.51</v>
          </cell>
          <cell r="H49">
            <v>0</v>
          </cell>
          <cell r="I49">
            <v>24.51</v>
          </cell>
        </row>
        <row r="49">
          <cell r="P49">
            <v>36404</v>
          </cell>
        </row>
        <row r="49">
          <cell r="R49">
            <v>2.35</v>
          </cell>
          <cell r="S49">
            <v>3.44792</v>
          </cell>
          <cell r="T49">
            <v>2.35</v>
          </cell>
          <cell r="U49">
            <v>3.44792</v>
          </cell>
          <cell r="V49">
            <v>0</v>
          </cell>
        </row>
        <row r="49">
          <cell r="X49">
            <v>36404</v>
          </cell>
          <cell r="Y49">
            <v>22.81</v>
          </cell>
          <cell r="Z49">
            <v>0</v>
          </cell>
          <cell r="AA49">
            <v>22.81</v>
          </cell>
        </row>
        <row r="50">
          <cell r="A50">
            <v>36434</v>
          </cell>
          <cell r="B50">
            <v>2.75</v>
          </cell>
          <cell r="C50">
            <v>0</v>
          </cell>
          <cell r="D50">
            <v>2.75</v>
          </cell>
        </row>
        <row r="50">
          <cell r="F50">
            <v>36434</v>
          </cell>
          <cell r="G50">
            <v>21.75</v>
          </cell>
          <cell r="H50">
            <v>0</v>
          </cell>
          <cell r="I50">
            <v>21.75</v>
          </cell>
        </row>
        <row r="50">
          <cell r="P50">
            <v>36434</v>
          </cell>
        </row>
        <row r="50">
          <cell r="R50">
            <v>2.77</v>
          </cell>
          <cell r="S50">
            <v>4.073562</v>
          </cell>
          <cell r="T50">
            <v>2.77</v>
          </cell>
          <cell r="U50">
            <v>4.073562</v>
          </cell>
          <cell r="V50">
            <v>0</v>
          </cell>
        </row>
        <row r="50">
          <cell r="X50">
            <v>36434</v>
          </cell>
          <cell r="Y50">
            <v>21.15</v>
          </cell>
          <cell r="Z50">
            <v>0</v>
          </cell>
          <cell r="AA50">
            <v>21.15</v>
          </cell>
        </row>
        <row r="51">
          <cell r="A51">
            <v>36465</v>
          </cell>
          <cell r="B51">
            <v>2.17</v>
          </cell>
          <cell r="C51">
            <v>0</v>
          </cell>
          <cell r="D51">
            <v>2.17</v>
          </cell>
        </row>
        <row r="51">
          <cell r="F51">
            <v>36465</v>
          </cell>
          <cell r="G51">
            <v>24.59</v>
          </cell>
          <cell r="H51">
            <v>0</v>
          </cell>
          <cell r="I51">
            <v>24.59</v>
          </cell>
        </row>
        <row r="51">
          <cell r="P51">
            <v>36465</v>
          </cell>
        </row>
        <row r="51">
          <cell r="R51">
            <v>1.92</v>
          </cell>
          <cell r="S51">
            <v>2.829696</v>
          </cell>
          <cell r="T51">
            <v>1.92</v>
          </cell>
          <cell r="U51">
            <v>2.829696</v>
          </cell>
          <cell r="V51">
            <v>0</v>
          </cell>
        </row>
        <row r="51">
          <cell r="X51">
            <v>36465</v>
          </cell>
          <cell r="Y51">
            <v>24.39</v>
          </cell>
          <cell r="Z51">
            <v>0</v>
          </cell>
          <cell r="AA51">
            <v>24.39</v>
          </cell>
        </row>
        <row r="52">
          <cell r="A52">
            <v>36495</v>
          </cell>
          <cell r="B52">
            <v>2.3</v>
          </cell>
          <cell r="C52">
            <v>0</v>
          </cell>
          <cell r="D52">
            <v>2.3</v>
          </cell>
        </row>
        <row r="52">
          <cell r="F52">
            <v>36495</v>
          </cell>
          <cell r="G52">
            <v>25.6</v>
          </cell>
          <cell r="H52">
            <v>0</v>
          </cell>
          <cell r="I52">
            <v>25.6</v>
          </cell>
        </row>
        <row r="52">
          <cell r="P52">
            <v>36495</v>
          </cell>
        </row>
        <row r="52">
          <cell r="R52">
            <v>1.94</v>
          </cell>
          <cell r="S52">
            <v>2.805434</v>
          </cell>
          <cell r="T52">
            <v>1.94</v>
          </cell>
          <cell r="U52">
            <v>2.805434</v>
          </cell>
          <cell r="V52">
            <v>0</v>
          </cell>
        </row>
        <row r="52">
          <cell r="X52">
            <v>36495</v>
          </cell>
          <cell r="Y52">
            <v>24.89</v>
          </cell>
          <cell r="Z52">
            <v>0</v>
          </cell>
          <cell r="AA52">
            <v>24.89</v>
          </cell>
        </row>
        <row r="53">
          <cell r="A53">
            <v>36526</v>
          </cell>
          <cell r="B53">
            <v>2.71</v>
          </cell>
          <cell r="C53">
            <v>0</v>
          </cell>
          <cell r="D53">
            <v>2.71</v>
          </cell>
        </row>
        <row r="53">
          <cell r="F53">
            <v>36526</v>
          </cell>
          <cell r="G53">
            <v>27.64</v>
          </cell>
          <cell r="H53">
            <v>0</v>
          </cell>
          <cell r="I53">
            <v>27.64</v>
          </cell>
        </row>
        <row r="53">
          <cell r="P53">
            <v>36526</v>
          </cell>
        </row>
        <row r="53">
          <cell r="R53">
            <v>2.18</v>
          </cell>
          <cell r="S53">
            <v>3.15446</v>
          </cell>
          <cell r="T53">
            <v>2.18</v>
          </cell>
          <cell r="U53">
            <v>3.15446</v>
          </cell>
          <cell r="V53">
            <v>0</v>
          </cell>
        </row>
        <row r="53">
          <cell r="X53">
            <v>36526</v>
          </cell>
          <cell r="Y53">
            <v>26.92</v>
          </cell>
          <cell r="Z53">
            <v>0</v>
          </cell>
          <cell r="AA53">
            <v>26.92</v>
          </cell>
        </row>
        <row r="54">
          <cell r="A54">
            <v>36557</v>
          </cell>
          <cell r="B54">
            <v>2.68</v>
          </cell>
          <cell r="C54">
            <v>0</v>
          </cell>
          <cell r="D54">
            <v>2.68</v>
          </cell>
        </row>
        <row r="54">
          <cell r="F54">
            <v>36557</v>
          </cell>
          <cell r="G54">
            <v>30.43</v>
          </cell>
          <cell r="H54">
            <v>0</v>
          </cell>
          <cell r="I54">
            <v>30.43</v>
          </cell>
        </row>
        <row r="54">
          <cell r="P54">
            <v>36557</v>
          </cell>
        </row>
        <row r="54">
          <cell r="R54">
            <v>2.3</v>
          </cell>
          <cell r="S54">
            <v>3.3279235338271</v>
          </cell>
          <cell r="T54">
            <v>2.3</v>
          </cell>
          <cell r="U54">
            <v>3.3279235338271</v>
          </cell>
          <cell r="V54">
            <v>0</v>
          </cell>
        </row>
        <row r="54">
          <cell r="X54">
            <v>36557</v>
          </cell>
          <cell r="Y54">
            <v>29.04</v>
          </cell>
          <cell r="Z54">
            <v>0</v>
          </cell>
          <cell r="AA54">
            <v>29.04</v>
          </cell>
        </row>
        <row r="55">
          <cell r="A55">
            <v>36586</v>
          </cell>
          <cell r="B55">
            <v>2.603</v>
          </cell>
          <cell r="C55">
            <v>0</v>
          </cell>
          <cell r="D55">
            <v>2.603</v>
          </cell>
        </row>
        <row r="55">
          <cell r="F55">
            <v>36586</v>
          </cell>
          <cell r="G55">
            <v>29.62</v>
          </cell>
          <cell r="H55">
            <v>0</v>
          </cell>
          <cell r="I55">
            <v>29.62</v>
          </cell>
        </row>
        <row r="55">
          <cell r="P55">
            <v>36586</v>
          </cell>
          <cell r="Q55">
            <v>-0.325</v>
          </cell>
          <cell r="R55">
            <v>2.278</v>
          </cell>
          <cell r="S55">
            <v>3.3003664</v>
          </cell>
          <cell r="T55">
            <v>2.278</v>
          </cell>
          <cell r="U55">
            <v>3.3003664</v>
          </cell>
          <cell r="V55">
            <v>0</v>
          </cell>
        </row>
        <row r="55">
          <cell r="X55">
            <v>36586</v>
          </cell>
          <cell r="Y55">
            <v>28.76</v>
          </cell>
          <cell r="Z55">
            <v>0</v>
          </cell>
          <cell r="AA55">
            <v>28.76</v>
          </cell>
        </row>
        <row r="56">
          <cell r="A56">
            <v>36617</v>
          </cell>
          <cell r="B56">
            <v>2.9</v>
          </cell>
          <cell r="C56">
            <v>0</v>
          </cell>
          <cell r="D56">
            <v>2.9</v>
          </cell>
        </row>
        <row r="56">
          <cell r="F56">
            <v>36617</v>
          </cell>
          <cell r="G56">
            <v>28</v>
          </cell>
          <cell r="H56">
            <v>0</v>
          </cell>
          <cell r="I56">
            <v>28</v>
          </cell>
        </row>
        <row r="56">
          <cell r="P56">
            <v>36617</v>
          </cell>
          <cell r="Q56">
            <v>-0.283</v>
          </cell>
          <cell r="R56">
            <v>2.617</v>
          </cell>
          <cell r="S56">
            <v>3.79141928693483</v>
          </cell>
          <cell r="T56">
            <v>2.617</v>
          </cell>
          <cell r="U56">
            <v>3.79141928693483</v>
          </cell>
          <cell r="V56">
            <v>0</v>
          </cell>
        </row>
        <row r="56">
          <cell r="X56">
            <v>36617</v>
          </cell>
          <cell r="Y56">
            <v>27.36</v>
          </cell>
          <cell r="Z56">
            <v>0</v>
          </cell>
          <cell r="AA56">
            <v>27.36</v>
          </cell>
        </row>
        <row r="57">
          <cell r="A57">
            <v>36647</v>
          </cell>
          <cell r="B57">
            <v>2.945</v>
          </cell>
          <cell r="C57">
            <v>0</v>
          </cell>
          <cell r="D57">
            <v>2.945</v>
          </cell>
        </row>
        <row r="57">
          <cell r="F57">
            <v>36647</v>
          </cell>
          <cell r="G57">
            <v>26.9</v>
          </cell>
          <cell r="H57">
            <v>0</v>
          </cell>
          <cell r="I57">
            <v>26.9</v>
          </cell>
        </row>
        <row r="57">
          <cell r="P57">
            <v>36647</v>
          </cell>
          <cell r="Q57">
            <v>-0.257</v>
          </cell>
          <cell r="R57">
            <v>2.688</v>
          </cell>
          <cell r="S57">
            <v>3.89147722236941</v>
          </cell>
          <cell r="T57">
            <v>2.688</v>
          </cell>
          <cell r="U57">
            <v>3.89147722236941</v>
          </cell>
          <cell r="V57">
            <v>0</v>
          </cell>
        </row>
        <row r="57">
          <cell r="X57">
            <v>36647</v>
          </cell>
          <cell r="Y57">
            <v>24.77</v>
          </cell>
          <cell r="Z57">
            <v>0</v>
          </cell>
          <cell r="AA57">
            <v>24.77</v>
          </cell>
        </row>
        <row r="58">
          <cell r="A58">
            <v>36678</v>
          </cell>
          <cell r="B58">
            <v>2.955</v>
          </cell>
          <cell r="C58">
            <v>0</v>
          </cell>
          <cell r="D58">
            <v>2.955</v>
          </cell>
        </row>
        <row r="58">
          <cell r="F58">
            <v>36678</v>
          </cell>
          <cell r="G58">
            <v>26.38</v>
          </cell>
          <cell r="H58">
            <v>0</v>
          </cell>
          <cell r="I58">
            <v>26.38</v>
          </cell>
        </row>
        <row r="58">
          <cell r="P58">
            <v>36678</v>
          </cell>
          <cell r="Q58">
            <v>-0.261</v>
          </cell>
          <cell r="R58">
            <v>2.694</v>
          </cell>
          <cell r="S58">
            <v>3.89637762977061</v>
          </cell>
          <cell r="T58">
            <v>2.694</v>
          </cell>
          <cell r="U58">
            <v>3.89637762977061</v>
          </cell>
          <cell r="V58">
            <v>0</v>
          </cell>
        </row>
        <row r="58">
          <cell r="X58">
            <v>36678</v>
          </cell>
          <cell r="Y58">
            <v>24.79</v>
          </cell>
          <cell r="Z58">
            <v>0</v>
          </cell>
          <cell r="AA58">
            <v>24.79</v>
          </cell>
        </row>
        <row r="59">
          <cell r="A59">
            <v>36708</v>
          </cell>
          <cell r="B59">
            <v>2.966</v>
          </cell>
          <cell r="C59">
            <v>0</v>
          </cell>
          <cell r="D59">
            <v>2.966</v>
          </cell>
        </row>
        <row r="59">
          <cell r="F59">
            <v>36708</v>
          </cell>
          <cell r="G59">
            <v>26.04</v>
          </cell>
          <cell r="H59">
            <v>0</v>
          </cell>
          <cell r="I59">
            <v>26.04</v>
          </cell>
        </row>
        <row r="59">
          <cell r="P59">
            <v>36708</v>
          </cell>
          <cell r="Q59">
            <v>-0.267</v>
          </cell>
          <cell r="R59">
            <v>2.699</v>
          </cell>
          <cell r="S59">
            <v>3.90159365925306</v>
          </cell>
          <cell r="T59">
            <v>2.699</v>
          </cell>
          <cell r="U59">
            <v>3.90159365925306</v>
          </cell>
          <cell r="V59">
            <v>0</v>
          </cell>
        </row>
        <row r="59">
          <cell r="X59">
            <v>36708</v>
          </cell>
          <cell r="Y59">
            <v>24.54</v>
          </cell>
          <cell r="Z59">
            <v>0</v>
          </cell>
          <cell r="AA59">
            <v>24.54</v>
          </cell>
        </row>
        <row r="60">
          <cell r="A60">
            <v>36739</v>
          </cell>
          <cell r="B60">
            <v>2.978</v>
          </cell>
          <cell r="C60">
            <v>0</v>
          </cell>
          <cell r="D60">
            <v>2.978</v>
          </cell>
        </row>
        <row r="60">
          <cell r="F60">
            <v>36739</v>
          </cell>
          <cell r="G60">
            <v>25.76</v>
          </cell>
          <cell r="H60">
            <v>0</v>
          </cell>
          <cell r="I60">
            <v>25.76</v>
          </cell>
        </row>
        <row r="60">
          <cell r="P60">
            <v>36739</v>
          </cell>
          <cell r="Q60">
            <v>-0.273</v>
          </cell>
          <cell r="R60">
            <v>2.705</v>
          </cell>
          <cell r="S60">
            <v>3.90717269545632</v>
          </cell>
          <cell r="T60">
            <v>2.705</v>
          </cell>
          <cell r="U60">
            <v>3.90717269545632</v>
          </cell>
          <cell r="V60">
            <v>0</v>
          </cell>
        </row>
        <row r="60">
          <cell r="X60">
            <v>36739</v>
          </cell>
          <cell r="Y60">
            <v>24.34</v>
          </cell>
          <cell r="Z60">
            <v>0</v>
          </cell>
          <cell r="AA60">
            <v>24.34</v>
          </cell>
        </row>
        <row r="61">
          <cell r="A61">
            <v>36770</v>
          </cell>
          <cell r="B61">
            <v>2.977</v>
          </cell>
          <cell r="C61">
            <v>0</v>
          </cell>
          <cell r="D61">
            <v>2.977</v>
          </cell>
        </row>
        <row r="61">
          <cell r="F61">
            <v>36770</v>
          </cell>
          <cell r="G61">
            <v>25.48</v>
          </cell>
          <cell r="H61">
            <v>0</v>
          </cell>
          <cell r="I61">
            <v>25.48</v>
          </cell>
        </row>
        <row r="61">
          <cell r="P61">
            <v>36770</v>
          </cell>
          <cell r="Q61">
            <v>-0.266</v>
          </cell>
          <cell r="R61">
            <v>2.711</v>
          </cell>
          <cell r="S61">
            <v>3.91274167490133</v>
          </cell>
          <cell r="T61">
            <v>2.711</v>
          </cell>
          <cell r="U61">
            <v>3.91274167490133</v>
          </cell>
          <cell r="V61">
            <v>0</v>
          </cell>
        </row>
        <row r="61">
          <cell r="X61">
            <v>36770</v>
          </cell>
          <cell r="Y61">
            <v>24.1</v>
          </cell>
          <cell r="Z61">
            <v>0</v>
          </cell>
          <cell r="AA61">
            <v>24.1</v>
          </cell>
        </row>
        <row r="62">
          <cell r="A62">
            <v>36800</v>
          </cell>
          <cell r="B62">
            <v>2.987</v>
          </cell>
          <cell r="C62">
            <v>0</v>
          </cell>
          <cell r="D62">
            <v>2.987</v>
          </cell>
        </row>
        <row r="62">
          <cell r="F62">
            <v>36800</v>
          </cell>
          <cell r="G62">
            <v>25.19</v>
          </cell>
          <cell r="H62">
            <v>0</v>
          </cell>
          <cell r="I62">
            <v>25.19</v>
          </cell>
        </row>
        <row r="62">
          <cell r="P62">
            <v>36800</v>
          </cell>
          <cell r="Q62">
            <v>-0.23</v>
          </cell>
          <cell r="R62">
            <v>2.757</v>
          </cell>
          <cell r="S62">
            <v>3.97608343843485</v>
          </cell>
          <cell r="T62">
            <v>2.757</v>
          </cell>
          <cell r="U62">
            <v>3.97608343843485</v>
          </cell>
          <cell r="V62">
            <v>0</v>
          </cell>
        </row>
        <row r="62">
          <cell r="X62">
            <v>36800</v>
          </cell>
          <cell r="Y62">
            <v>23.9</v>
          </cell>
          <cell r="Z62">
            <v>0</v>
          </cell>
          <cell r="AA62">
            <v>23.9</v>
          </cell>
        </row>
        <row r="63">
          <cell r="A63">
            <v>36831</v>
          </cell>
          <cell r="B63">
            <v>3.08</v>
          </cell>
          <cell r="C63">
            <v>0</v>
          </cell>
          <cell r="D63">
            <v>3.08</v>
          </cell>
        </row>
        <row r="63">
          <cell r="F63">
            <v>36831</v>
          </cell>
          <cell r="G63">
            <v>24.9</v>
          </cell>
          <cell r="H63">
            <v>0</v>
          </cell>
          <cell r="I63">
            <v>24.9</v>
          </cell>
        </row>
        <row r="63">
          <cell r="P63">
            <v>36831</v>
          </cell>
          <cell r="Q63">
            <v>-0.195</v>
          </cell>
          <cell r="R63">
            <v>2.885</v>
          </cell>
          <cell r="S63">
            <v>4.15747157755158</v>
          </cell>
          <cell r="T63">
            <v>2.885</v>
          </cell>
          <cell r="U63">
            <v>4.15747157755158</v>
          </cell>
          <cell r="V63">
            <v>0</v>
          </cell>
        </row>
        <row r="63">
          <cell r="X63">
            <v>36831</v>
          </cell>
          <cell r="Y63">
            <v>23.65</v>
          </cell>
          <cell r="Z63">
            <v>0</v>
          </cell>
          <cell r="AA63">
            <v>23.65</v>
          </cell>
        </row>
        <row r="64">
          <cell r="A64">
            <v>36861</v>
          </cell>
          <cell r="B64">
            <v>3.177</v>
          </cell>
          <cell r="C64">
            <v>0</v>
          </cell>
          <cell r="D64">
            <v>3.177</v>
          </cell>
        </row>
        <row r="64">
          <cell r="F64">
            <v>36861</v>
          </cell>
          <cell r="G64">
            <v>24.6</v>
          </cell>
          <cell r="H64">
            <v>0</v>
          </cell>
          <cell r="I64">
            <v>24.6</v>
          </cell>
        </row>
        <row r="64">
          <cell r="P64">
            <v>36861</v>
          </cell>
          <cell r="Q64">
            <v>-0.195</v>
          </cell>
          <cell r="R64">
            <v>2.982</v>
          </cell>
          <cell r="S64">
            <v>4.2940457299942</v>
          </cell>
          <cell r="T64">
            <v>2.982</v>
          </cell>
          <cell r="U64">
            <v>4.2940457299942</v>
          </cell>
          <cell r="V64">
            <v>0</v>
          </cell>
        </row>
        <row r="64">
          <cell r="X64">
            <v>36861</v>
          </cell>
          <cell r="Y64">
            <v>23.39</v>
          </cell>
          <cell r="Z64">
            <v>0</v>
          </cell>
          <cell r="AA64">
            <v>23.39</v>
          </cell>
        </row>
        <row r="65">
          <cell r="A65">
            <v>36892</v>
          </cell>
          <cell r="B65">
            <v>3.192</v>
          </cell>
          <cell r="C65">
            <v>0</v>
          </cell>
          <cell r="D65">
            <v>3.192</v>
          </cell>
        </row>
        <row r="65">
          <cell r="F65">
            <v>36892</v>
          </cell>
          <cell r="G65">
            <v>24.28</v>
          </cell>
          <cell r="H65">
            <v>0</v>
          </cell>
          <cell r="I65">
            <v>24.28</v>
          </cell>
        </row>
        <row r="65">
          <cell r="P65">
            <v>36892</v>
          </cell>
          <cell r="Q65">
            <v>-0.195</v>
          </cell>
          <cell r="R65">
            <v>2.997</v>
          </cell>
          <cell r="S65">
            <v>4.31222907014824</v>
          </cell>
          <cell r="T65">
            <v>2.997</v>
          </cell>
          <cell r="U65">
            <v>4.31222907014824</v>
          </cell>
          <cell r="V65">
            <v>0</v>
          </cell>
        </row>
        <row r="65">
          <cell r="X65">
            <v>36892</v>
          </cell>
          <cell r="Y65">
            <v>23.04</v>
          </cell>
          <cell r="Z65">
            <v>0</v>
          </cell>
          <cell r="AA65">
            <v>23.04</v>
          </cell>
        </row>
        <row r="66">
          <cell r="A66">
            <v>36923</v>
          </cell>
          <cell r="B66">
            <v>3.037</v>
          </cell>
          <cell r="C66">
            <v>0</v>
          </cell>
          <cell r="D66">
            <v>3.037</v>
          </cell>
        </row>
        <row r="66">
          <cell r="F66">
            <v>36923</v>
          </cell>
          <cell r="G66">
            <v>23.97</v>
          </cell>
          <cell r="H66">
            <v>0</v>
          </cell>
          <cell r="I66">
            <v>23.97</v>
          </cell>
        </row>
        <row r="66">
          <cell r="P66">
            <v>36923</v>
          </cell>
          <cell r="Q66">
            <v>-0.195</v>
          </cell>
          <cell r="R66">
            <v>2.842</v>
          </cell>
          <cell r="S66">
            <v>4.08588974757583</v>
          </cell>
          <cell r="T66">
            <v>2.842</v>
          </cell>
          <cell r="U66">
            <v>4.08588974757583</v>
          </cell>
          <cell r="V66">
            <v>0</v>
          </cell>
        </row>
        <row r="66">
          <cell r="X66">
            <v>36923</v>
          </cell>
          <cell r="Y66">
            <v>22.72</v>
          </cell>
          <cell r="Z66">
            <v>0</v>
          </cell>
          <cell r="AA66">
            <v>22.72</v>
          </cell>
        </row>
        <row r="67">
          <cell r="A67">
            <v>36951</v>
          </cell>
          <cell r="B67">
            <v>2.872</v>
          </cell>
          <cell r="C67">
            <v>0</v>
          </cell>
          <cell r="D67">
            <v>2.872</v>
          </cell>
        </row>
        <row r="67">
          <cell r="F67">
            <v>36951</v>
          </cell>
          <cell r="G67">
            <v>23.68</v>
          </cell>
          <cell r="H67">
            <v>0</v>
          </cell>
          <cell r="I67">
            <v>23.68</v>
          </cell>
        </row>
        <row r="67">
          <cell r="P67">
            <v>36951</v>
          </cell>
          <cell r="Q67">
            <v>-0.195</v>
          </cell>
          <cell r="R67">
            <v>2.677</v>
          </cell>
          <cell r="S67">
            <v>3.84582680785505</v>
          </cell>
          <cell r="T67">
            <v>2.677</v>
          </cell>
          <cell r="U67">
            <v>3.84582680785505</v>
          </cell>
          <cell r="V67">
            <v>0</v>
          </cell>
        </row>
        <row r="67">
          <cell r="X67">
            <v>36951</v>
          </cell>
          <cell r="Y67">
            <v>22.4</v>
          </cell>
          <cell r="Z67">
            <v>0</v>
          </cell>
          <cell r="AA67">
            <v>22.4</v>
          </cell>
        </row>
        <row r="68">
          <cell r="A68">
            <v>36982</v>
          </cell>
          <cell r="B68">
            <v>2.735</v>
          </cell>
          <cell r="C68">
            <v>0</v>
          </cell>
          <cell r="D68">
            <v>2.735</v>
          </cell>
        </row>
        <row r="68">
          <cell r="F68">
            <v>36982</v>
          </cell>
          <cell r="G68">
            <v>23.39</v>
          </cell>
          <cell r="H68">
            <v>0</v>
          </cell>
          <cell r="I68">
            <v>23.39</v>
          </cell>
        </row>
        <row r="68">
          <cell r="P68">
            <v>36982</v>
          </cell>
          <cell r="Q68">
            <v>-0.24</v>
          </cell>
          <cell r="R68">
            <v>2.495</v>
          </cell>
          <cell r="S68">
            <v>3.58144788225746</v>
          </cell>
          <cell r="T68">
            <v>2.495</v>
          </cell>
          <cell r="U68">
            <v>3.58144788225746</v>
          </cell>
          <cell r="V68">
            <v>0</v>
          </cell>
        </row>
        <row r="68">
          <cell r="X68">
            <v>36982</v>
          </cell>
          <cell r="Y68">
            <v>22.08</v>
          </cell>
          <cell r="Z68">
            <v>0</v>
          </cell>
          <cell r="AA68">
            <v>22.08</v>
          </cell>
        </row>
        <row r="69">
          <cell r="A69">
            <v>37012</v>
          </cell>
          <cell r="B69">
            <v>2.694</v>
          </cell>
          <cell r="C69">
            <v>0</v>
          </cell>
          <cell r="D69">
            <v>2.694</v>
          </cell>
        </row>
        <row r="69">
          <cell r="F69">
            <v>37012</v>
          </cell>
          <cell r="G69">
            <v>23.11</v>
          </cell>
          <cell r="H69">
            <v>0</v>
          </cell>
          <cell r="I69">
            <v>23.11</v>
          </cell>
        </row>
        <row r="69">
          <cell r="P69">
            <v>37012</v>
          </cell>
          <cell r="Q69">
            <v>-0.24</v>
          </cell>
          <cell r="R69">
            <v>2.454</v>
          </cell>
          <cell r="S69">
            <v>3.51995235497194</v>
          </cell>
          <cell r="T69">
            <v>2.454</v>
          </cell>
          <cell r="U69">
            <v>3.51995235497194</v>
          </cell>
          <cell r="V69">
            <v>0</v>
          </cell>
        </row>
        <row r="69">
          <cell r="X69">
            <v>37012</v>
          </cell>
          <cell r="Y69">
            <v>21.795</v>
          </cell>
          <cell r="Z69">
            <v>0</v>
          </cell>
          <cell r="AA69">
            <v>21.795</v>
          </cell>
        </row>
        <row r="70">
          <cell r="A70">
            <v>37043</v>
          </cell>
          <cell r="B70">
            <v>2.7</v>
          </cell>
          <cell r="C70">
            <v>0</v>
          </cell>
          <cell r="D70">
            <v>2.7</v>
          </cell>
        </row>
        <row r="70">
          <cell r="F70">
            <v>37043</v>
          </cell>
          <cell r="G70">
            <v>22.87</v>
          </cell>
          <cell r="H70">
            <v>0</v>
          </cell>
          <cell r="I70">
            <v>22.87</v>
          </cell>
        </row>
        <row r="70">
          <cell r="P70">
            <v>37043</v>
          </cell>
          <cell r="Q70">
            <v>-0.24</v>
          </cell>
          <cell r="R70">
            <v>2.46</v>
          </cell>
          <cell r="S70">
            <v>3.52582860567378</v>
          </cell>
          <cell r="T70">
            <v>2.46</v>
          </cell>
          <cell r="U70">
            <v>3.52582860567378</v>
          </cell>
          <cell r="V70">
            <v>0</v>
          </cell>
        </row>
        <row r="70">
          <cell r="X70">
            <v>37043</v>
          </cell>
          <cell r="Y70">
            <v>21.51</v>
          </cell>
          <cell r="Z70">
            <v>0</v>
          </cell>
          <cell r="AA70">
            <v>21.51</v>
          </cell>
        </row>
        <row r="71">
          <cell r="A71">
            <v>37073</v>
          </cell>
          <cell r="B71">
            <v>2.707</v>
          </cell>
          <cell r="C71">
            <v>0</v>
          </cell>
          <cell r="D71">
            <v>2.707</v>
          </cell>
        </row>
        <row r="71">
          <cell r="F71">
            <v>37073</v>
          </cell>
          <cell r="G71">
            <v>22.66</v>
          </cell>
          <cell r="H71">
            <v>0</v>
          </cell>
          <cell r="I71">
            <v>22.66</v>
          </cell>
        </row>
        <row r="71">
          <cell r="P71">
            <v>37073</v>
          </cell>
          <cell r="Q71">
            <v>-0.24</v>
          </cell>
          <cell r="R71">
            <v>2.467</v>
          </cell>
          <cell r="S71">
            <v>3.5330119307775</v>
          </cell>
          <cell r="T71">
            <v>2.467</v>
          </cell>
          <cell r="U71">
            <v>3.5330119307775</v>
          </cell>
          <cell r="V71">
            <v>0</v>
          </cell>
        </row>
        <row r="71">
          <cell r="X71">
            <v>37073</v>
          </cell>
          <cell r="Y71">
            <v>21.305</v>
          </cell>
          <cell r="Z71">
            <v>0</v>
          </cell>
          <cell r="AA71">
            <v>21.305</v>
          </cell>
        </row>
        <row r="72">
          <cell r="A72">
            <v>37104</v>
          </cell>
          <cell r="B72">
            <v>2.715</v>
          </cell>
          <cell r="C72">
            <v>0</v>
          </cell>
          <cell r="D72">
            <v>2.715</v>
          </cell>
        </row>
        <row r="72">
          <cell r="F72">
            <v>37104</v>
          </cell>
          <cell r="G72">
            <v>22.46</v>
          </cell>
          <cell r="H72">
            <v>0</v>
          </cell>
          <cell r="I72">
            <v>22.46</v>
          </cell>
        </row>
        <row r="72">
          <cell r="P72">
            <v>37104</v>
          </cell>
          <cell r="Q72">
            <v>-0.24</v>
          </cell>
          <cell r="R72">
            <v>2.475</v>
          </cell>
          <cell r="S72">
            <v>3.54118915993343</v>
          </cell>
          <cell r="T72">
            <v>2.475</v>
          </cell>
          <cell r="U72">
            <v>3.54118915993343</v>
          </cell>
          <cell r="V72">
            <v>0</v>
          </cell>
        </row>
        <row r="72">
          <cell r="X72">
            <v>37104</v>
          </cell>
          <cell r="Y72">
            <v>21.1</v>
          </cell>
          <cell r="Z72">
            <v>0</v>
          </cell>
          <cell r="AA72">
            <v>21.1</v>
          </cell>
        </row>
        <row r="73">
          <cell r="A73">
            <v>37135</v>
          </cell>
          <cell r="B73">
            <v>2.72</v>
          </cell>
          <cell r="C73">
            <v>0</v>
          </cell>
          <cell r="D73">
            <v>2.72</v>
          </cell>
        </row>
        <row r="73">
          <cell r="F73">
            <v>37135</v>
          </cell>
          <cell r="G73">
            <v>22.27</v>
          </cell>
          <cell r="H73">
            <v>0</v>
          </cell>
          <cell r="I73">
            <v>22.27</v>
          </cell>
        </row>
        <row r="73">
          <cell r="P73">
            <v>37135</v>
          </cell>
          <cell r="Q73">
            <v>-0.24</v>
          </cell>
          <cell r="R73">
            <v>2.48</v>
          </cell>
          <cell r="S73">
            <v>3.54499704182384</v>
          </cell>
          <cell r="T73">
            <v>2.48</v>
          </cell>
          <cell r="U73">
            <v>3.54499704182384</v>
          </cell>
          <cell r="V73">
            <v>0</v>
          </cell>
        </row>
        <row r="73">
          <cell r="X73">
            <v>37135</v>
          </cell>
          <cell r="Y73">
            <v>20.895</v>
          </cell>
          <cell r="Z73">
            <v>0</v>
          </cell>
          <cell r="AA73">
            <v>20.895</v>
          </cell>
        </row>
        <row r="74">
          <cell r="A74">
            <v>37165</v>
          </cell>
          <cell r="B74">
            <v>2.745</v>
          </cell>
          <cell r="C74">
            <v>0</v>
          </cell>
          <cell r="D74">
            <v>2.745</v>
          </cell>
        </row>
        <row r="74">
          <cell r="F74">
            <v>37165</v>
          </cell>
          <cell r="G74">
            <v>22.09</v>
          </cell>
          <cell r="H74">
            <v>0</v>
          </cell>
          <cell r="I74">
            <v>22.09</v>
          </cell>
        </row>
        <row r="74">
          <cell r="P74">
            <v>37165</v>
          </cell>
          <cell r="Q74">
            <v>-0.24</v>
          </cell>
          <cell r="R74">
            <v>2.505</v>
          </cell>
          <cell r="S74">
            <v>3.57753422675225</v>
          </cell>
          <cell r="T74">
            <v>2.505</v>
          </cell>
          <cell r="U74">
            <v>3.57753422675225</v>
          </cell>
          <cell r="V74">
            <v>0</v>
          </cell>
        </row>
        <row r="74">
          <cell r="X74">
            <v>37165</v>
          </cell>
          <cell r="Y74">
            <v>20.7433333333333</v>
          </cell>
          <cell r="Z74">
            <v>0</v>
          </cell>
          <cell r="AA74">
            <v>20.7433333333333</v>
          </cell>
        </row>
        <row r="75">
          <cell r="A75">
            <v>37196</v>
          </cell>
          <cell r="B75">
            <v>2.855</v>
          </cell>
          <cell r="C75">
            <v>0</v>
          </cell>
          <cell r="D75">
            <v>2.855</v>
          </cell>
        </row>
        <row r="75">
          <cell r="F75">
            <v>37196</v>
          </cell>
          <cell r="G75">
            <v>21.92</v>
          </cell>
          <cell r="H75">
            <v>0</v>
          </cell>
          <cell r="I75">
            <v>21.92</v>
          </cell>
        </row>
        <row r="75">
          <cell r="P75">
            <v>37196</v>
          </cell>
          <cell r="Q75">
            <v>-0.205</v>
          </cell>
          <cell r="R75">
            <v>2.65</v>
          </cell>
          <cell r="S75">
            <v>3.7813106758182</v>
          </cell>
          <cell r="T75">
            <v>2.65</v>
          </cell>
          <cell r="U75">
            <v>3.7813106758182</v>
          </cell>
          <cell r="V75">
            <v>0</v>
          </cell>
        </row>
        <row r="75">
          <cell r="X75">
            <v>37196</v>
          </cell>
          <cell r="Y75">
            <v>20.5916666666667</v>
          </cell>
          <cell r="Z75">
            <v>0</v>
          </cell>
          <cell r="AA75">
            <v>20.5916666666667</v>
          </cell>
        </row>
        <row r="76">
          <cell r="A76">
            <v>37226</v>
          </cell>
          <cell r="B76">
            <v>2.963</v>
          </cell>
          <cell r="C76">
            <v>0</v>
          </cell>
          <cell r="D76">
            <v>2.963</v>
          </cell>
        </row>
        <row r="76">
          <cell r="F76">
            <v>37226</v>
          </cell>
          <cell r="G76">
            <v>21.75</v>
          </cell>
          <cell r="H76">
            <v>0</v>
          </cell>
          <cell r="I76">
            <v>21.75</v>
          </cell>
        </row>
        <row r="76">
          <cell r="P76">
            <v>37226</v>
          </cell>
          <cell r="Q76">
            <v>-0.205</v>
          </cell>
          <cell r="R76">
            <v>2.758</v>
          </cell>
          <cell r="S76">
            <v>3.93206421590518</v>
          </cell>
          <cell r="T76">
            <v>2.758</v>
          </cell>
          <cell r="U76">
            <v>3.93206421590518</v>
          </cell>
          <cell r="V76">
            <v>0</v>
          </cell>
        </row>
        <row r="76">
          <cell r="X76">
            <v>37226</v>
          </cell>
          <cell r="Y76">
            <v>20.44</v>
          </cell>
          <cell r="Z76">
            <v>0</v>
          </cell>
          <cell r="AA76">
            <v>20.44</v>
          </cell>
        </row>
        <row r="77">
          <cell r="A77">
            <v>37257</v>
          </cell>
          <cell r="B77">
            <v>2.98</v>
          </cell>
          <cell r="C77">
            <v>0</v>
          </cell>
          <cell r="D77">
            <v>2.98</v>
          </cell>
        </row>
        <row r="77">
          <cell r="F77">
            <v>37257</v>
          </cell>
          <cell r="G77">
            <v>21.59</v>
          </cell>
          <cell r="H77">
            <v>0</v>
          </cell>
          <cell r="I77">
            <v>21.59</v>
          </cell>
        </row>
        <row r="77">
          <cell r="P77">
            <v>37257</v>
          </cell>
          <cell r="Q77">
            <v>-0.205</v>
          </cell>
          <cell r="R77">
            <v>2.775</v>
          </cell>
          <cell r="S77">
            <v>3.9528953946087</v>
          </cell>
          <cell r="T77">
            <v>2.775</v>
          </cell>
          <cell r="U77">
            <v>3.9528953946087</v>
          </cell>
          <cell r="V77">
            <v>0</v>
          </cell>
        </row>
        <row r="77">
          <cell r="X77">
            <v>37257</v>
          </cell>
          <cell r="Y77">
            <v>20.315</v>
          </cell>
          <cell r="Z77">
            <v>0</v>
          </cell>
          <cell r="AA77">
            <v>20.315</v>
          </cell>
        </row>
        <row r="78">
          <cell r="A78">
            <v>37288</v>
          </cell>
          <cell r="B78">
            <v>2.86</v>
          </cell>
          <cell r="C78">
            <v>0</v>
          </cell>
          <cell r="D78">
            <v>2.86</v>
          </cell>
        </row>
        <row r="78">
          <cell r="F78">
            <v>37288</v>
          </cell>
          <cell r="G78">
            <v>21.45</v>
          </cell>
          <cell r="H78">
            <v>0</v>
          </cell>
          <cell r="I78">
            <v>21.45</v>
          </cell>
        </row>
        <row r="78">
          <cell r="P78">
            <v>37288</v>
          </cell>
          <cell r="Q78">
            <v>-0.205</v>
          </cell>
          <cell r="R78">
            <v>2.655</v>
          </cell>
          <cell r="S78">
            <v>3.77883148426389</v>
          </cell>
          <cell r="T78">
            <v>2.655</v>
          </cell>
          <cell r="U78">
            <v>3.77883148426389</v>
          </cell>
          <cell r="V78">
            <v>0</v>
          </cell>
        </row>
        <row r="78">
          <cell r="X78">
            <v>37288</v>
          </cell>
          <cell r="Y78">
            <v>20.19</v>
          </cell>
          <cell r="Z78">
            <v>0</v>
          </cell>
          <cell r="AA78">
            <v>20.19</v>
          </cell>
        </row>
        <row r="79">
          <cell r="A79">
            <v>37316</v>
          </cell>
          <cell r="B79">
            <v>2.723</v>
          </cell>
          <cell r="C79">
            <v>0</v>
          </cell>
          <cell r="D79">
            <v>2.723</v>
          </cell>
        </row>
        <row r="79">
          <cell r="F79">
            <v>37316</v>
          </cell>
          <cell r="G79">
            <v>21.32</v>
          </cell>
          <cell r="H79">
            <v>0</v>
          </cell>
          <cell r="I79">
            <v>21.32</v>
          </cell>
        </row>
        <row r="79">
          <cell r="P79">
            <v>37316</v>
          </cell>
          <cell r="Q79">
            <v>-0.205</v>
          </cell>
          <cell r="R79">
            <v>2.518</v>
          </cell>
          <cell r="S79">
            <v>3.58116129321584</v>
          </cell>
          <cell r="T79">
            <v>2.518</v>
          </cell>
          <cell r="U79">
            <v>3.58116129321584</v>
          </cell>
          <cell r="V79">
            <v>0</v>
          </cell>
        </row>
        <row r="79">
          <cell r="X79">
            <v>37316</v>
          </cell>
          <cell r="Y79">
            <v>20.065</v>
          </cell>
          <cell r="Z79">
            <v>0</v>
          </cell>
          <cell r="AA79">
            <v>20.065</v>
          </cell>
        </row>
        <row r="80">
          <cell r="A80">
            <v>37347</v>
          </cell>
          <cell r="B80">
            <v>2.626</v>
          </cell>
          <cell r="C80">
            <v>0</v>
          </cell>
          <cell r="D80">
            <v>2.626</v>
          </cell>
        </row>
        <row r="80">
          <cell r="F80">
            <v>37347</v>
          </cell>
          <cell r="G80">
            <v>21.21</v>
          </cell>
          <cell r="H80">
            <v>0</v>
          </cell>
          <cell r="I80">
            <v>21.21</v>
          </cell>
        </row>
        <row r="80">
          <cell r="P80">
            <v>37347</v>
          </cell>
          <cell r="Q80">
            <v>-0.25</v>
          </cell>
          <cell r="R80">
            <v>2.376</v>
          </cell>
          <cell r="S80">
            <v>3.376512556362</v>
          </cell>
          <cell r="T80">
            <v>2.376</v>
          </cell>
          <cell r="U80">
            <v>3.376512556362</v>
          </cell>
          <cell r="V80">
            <v>0</v>
          </cell>
        </row>
        <row r="80">
          <cell r="X80">
            <v>37347</v>
          </cell>
          <cell r="Y80">
            <v>19.9433333333333</v>
          </cell>
          <cell r="Z80">
            <v>0</v>
          </cell>
          <cell r="AA80">
            <v>19.9433333333333</v>
          </cell>
        </row>
        <row r="81">
          <cell r="A81">
            <v>37377</v>
          </cell>
          <cell r="B81">
            <v>2.602</v>
          </cell>
          <cell r="C81">
            <v>0</v>
          </cell>
          <cell r="D81">
            <v>2.602</v>
          </cell>
        </row>
        <row r="81">
          <cell r="F81">
            <v>37377</v>
          </cell>
          <cell r="G81">
            <v>21.1</v>
          </cell>
          <cell r="H81">
            <v>0</v>
          </cell>
          <cell r="I81">
            <v>21.1</v>
          </cell>
        </row>
        <row r="81">
          <cell r="P81">
            <v>37377</v>
          </cell>
          <cell r="Q81">
            <v>-0.25</v>
          </cell>
          <cell r="R81">
            <v>2.352</v>
          </cell>
          <cell r="S81">
            <v>3.33968522826288</v>
          </cell>
          <cell r="T81">
            <v>2.352</v>
          </cell>
          <cell r="U81">
            <v>3.33968522826288</v>
          </cell>
          <cell r="V81">
            <v>0</v>
          </cell>
        </row>
        <row r="81">
          <cell r="X81">
            <v>37377</v>
          </cell>
          <cell r="Y81">
            <v>19.8216666666667</v>
          </cell>
          <cell r="Z81">
            <v>0</v>
          </cell>
          <cell r="AA81">
            <v>19.8216666666667</v>
          </cell>
        </row>
        <row r="82">
          <cell r="A82">
            <v>37408</v>
          </cell>
          <cell r="B82">
            <v>2.611</v>
          </cell>
          <cell r="C82">
            <v>0</v>
          </cell>
          <cell r="D82">
            <v>2.611</v>
          </cell>
        </row>
        <row r="82">
          <cell r="F82">
            <v>37408</v>
          </cell>
          <cell r="G82">
            <v>20.99</v>
          </cell>
          <cell r="H82">
            <v>0</v>
          </cell>
          <cell r="I82">
            <v>20.99</v>
          </cell>
        </row>
        <row r="82">
          <cell r="P82">
            <v>37408</v>
          </cell>
          <cell r="Q82">
            <v>-0.25</v>
          </cell>
          <cell r="R82">
            <v>2.361</v>
          </cell>
          <cell r="S82">
            <v>3.34963828120528</v>
          </cell>
          <cell r="T82">
            <v>2.361</v>
          </cell>
          <cell r="U82">
            <v>3.34963828120528</v>
          </cell>
          <cell r="V82">
            <v>0</v>
          </cell>
        </row>
        <row r="82">
          <cell r="X82">
            <v>37408</v>
          </cell>
          <cell r="Y82">
            <v>19.7</v>
          </cell>
          <cell r="Z82">
            <v>0</v>
          </cell>
          <cell r="AA82">
            <v>19.7</v>
          </cell>
        </row>
        <row r="83">
          <cell r="A83">
            <v>37438</v>
          </cell>
          <cell r="B83">
            <v>2.622</v>
          </cell>
          <cell r="C83">
            <v>0</v>
          </cell>
          <cell r="D83">
            <v>2.622</v>
          </cell>
        </row>
        <row r="83">
          <cell r="F83">
            <v>37438</v>
          </cell>
          <cell r="G83">
            <v>20.89</v>
          </cell>
          <cell r="H83">
            <v>0</v>
          </cell>
          <cell r="I83">
            <v>20.89</v>
          </cell>
        </row>
        <row r="83">
          <cell r="P83">
            <v>37438</v>
          </cell>
          <cell r="Q83">
            <v>-0.25</v>
          </cell>
          <cell r="R83">
            <v>2.372</v>
          </cell>
          <cell r="S83">
            <v>3.36256906675166</v>
          </cell>
          <cell r="T83">
            <v>2.372</v>
          </cell>
          <cell r="U83">
            <v>3.36256906675166</v>
          </cell>
          <cell r="V83">
            <v>0</v>
          </cell>
        </row>
        <row r="83">
          <cell r="X83">
            <v>37438</v>
          </cell>
          <cell r="Y83">
            <v>19.6233333333333</v>
          </cell>
          <cell r="Z83">
            <v>0</v>
          </cell>
          <cell r="AA83">
            <v>19.6233333333333</v>
          </cell>
        </row>
        <row r="84">
          <cell r="A84">
            <v>37469</v>
          </cell>
          <cell r="B84">
            <v>2.631</v>
          </cell>
          <cell r="C84">
            <v>0</v>
          </cell>
          <cell r="D84">
            <v>2.631</v>
          </cell>
        </row>
        <row r="84">
          <cell r="F84">
            <v>37469</v>
          </cell>
          <cell r="G84">
            <v>20.79</v>
          </cell>
          <cell r="H84">
            <v>0</v>
          </cell>
          <cell r="I84">
            <v>20.79</v>
          </cell>
        </row>
        <row r="84">
          <cell r="P84">
            <v>37469</v>
          </cell>
          <cell r="Q84">
            <v>-0.25</v>
          </cell>
          <cell r="R84">
            <v>2.381</v>
          </cell>
          <cell r="S84">
            <v>3.37268534705075</v>
          </cell>
          <cell r="T84">
            <v>2.381</v>
          </cell>
          <cell r="U84">
            <v>3.37268534705075</v>
          </cell>
          <cell r="V84">
            <v>0</v>
          </cell>
        </row>
        <row r="84">
          <cell r="X84">
            <v>37469</v>
          </cell>
          <cell r="Y84">
            <v>19.5466666666667</v>
          </cell>
          <cell r="Z84">
            <v>0</v>
          </cell>
          <cell r="AA84">
            <v>19.5466666666667</v>
          </cell>
        </row>
        <row r="85">
          <cell r="A85">
            <v>37500</v>
          </cell>
          <cell r="B85">
            <v>2.638</v>
          </cell>
          <cell r="C85">
            <v>0</v>
          </cell>
          <cell r="D85">
            <v>2.638</v>
          </cell>
        </row>
        <row r="85">
          <cell r="F85">
            <v>37500</v>
          </cell>
          <cell r="G85">
            <v>20.69</v>
          </cell>
          <cell r="H85">
            <v>0</v>
          </cell>
          <cell r="I85">
            <v>20.69</v>
          </cell>
        </row>
        <row r="85">
          <cell r="P85">
            <v>37500</v>
          </cell>
          <cell r="Q85">
            <v>-0.25</v>
          </cell>
          <cell r="R85">
            <v>2.388</v>
          </cell>
          <cell r="S85">
            <v>3.37996219478484</v>
          </cell>
          <cell r="T85">
            <v>2.388</v>
          </cell>
          <cell r="U85">
            <v>3.37996219478484</v>
          </cell>
          <cell r="V85">
            <v>0</v>
          </cell>
        </row>
        <row r="85">
          <cell r="X85">
            <v>37500</v>
          </cell>
          <cell r="Y85">
            <v>19.47</v>
          </cell>
          <cell r="Z85">
            <v>0</v>
          </cell>
          <cell r="AA85">
            <v>19.47</v>
          </cell>
        </row>
        <row r="86">
          <cell r="A86">
            <v>37530</v>
          </cell>
          <cell r="B86">
            <v>2.665</v>
          </cell>
          <cell r="C86">
            <v>0</v>
          </cell>
          <cell r="D86">
            <v>2.665</v>
          </cell>
        </row>
        <row r="86">
          <cell r="F86">
            <v>37530</v>
          </cell>
          <cell r="G86">
            <v>20.6066666666667</v>
          </cell>
          <cell r="H86">
            <v>0</v>
          </cell>
          <cell r="I86">
            <v>20.6066666666667</v>
          </cell>
        </row>
        <row r="86">
          <cell r="P86">
            <v>37530</v>
          </cell>
          <cell r="Q86">
            <v>-0.25</v>
          </cell>
          <cell r="R86">
            <v>2.415</v>
          </cell>
          <cell r="S86">
            <v>3.41566870255464</v>
          </cell>
          <cell r="T86">
            <v>2.415</v>
          </cell>
          <cell r="U86">
            <v>3.41566870255464</v>
          </cell>
          <cell r="V86">
            <v>0</v>
          </cell>
        </row>
        <row r="86">
          <cell r="X86">
            <v>37530</v>
          </cell>
          <cell r="Y86">
            <v>19.3933333333333</v>
          </cell>
          <cell r="Z86">
            <v>0</v>
          </cell>
          <cell r="AA86">
            <v>19.3933333333333</v>
          </cell>
        </row>
        <row r="87">
          <cell r="A87">
            <v>37561</v>
          </cell>
          <cell r="B87">
            <v>2.801</v>
          </cell>
          <cell r="C87">
            <v>0</v>
          </cell>
          <cell r="D87">
            <v>2.801</v>
          </cell>
        </row>
        <row r="87">
          <cell r="F87">
            <v>37561</v>
          </cell>
          <cell r="G87">
            <v>20.5233333333333</v>
          </cell>
          <cell r="H87">
            <v>0</v>
          </cell>
          <cell r="I87">
            <v>20.5233333333333</v>
          </cell>
        </row>
        <row r="87">
          <cell r="P87">
            <v>37561</v>
          </cell>
          <cell r="Q87">
            <v>-0.24</v>
          </cell>
          <cell r="R87">
            <v>2.561</v>
          </cell>
          <cell r="S87">
            <v>3.61952962415582</v>
          </cell>
          <cell r="T87">
            <v>2.561</v>
          </cell>
          <cell r="U87">
            <v>3.61952962415582</v>
          </cell>
          <cell r="V87">
            <v>0</v>
          </cell>
        </row>
        <row r="87">
          <cell r="X87">
            <v>37561</v>
          </cell>
          <cell r="Y87">
            <v>19.3166666666667</v>
          </cell>
          <cell r="Z87">
            <v>0</v>
          </cell>
          <cell r="AA87">
            <v>19.3166666666667</v>
          </cell>
        </row>
        <row r="88">
          <cell r="A88">
            <v>37591</v>
          </cell>
          <cell r="B88">
            <v>2.927</v>
          </cell>
          <cell r="C88">
            <v>0</v>
          </cell>
          <cell r="D88">
            <v>2.927</v>
          </cell>
        </row>
        <row r="88">
          <cell r="F88">
            <v>37591</v>
          </cell>
          <cell r="G88">
            <v>20.44</v>
          </cell>
          <cell r="H88">
            <v>0</v>
          </cell>
          <cell r="I88">
            <v>20.44</v>
          </cell>
        </row>
        <row r="88">
          <cell r="P88">
            <v>37591</v>
          </cell>
          <cell r="Q88">
            <v>-0.24</v>
          </cell>
          <cell r="R88">
            <v>2.687</v>
          </cell>
          <cell r="S88">
            <v>3.79495618303676</v>
          </cell>
          <cell r="T88">
            <v>2.687</v>
          </cell>
          <cell r="U88">
            <v>3.79495618303676</v>
          </cell>
          <cell r="V88">
            <v>0</v>
          </cell>
        </row>
        <row r="88">
          <cell r="X88">
            <v>37591</v>
          </cell>
          <cell r="Y88">
            <v>19.24</v>
          </cell>
          <cell r="Z88">
            <v>0</v>
          </cell>
          <cell r="AA88">
            <v>19.24</v>
          </cell>
        </row>
        <row r="89">
          <cell r="A89">
            <v>37622</v>
          </cell>
          <cell r="B89">
            <v>2.96</v>
          </cell>
          <cell r="C89">
            <v>0</v>
          </cell>
          <cell r="D89">
            <v>2.96</v>
          </cell>
        </row>
        <row r="89">
          <cell r="F89">
            <v>37622</v>
          </cell>
          <cell r="G89">
            <v>20.3883333333333</v>
          </cell>
          <cell r="H89">
            <v>0</v>
          </cell>
          <cell r="I89">
            <v>20.3883333333333</v>
          </cell>
        </row>
        <row r="89">
          <cell r="P89">
            <v>37622</v>
          </cell>
          <cell r="Q89">
            <v>-0.24</v>
          </cell>
          <cell r="R89">
            <v>2.72</v>
          </cell>
          <cell r="S89">
            <v>3.83880274021024</v>
          </cell>
          <cell r="T89">
            <v>2.72</v>
          </cell>
          <cell r="U89">
            <v>3.83880274021024</v>
          </cell>
          <cell r="V89">
            <v>0</v>
          </cell>
        </row>
        <row r="89">
          <cell r="X89">
            <v>37622</v>
          </cell>
          <cell r="Y89">
            <v>19.3221439393939</v>
          </cell>
          <cell r="Z89">
            <v>0</v>
          </cell>
          <cell r="AA89">
            <v>19.3221439393939</v>
          </cell>
        </row>
        <row r="90">
          <cell r="A90">
            <v>37653</v>
          </cell>
          <cell r="B90">
            <v>2.847</v>
          </cell>
          <cell r="C90">
            <v>0</v>
          </cell>
          <cell r="D90">
            <v>2.847</v>
          </cell>
        </row>
        <row r="90">
          <cell r="F90">
            <v>37653</v>
          </cell>
          <cell r="G90">
            <v>20.3366666666667</v>
          </cell>
          <cell r="H90">
            <v>0</v>
          </cell>
          <cell r="I90">
            <v>20.3366666666667</v>
          </cell>
        </row>
        <row r="90">
          <cell r="P90">
            <v>37653</v>
          </cell>
          <cell r="Q90">
            <v>-0.24</v>
          </cell>
          <cell r="R90">
            <v>2.607</v>
          </cell>
          <cell r="S90">
            <v>3.67668797119378</v>
          </cell>
          <cell r="T90">
            <v>2.607</v>
          </cell>
          <cell r="U90">
            <v>3.67668797119378</v>
          </cell>
          <cell r="V90">
            <v>0</v>
          </cell>
        </row>
        <row r="90">
          <cell r="X90">
            <v>37653</v>
          </cell>
          <cell r="Y90">
            <v>19.1535282369146</v>
          </cell>
          <cell r="Z90">
            <v>0</v>
          </cell>
          <cell r="AA90">
            <v>19.1535282369146</v>
          </cell>
        </row>
        <row r="91">
          <cell r="A91">
            <v>37681</v>
          </cell>
          <cell r="B91">
            <v>2.732</v>
          </cell>
          <cell r="C91">
            <v>0</v>
          </cell>
          <cell r="D91">
            <v>2.732</v>
          </cell>
        </row>
        <row r="91">
          <cell r="F91">
            <v>37681</v>
          </cell>
          <cell r="G91">
            <v>20.285</v>
          </cell>
          <cell r="H91">
            <v>0</v>
          </cell>
          <cell r="I91">
            <v>20.285</v>
          </cell>
        </row>
        <row r="91">
          <cell r="P91">
            <v>37681</v>
          </cell>
          <cell r="Q91">
            <v>-0.24</v>
          </cell>
          <cell r="R91">
            <v>2.492</v>
          </cell>
          <cell r="S91">
            <v>3.51224477607634</v>
          </cell>
          <cell r="T91">
            <v>2.492</v>
          </cell>
          <cell r="U91">
            <v>3.51224477607634</v>
          </cell>
          <cell r="V91">
            <v>0</v>
          </cell>
        </row>
        <row r="91">
          <cell r="X91">
            <v>37681</v>
          </cell>
          <cell r="Y91">
            <v>19.2550701949566</v>
          </cell>
          <cell r="Z91">
            <v>0</v>
          </cell>
          <cell r="AA91">
            <v>19.2550701949566</v>
          </cell>
        </row>
        <row r="92">
          <cell r="A92">
            <v>37712</v>
          </cell>
          <cell r="B92">
            <v>2.632</v>
          </cell>
          <cell r="C92">
            <v>0</v>
          </cell>
          <cell r="D92">
            <v>2.632</v>
          </cell>
        </row>
        <row r="92">
          <cell r="F92">
            <v>37712</v>
          </cell>
          <cell r="G92">
            <v>20.2333333333333</v>
          </cell>
          <cell r="H92">
            <v>0</v>
          </cell>
          <cell r="I92">
            <v>20.2333333333333</v>
          </cell>
        </row>
        <row r="92">
          <cell r="P92">
            <v>37712</v>
          </cell>
          <cell r="Q92">
            <v>-0.285</v>
          </cell>
          <cell r="R92">
            <v>2.347</v>
          </cell>
          <cell r="S92">
            <v>3.30564477712991</v>
          </cell>
          <cell r="T92">
            <v>2.347</v>
          </cell>
          <cell r="U92">
            <v>3.30564477712991</v>
          </cell>
          <cell r="V92">
            <v>0</v>
          </cell>
        </row>
        <row r="92">
          <cell r="X92">
            <v>37712</v>
          </cell>
          <cell r="Y92">
            <v>19.0799298050434</v>
          </cell>
          <cell r="Z92">
            <v>0</v>
          </cell>
          <cell r="AA92">
            <v>19.0799298050434</v>
          </cell>
        </row>
        <row r="93">
          <cell r="A93">
            <v>37742</v>
          </cell>
          <cell r="B93">
            <v>2.632</v>
          </cell>
          <cell r="C93">
            <v>0</v>
          </cell>
          <cell r="D93">
            <v>2.632</v>
          </cell>
        </row>
        <row r="93">
          <cell r="F93">
            <v>37742</v>
          </cell>
          <cell r="G93">
            <v>20.1816666666667</v>
          </cell>
          <cell r="H93">
            <v>0</v>
          </cell>
          <cell r="I93">
            <v>20.1816666666667</v>
          </cell>
        </row>
        <row r="93">
          <cell r="P93">
            <v>37742</v>
          </cell>
          <cell r="Q93">
            <v>-0.285</v>
          </cell>
          <cell r="R93">
            <v>2.347</v>
          </cell>
          <cell r="S93">
            <v>3.30341974444637</v>
          </cell>
          <cell r="T93">
            <v>2.347</v>
          </cell>
          <cell r="U93">
            <v>3.30341974444637</v>
          </cell>
          <cell r="V93">
            <v>0</v>
          </cell>
        </row>
        <row r="93">
          <cell r="X93">
            <v>37742</v>
          </cell>
          <cell r="Y93">
            <v>19.1451850257181</v>
          </cell>
          <cell r="Z93">
            <v>0</v>
          </cell>
          <cell r="AA93">
            <v>19.1451850257181</v>
          </cell>
        </row>
        <row r="94">
          <cell r="A94">
            <v>37773</v>
          </cell>
          <cell r="B94">
            <v>2.641</v>
          </cell>
          <cell r="C94">
            <v>0</v>
          </cell>
          <cell r="D94">
            <v>2.641</v>
          </cell>
        </row>
        <row r="94">
          <cell r="F94">
            <v>37773</v>
          </cell>
          <cell r="G94">
            <v>20.13</v>
          </cell>
          <cell r="H94">
            <v>0</v>
          </cell>
          <cell r="I94">
            <v>20.13</v>
          </cell>
        </row>
        <row r="94">
          <cell r="P94">
            <v>37773</v>
          </cell>
          <cell r="Q94">
            <v>-0.285</v>
          </cell>
          <cell r="R94">
            <v>2.356</v>
          </cell>
          <cell r="S94">
            <v>3.31379936314331</v>
          </cell>
          <cell r="T94">
            <v>2.356</v>
          </cell>
          <cell r="U94">
            <v>3.31379936314331</v>
          </cell>
          <cell r="V94">
            <v>0</v>
          </cell>
        </row>
        <row r="94">
          <cell r="X94">
            <v>37773</v>
          </cell>
          <cell r="Y94">
            <v>18.7779569230127</v>
          </cell>
          <cell r="Z94">
            <v>0</v>
          </cell>
          <cell r="AA94">
            <v>18.7779569230127</v>
          </cell>
        </row>
        <row r="95">
          <cell r="A95">
            <v>37803</v>
          </cell>
          <cell r="B95">
            <v>2.652</v>
          </cell>
          <cell r="C95">
            <v>0</v>
          </cell>
          <cell r="D95">
            <v>2.652</v>
          </cell>
        </row>
        <row r="95">
          <cell r="F95">
            <v>37803</v>
          </cell>
          <cell r="G95">
            <v>20.0783333333333</v>
          </cell>
          <cell r="H95">
            <v>0</v>
          </cell>
          <cell r="I95">
            <v>20.0783333333333</v>
          </cell>
        </row>
        <row r="95">
          <cell r="P95">
            <v>37803</v>
          </cell>
          <cell r="Q95">
            <v>-0.285</v>
          </cell>
          <cell r="R95">
            <v>2.367</v>
          </cell>
          <cell r="S95">
            <v>3.32708484748452</v>
          </cell>
          <cell r="T95">
            <v>2.367</v>
          </cell>
          <cell r="U95">
            <v>3.32708484748452</v>
          </cell>
          <cell r="V95">
            <v>0</v>
          </cell>
        </row>
        <row r="95">
          <cell r="X95">
            <v>37803</v>
          </cell>
          <cell r="Y95">
            <v>18.9892581197116</v>
          </cell>
          <cell r="Z95">
            <v>0</v>
          </cell>
          <cell r="AA95">
            <v>18.9892581197116</v>
          </cell>
        </row>
        <row r="96">
          <cell r="A96">
            <v>37834</v>
          </cell>
          <cell r="B96">
            <v>2.661</v>
          </cell>
          <cell r="C96">
            <v>0</v>
          </cell>
          <cell r="D96">
            <v>2.661</v>
          </cell>
        </row>
        <row r="96">
          <cell r="F96">
            <v>37834</v>
          </cell>
          <cell r="G96">
            <v>20.0266666666667</v>
          </cell>
          <cell r="H96">
            <v>0</v>
          </cell>
          <cell r="I96">
            <v>20.0266666666667</v>
          </cell>
        </row>
        <row r="96">
          <cell r="P96">
            <v>37834</v>
          </cell>
          <cell r="Q96">
            <v>-0.285</v>
          </cell>
          <cell r="R96">
            <v>2.376</v>
          </cell>
          <cell r="S96">
            <v>3.33751613219482</v>
          </cell>
          <cell r="T96">
            <v>2.376</v>
          </cell>
          <cell r="U96">
            <v>3.33751613219482</v>
          </cell>
          <cell r="V96">
            <v>0</v>
          </cell>
        </row>
        <row r="96">
          <cell r="X96">
            <v>37834</v>
          </cell>
          <cell r="Y96">
            <v>18.7149471638985</v>
          </cell>
          <cell r="Z96">
            <v>0</v>
          </cell>
          <cell r="AA96">
            <v>18.7149471638985</v>
          </cell>
        </row>
        <row r="97">
          <cell r="A97">
            <v>37865</v>
          </cell>
          <cell r="B97">
            <v>2.668</v>
          </cell>
          <cell r="C97">
            <v>0</v>
          </cell>
          <cell r="D97">
            <v>2.668</v>
          </cell>
        </row>
        <row r="97">
          <cell r="F97">
            <v>37865</v>
          </cell>
          <cell r="G97">
            <v>19.975</v>
          </cell>
          <cell r="H97">
            <v>0</v>
          </cell>
          <cell r="I97">
            <v>19.975</v>
          </cell>
        </row>
        <row r="97">
          <cell r="P97">
            <v>37865</v>
          </cell>
          <cell r="Q97">
            <v>-0.285</v>
          </cell>
          <cell r="R97">
            <v>2.383</v>
          </cell>
          <cell r="S97">
            <v>3.34514597705093</v>
          </cell>
          <cell r="T97">
            <v>2.383</v>
          </cell>
          <cell r="U97">
            <v>3.34514597705093</v>
          </cell>
          <cell r="V97">
            <v>0</v>
          </cell>
        </row>
        <row r="97">
          <cell r="X97">
            <v>37865</v>
          </cell>
          <cell r="Y97">
            <v>18.884409640824</v>
          </cell>
          <cell r="Z97">
            <v>0</v>
          </cell>
          <cell r="AA97">
            <v>18.884409640824</v>
          </cell>
        </row>
        <row r="98">
          <cell r="A98">
            <v>37895</v>
          </cell>
          <cell r="B98">
            <v>2.695</v>
          </cell>
          <cell r="C98">
            <v>0</v>
          </cell>
          <cell r="D98">
            <v>2.695</v>
          </cell>
        </row>
        <row r="98">
          <cell r="F98">
            <v>37895</v>
          </cell>
          <cell r="G98">
            <v>19.9233333333333</v>
          </cell>
          <cell r="H98">
            <v>0</v>
          </cell>
          <cell r="I98">
            <v>19.9233333333333</v>
          </cell>
        </row>
        <row r="98">
          <cell r="P98">
            <v>37895</v>
          </cell>
          <cell r="Q98">
            <v>-0.285</v>
          </cell>
          <cell r="R98">
            <v>2.41</v>
          </cell>
          <cell r="S98">
            <v>3.38092282874809</v>
          </cell>
          <cell r="T98">
            <v>2.41</v>
          </cell>
          <cell r="U98">
            <v>3.38092282874809</v>
          </cell>
          <cell r="V98">
            <v>0</v>
          </cell>
        </row>
        <row r="98">
          <cell r="X98">
            <v>37895</v>
          </cell>
          <cell r="Y98">
            <v>18.6525851750085</v>
          </cell>
          <cell r="Z98">
            <v>0</v>
          </cell>
          <cell r="AA98">
            <v>18.6525851750085</v>
          </cell>
        </row>
        <row r="99">
          <cell r="A99">
            <v>37926</v>
          </cell>
          <cell r="B99">
            <v>2.831</v>
          </cell>
          <cell r="C99">
            <v>0</v>
          </cell>
          <cell r="D99">
            <v>2.831</v>
          </cell>
        </row>
        <row r="99">
          <cell r="F99">
            <v>37926</v>
          </cell>
          <cell r="G99">
            <v>19.8716666666667</v>
          </cell>
          <cell r="H99">
            <v>0</v>
          </cell>
          <cell r="I99">
            <v>19.8716666666667</v>
          </cell>
        </row>
        <row r="99">
          <cell r="P99">
            <v>37926</v>
          </cell>
          <cell r="Q99">
            <v>-0.3</v>
          </cell>
          <cell r="R99">
            <v>2.531</v>
          </cell>
          <cell r="S99">
            <v>3.54840199665412</v>
          </cell>
          <cell r="T99">
            <v>2.531</v>
          </cell>
          <cell r="U99">
            <v>3.54840199665412</v>
          </cell>
          <cell r="V99">
            <v>0</v>
          </cell>
        </row>
        <row r="99">
          <cell r="X99">
            <v>37926</v>
          </cell>
          <cell r="Y99">
            <v>18.7616845763818</v>
          </cell>
          <cell r="Z99">
            <v>0</v>
          </cell>
          <cell r="AA99">
            <v>18.7616845763818</v>
          </cell>
        </row>
        <row r="100">
          <cell r="A100">
            <v>37956</v>
          </cell>
          <cell r="B100">
            <v>2.957</v>
          </cell>
          <cell r="C100">
            <v>0</v>
          </cell>
          <cell r="D100">
            <v>2.957</v>
          </cell>
        </row>
        <row r="100">
          <cell r="F100">
            <v>37956</v>
          </cell>
          <cell r="G100">
            <v>19.82</v>
          </cell>
          <cell r="H100">
            <v>0</v>
          </cell>
          <cell r="I100">
            <v>19.82</v>
          </cell>
        </row>
        <row r="100">
          <cell r="P100">
            <v>37956</v>
          </cell>
          <cell r="Q100">
            <v>-0.3</v>
          </cell>
          <cell r="R100">
            <v>2.657</v>
          </cell>
          <cell r="S100">
            <v>3.7227717007527</v>
          </cell>
          <cell r="T100">
            <v>2.657</v>
          </cell>
          <cell r="U100">
            <v>3.7227717007527</v>
          </cell>
          <cell r="V100">
            <v>0</v>
          </cell>
        </row>
        <row r="100">
          <cell r="X100">
            <v>37956</v>
          </cell>
          <cell r="Y100">
            <v>18.6989913515012</v>
          </cell>
          <cell r="Z100">
            <v>0</v>
          </cell>
          <cell r="AA100">
            <v>18.6989913515012</v>
          </cell>
        </row>
        <row r="101">
          <cell r="A101">
            <v>37987</v>
          </cell>
          <cell r="B101">
            <v>2.9895</v>
          </cell>
          <cell r="C101">
            <v>0</v>
          </cell>
          <cell r="D101">
            <v>2.9895</v>
          </cell>
        </row>
        <row r="101">
          <cell r="F101">
            <v>37987</v>
          </cell>
          <cell r="G101">
            <v>19.8058333333333</v>
          </cell>
          <cell r="H101">
            <v>0</v>
          </cell>
          <cell r="I101">
            <v>19.8058333333333</v>
          </cell>
        </row>
        <row r="101">
          <cell r="P101">
            <v>37987</v>
          </cell>
          <cell r="Q101">
            <v>-0.3</v>
          </cell>
          <cell r="R101">
            <v>2.6895</v>
          </cell>
          <cell r="S101">
            <v>3.76588988833085</v>
          </cell>
          <cell r="T101">
            <v>2.6895</v>
          </cell>
          <cell r="U101">
            <v>3.76588988833085</v>
          </cell>
          <cell r="V101">
            <v>0</v>
          </cell>
        </row>
        <row r="101">
          <cell r="X101">
            <v>37987</v>
          </cell>
          <cell r="Y101">
            <v>18.6821086484988</v>
          </cell>
          <cell r="Z101">
            <v>0</v>
          </cell>
          <cell r="AA101">
            <v>18.6821086484988</v>
          </cell>
        </row>
        <row r="102">
          <cell r="A102">
            <v>38018</v>
          </cell>
          <cell r="B102">
            <v>2.8805</v>
          </cell>
          <cell r="C102">
            <v>0</v>
          </cell>
          <cell r="D102">
            <v>2.8805</v>
          </cell>
        </row>
        <row r="102">
          <cell r="F102">
            <v>38018</v>
          </cell>
          <cell r="G102">
            <v>19.7916666666667</v>
          </cell>
          <cell r="H102">
            <v>0</v>
          </cell>
          <cell r="I102">
            <v>19.7916666666667</v>
          </cell>
        </row>
        <row r="102">
          <cell r="P102">
            <v>38018</v>
          </cell>
          <cell r="Q102">
            <v>-0.3</v>
          </cell>
          <cell r="R102">
            <v>2.5805</v>
          </cell>
          <cell r="S102">
            <v>3.61090573987991</v>
          </cell>
          <cell r="T102">
            <v>2.5805</v>
          </cell>
          <cell r="U102">
            <v>3.61090573987991</v>
          </cell>
          <cell r="V102">
            <v>0</v>
          </cell>
        </row>
        <row r="102">
          <cell r="X102">
            <v>38018</v>
          </cell>
          <cell r="Y102">
            <v>18.6711400151399</v>
          </cell>
          <cell r="Z102">
            <v>0</v>
          </cell>
          <cell r="AA102">
            <v>18.6711400151399</v>
          </cell>
        </row>
        <row r="103">
          <cell r="A103">
            <v>38047</v>
          </cell>
          <cell r="B103">
            <v>2.7685</v>
          </cell>
          <cell r="C103">
            <v>0</v>
          </cell>
          <cell r="D103">
            <v>2.7685</v>
          </cell>
        </row>
        <row r="103">
          <cell r="F103">
            <v>38047</v>
          </cell>
          <cell r="G103">
            <v>19.7775</v>
          </cell>
          <cell r="H103">
            <v>0</v>
          </cell>
          <cell r="I103">
            <v>19.7775</v>
          </cell>
        </row>
        <row r="103">
          <cell r="P103">
            <v>38047</v>
          </cell>
          <cell r="Q103">
            <v>-0.3</v>
          </cell>
          <cell r="R103">
            <v>2.4685</v>
          </cell>
          <cell r="S103">
            <v>3.45208907998688</v>
          </cell>
          <cell r="T103">
            <v>2.4685</v>
          </cell>
          <cell r="U103">
            <v>3.45208907998688</v>
          </cell>
          <cell r="V103">
            <v>0</v>
          </cell>
        </row>
        <row r="103">
          <cell r="X103">
            <v>38047</v>
          </cell>
          <cell r="Y103">
            <v>18.6941172108673</v>
          </cell>
          <cell r="Z103">
            <v>0</v>
          </cell>
          <cell r="AA103">
            <v>18.6941172108673</v>
          </cell>
        </row>
        <row r="104">
          <cell r="A104">
            <v>38078</v>
          </cell>
          <cell r="B104">
            <v>2.6715</v>
          </cell>
          <cell r="C104">
            <v>0</v>
          </cell>
          <cell r="D104">
            <v>2.6715</v>
          </cell>
        </row>
        <row r="104">
          <cell r="F104">
            <v>38078</v>
          </cell>
          <cell r="G104">
            <v>19.7633333333333</v>
          </cell>
          <cell r="H104">
            <v>0</v>
          </cell>
          <cell r="I104">
            <v>19.7633333333333</v>
          </cell>
        </row>
        <row r="104">
          <cell r="P104">
            <v>38078</v>
          </cell>
          <cell r="Q104">
            <v>-0.34</v>
          </cell>
          <cell r="R104">
            <v>2.3315</v>
          </cell>
          <cell r="S104">
            <v>3.25839748197041</v>
          </cell>
          <cell r="T104">
            <v>2.3315</v>
          </cell>
          <cell r="U104">
            <v>3.25839748197041</v>
          </cell>
          <cell r="V104">
            <v>0</v>
          </cell>
        </row>
        <row r="104">
          <cell r="X104">
            <v>38078</v>
          </cell>
          <cell r="Y104">
            <v>18.6497994557994</v>
          </cell>
          <cell r="Z104">
            <v>0</v>
          </cell>
          <cell r="AA104">
            <v>18.6497994557994</v>
          </cell>
        </row>
        <row r="105">
          <cell r="A105">
            <v>38108</v>
          </cell>
          <cell r="B105">
            <v>2.6725</v>
          </cell>
          <cell r="C105">
            <v>0</v>
          </cell>
          <cell r="D105">
            <v>2.6725</v>
          </cell>
        </row>
        <row r="105">
          <cell r="F105">
            <v>38108</v>
          </cell>
          <cell r="G105">
            <v>19.7491666666667</v>
          </cell>
          <cell r="H105">
            <v>0</v>
          </cell>
          <cell r="I105">
            <v>19.7491666666667</v>
          </cell>
        </row>
        <row r="105">
          <cell r="P105">
            <v>38108</v>
          </cell>
          <cell r="Q105">
            <v>-0.34</v>
          </cell>
          <cell r="R105">
            <v>2.3325</v>
          </cell>
          <cell r="S105">
            <v>3.25776965098297</v>
          </cell>
          <cell r="T105">
            <v>2.3325</v>
          </cell>
          <cell r="U105">
            <v>3.25776965098297</v>
          </cell>
          <cell r="V105">
            <v>0</v>
          </cell>
        </row>
        <row r="105">
          <cell r="X105">
            <v>38108</v>
          </cell>
          <cell r="Y105">
            <v>18.6614875981031</v>
          </cell>
          <cell r="Z105">
            <v>0</v>
          </cell>
          <cell r="AA105">
            <v>18.6614875981031</v>
          </cell>
        </row>
        <row r="106">
          <cell r="A106">
            <v>38139</v>
          </cell>
          <cell r="B106">
            <v>2.6825</v>
          </cell>
          <cell r="C106">
            <v>0</v>
          </cell>
          <cell r="D106">
            <v>2.6825</v>
          </cell>
        </row>
        <row r="106">
          <cell r="F106">
            <v>38139</v>
          </cell>
          <cell r="G106">
            <v>19.735</v>
          </cell>
          <cell r="H106">
            <v>0</v>
          </cell>
          <cell r="I106">
            <v>19.735</v>
          </cell>
        </row>
        <row r="106">
          <cell r="P106">
            <v>38139</v>
          </cell>
          <cell r="Q106">
            <v>-0.34</v>
          </cell>
          <cell r="R106">
            <v>2.3425</v>
          </cell>
          <cell r="S106">
            <v>3.26965217875445</v>
          </cell>
          <cell r="T106">
            <v>2.3425</v>
          </cell>
          <cell r="U106">
            <v>3.26965217875445</v>
          </cell>
          <cell r="V106">
            <v>0</v>
          </cell>
        </row>
        <row r="106">
          <cell r="X106">
            <v>38139</v>
          </cell>
          <cell r="Y106">
            <v>18.4131214460252</v>
          </cell>
          <cell r="Z106">
            <v>0</v>
          </cell>
          <cell r="AA106">
            <v>18.4131214460252</v>
          </cell>
        </row>
        <row r="107">
          <cell r="A107">
            <v>38169</v>
          </cell>
          <cell r="B107">
            <v>2.6935</v>
          </cell>
          <cell r="C107">
            <v>0</v>
          </cell>
          <cell r="D107">
            <v>2.6935</v>
          </cell>
        </row>
        <row r="107">
          <cell r="F107">
            <v>38169</v>
          </cell>
          <cell r="G107">
            <v>19.7208333333333</v>
          </cell>
          <cell r="H107">
            <v>0</v>
          </cell>
          <cell r="I107">
            <v>19.7208333333333</v>
          </cell>
        </row>
        <row r="107">
          <cell r="P107">
            <v>38169</v>
          </cell>
          <cell r="Q107">
            <v>-0.34</v>
          </cell>
          <cell r="R107">
            <v>2.3535</v>
          </cell>
          <cell r="S107">
            <v>3.2829963925904</v>
          </cell>
          <cell r="T107">
            <v>2.3535</v>
          </cell>
          <cell r="U107">
            <v>3.2829963925904</v>
          </cell>
          <cell r="V107">
            <v>0</v>
          </cell>
        </row>
        <row r="107">
          <cell r="X107">
            <v>38169</v>
          </cell>
          <cell r="Y107">
            <v>18.6024198975528</v>
          </cell>
          <cell r="Z107">
            <v>0</v>
          </cell>
          <cell r="AA107">
            <v>18.6024198975528</v>
          </cell>
        </row>
        <row r="108">
          <cell r="A108">
            <v>38200</v>
          </cell>
          <cell r="B108">
            <v>2.7025</v>
          </cell>
          <cell r="C108">
            <v>0</v>
          </cell>
          <cell r="D108">
            <v>2.7025</v>
          </cell>
        </row>
        <row r="108">
          <cell r="F108">
            <v>38200</v>
          </cell>
          <cell r="G108">
            <v>19.7066666666667</v>
          </cell>
          <cell r="H108">
            <v>0</v>
          </cell>
          <cell r="I108">
            <v>19.7066666666667</v>
          </cell>
        </row>
        <row r="108">
          <cell r="P108">
            <v>38200</v>
          </cell>
          <cell r="Q108">
            <v>-0.34</v>
          </cell>
          <cell r="R108">
            <v>2.3625</v>
          </cell>
          <cell r="S108">
            <v>3.29348403015424</v>
          </cell>
          <cell r="T108">
            <v>2.3625</v>
          </cell>
          <cell r="U108">
            <v>3.29348403015424</v>
          </cell>
          <cell r="V108">
            <v>0</v>
          </cell>
        </row>
        <row r="108">
          <cell r="X108">
            <v>38200</v>
          </cell>
          <cell r="Y108">
            <v>18.4104000853727</v>
          </cell>
          <cell r="Z108">
            <v>0</v>
          </cell>
          <cell r="AA108">
            <v>18.4104000853727</v>
          </cell>
        </row>
        <row r="109">
          <cell r="A109">
            <v>38231</v>
          </cell>
          <cell r="B109">
            <v>2.7085</v>
          </cell>
          <cell r="C109">
            <v>0</v>
          </cell>
          <cell r="D109">
            <v>2.7085</v>
          </cell>
        </row>
        <row r="109">
          <cell r="F109">
            <v>38231</v>
          </cell>
          <cell r="G109">
            <v>19.6925</v>
          </cell>
          <cell r="H109">
            <v>0</v>
          </cell>
          <cell r="I109">
            <v>19.6925</v>
          </cell>
        </row>
        <row r="109">
          <cell r="P109">
            <v>38231</v>
          </cell>
          <cell r="Q109">
            <v>-0.34</v>
          </cell>
          <cell r="R109">
            <v>2.3685</v>
          </cell>
          <cell r="S109">
            <v>3.29979427101</v>
          </cell>
          <cell r="T109">
            <v>2.3685</v>
          </cell>
          <cell r="U109">
            <v>3.29979427101</v>
          </cell>
          <cell r="V109">
            <v>0</v>
          </cell>
        </row>
        <row r="109">
          <cell r="X109">
            <v>38231</v>
          </cell>
          <cell r="Y109">
            <v>18.5869777066339</v>
          </cell>
          <cell r="Z109">
            <v>0</v>
          </cell>
          <cell r="AA109">
            <v>18.5869777066339</v>
          </cell>
        </row>
        <row r="110">
          <cell r="A110">
            <v>38261</v>
          </cell>
          <cell r="B110">
            <v>2.7345</v>
          </cell>
          <cell r="C110">
            <v>0</v>
          </cell>
          <cell r="D110">
            <v>2.7345</v>
          </cell>
        </row>
        <row r="110">
          <cell r="F110">
            <v>38261</v>
          </cell>
          <cell r="G110">
            <v>19.6783333333333</v>
          </cell>
          <cell r="H110">
            <v>0</v>
          </cell>
          <cell r="I110">
            <v>19.6783333333333</v>
          </cell>
        </row>
        <row r="110">
          <cell r="P110">
            <v>38261</v>
          </cell>
          <cell r="Q110">
            <v>-0.34</v>
          </cell>
          <cell r="R110">
            <v>2.3945</v>
          </cell>
          <cell r="S110">
            <v>3.33402497640645</v>
          </cell>
          <cell r="T110">
            <v>2.3945</v>
          </cell>
          <cell r="U110">
            <v>3.33402497640645</v>
          </cell>
          <cell r="V110">
            <v>0</v>
          </cell>
        </row>
        <row r="110">
          <cell r="X110">
            <v>38261</v>
          </cell>
          <cell r="Y110">
            <v>18.4150380222495</v>
          </cell>
          <cell r="Z110">
            <v>0</v>
          </cell>
          <cell r="AA110">
            <v>18.4150380222495</v>
          </cell>
        </row>
        <row r="111">
          <cell r="A111">
            <v>38292</v>
          </cell>
          <cell r="B111">
            <v>2.8655</v>
          </cell>
          <cell r="C111">
            <v>0</v>
          </cell>
          <cell r="D111">
            <v>2.8655</v>
          </cell>
        </row>
        <row r="111">
          <cell r="F111">
            <v>38292</v>
          </cell>
          <cell r="G111">
            <v>19.6641666666667</v>
          </cell>
          <cell r="H111">
            <v>0</v>
          </cell>
          <cell r="I111">
            <v>19.6641666666667</v>
          </cell>
        </row>
        <row r="111">
          <cell r="P111">
            <v>38292</v>
          </cell>
          <cell r="Q111">
            <v>-0.33</v>
          </cell>
          <cell r="R111">
            <v>2.5355</v>
          </cell>
          <cell r="S111">
            <v>3.52818751700452</v>
          </cell>
          <cell r="T111">
            <v>2.5355</v>
          </cell>
          <cell r="U111">
            <v>3.52818751700452</v>
          </cell>
          <cell r="V111">
            <v>0</v>
          </cell>
        </row>
        <row r="111">
          <cell r="X111">
            <v>38292</v>
          </cell>
          <cell r="Y111">
            <v>18.5311683147921</v>
          </cell>
          <cell r="Z111">
            <v>0</v>
          </cell>
          <cell r="AA111">
            <v>18.5311683147921</v>
          </cell>
        </row>
        <row r="112">
          <cell r="A112">
            <v>38322</v>
          </cell>
          <cell r="B112">
            <v>2.9885</v>
          </cell>
          <cell r="C112">
            <v>0</v>
          </cell>
          <cell r="D112">
            <v>2.9885</v>
          </cell>
        </row>
        <row r="112">
          <cell r="F112">
            <v>38322</v>
          </cell>
          <cell r="G112">
            <v>19.65</v>
          </cell>
          <cell r="H112">
            <v>0</v>
          </cell>
          <cell r="I112">
            <v>19.65</v>
          </cell>
        </row>
        <row r="112">
          <cell r="P112">
            <v>38322</v>
          </cell>
          <cell r="Q112">
            <v>-0.33</v>
          </cell>
          <cell r="R112">
            <v>2.6585</v>
          </cell>
          <cell r="S112">
            <v>3.69716989824909</v>
          </cell>
          <cell r="T112">
            <v>2.6585</v>
          </cell>
          <cell r="U112">
            <v>3.69716989824909</v>
          </cell>
          <cell r="V112">
            <v>0</v>
          </cell>
        </row>
        <row r="112">
          <cell r="X112">
            <v>38322</v>
          </cell>
          <cell r="Y112">
            <v>18.5370409259466</v>
          </cell>
          <cell r="Z112">
            <v>0</v>
          </cell>
          <cell r="AA112">
            <v>18.5370409259466</v>
          </cell>
        </row>
        <row r="113">
          <cell r="A113">
            <v>38353</v>
          </cell>
          <cell r="B113">
            <v>3.029</v>
          </cell>
          <cell r="C113">
            <v>0</v>
          </cell>
          <cell r="D113">
            <v>3.029</v>
          </cell>
        </row>
        <row r="113">
          <cell r="F113">
            <v>38353</v>
          </cell>
          <cell r="G113">
            <v>19.6441666666667</v>
          </cell>
          <cell r="H113">
            <v>0</v>
          </cell>
          <cell r="I113">
            <v>19.6441666666667</v>
          </cell>
        </row>
        <row r="113">
          <cell r="P113">
            <v>38353</v>
          </cell>
          <cell r="Q113">
            <v>-0.33</v>
          </cell>
          <cell r="R113">
            <v>2.699</v>
          </cell>
          <cell r="S113">
            <v>3.75123239990291</v>
          </cell>
          <cell r="T113">
            <v>2.699</v>
          </cell>
          <cell r="U113">
            <v>3.75123239990291</v>
          </cell>
          <cell r="V113">
            <v>0</v>
          </cell>
        </row>
        <row r="113">
          <cell r="X113">
            <v>38353</v>
          </cell>
          <cell r="Y113">
            <v>18.5111964506001</v>
          </cell>
          <cell r="Z113">
            <v>0</v>
          </cell>
          <cell r="AA113">
            <v>18.5111964506001</v>
          </cell>
        </row>
        <row r="114">
          <cell r="A114">
            <v>38384</v>
          </cell>
          <cell r="B114">
            <v>2.924</v>
          </cell>
          <cell r="C114">
            <v>0</v>
          </cell>
          <cell r="D114">
            <v>2.924</v>
          </cell>
        </row>
        <row r="114">
          <cell r="F114">
            <v>38384</v>
          </cell>
          <cell r="G114">
            <v>19.6383333333333</v>
          </cell>
          <cell r="H114">
            <v>0</v>
          </cell>
          <cell r="I114">
            <v>19.6383333333333</v>
          </cell>
        </row>
        <row r="114">
          <cell r="P114">
            <v>38384</v>
          </cell>
          <cell r="Q114">
            <v>-0.33</v>
          </cell>
          <cell r="R114">
            <v>2.594</v>
          </cell>
          <cell r="S114">
            <v>3.6031437468933</v>
          </cell>
          <cell r="T114">
            <v>2.594</v>
          </cell>
          <cell r="U114">
            <v>3.6031437468933</v>
          </cell>
          <cell r="V114">
            <v>0</v>
          </cell>
        </row>
        <row r="114">
          <cell r="X114">
            <v>38384</v>
          </cell>
          <cell r="Y114">
            <v>18.5209052944102</v>
          </cell>
          <cell r="Z114">
            <v>0</v>
          </cell>
          <cell r="AA114">
            <v>18.5209052944102</v>
          </cell>
        </row>
        <row r="115">
          <cell r="A115">
            <v>38412</v>
          </cell>
          <cell r="B115">
            <v>2.815</v>
          </cell>
          <cell r="C115">
            <v>0</v>
          </cell>
          <cell r="D115">
            <v>2.815</v>
          </cell>
        </row>
        <row r="115">
          <cell r="F115">
            <v>38412</v>
          </cell>
          <cell r="G115">
            <v>19.6325</v>
          </cell>
          <cell r="H115">
            <v>0</v>
          </cell>
          <cell r="I115">
            <v>19.6325</v>
          </cell>
        </row>
        <row r="115">
          <cell r="P115">
            <v>38412</v>
          </cell>
          <cell r="Q115">
            <v>-0.33</v>
          </cell>
          <cell r="R115">
            <v>2.485</v>
          </cell>
          <cell r="S115">
            <v>3.44989225048381</v>
          </cell>
          <cell r="T115">
            <v>2.485</v>
          </cell>
          <cell r="U115">
            <v>3.44989225048381</v>
          </cell>
          <cell r="V115">
            <v>0</v>
          </cell>
        </row>
        <row r="115">
          <cell r="X115">
            <v>38412</v>
          </cell>
          <cell r="Y115">
            <v>18.4922376111422</v>
          </cell>
          <cell r="Z115">
            <v>0</v>
          </cell>
          <cell r="AA115">
            <v>18.4922376111422</v>
          </cell>
        </row>
        <row r="116">
          <cell r="A116">
            <v>38443</v>
          </cell>
          <cell r="B116">
            <v>2.721</v>
          </cell>
          <cell r="C116">
            <v>0</v>
          </cell>
          <cell r="D116">
            <v>2.721</v>
          </cell>
        </row>
        <row r="116">
          <cell r="F116">
            <v>38443</v>
          </cell>
          <cell r="G116">
            <v>19.6266666666667</v>
          </cell>
          <cell r="H116">
            <v>0</v>
          </cell>
          <cell r="I116">
            <v>19.6266666666667</v>
          </cell>
        </row>
        <row r="116">
          <cell r="P116">
            <v>38443</v>
          </cell>
          <cell r="Q116">
            <v>-0.37</v>
          </cell>
          <cell r="R116">
            <v>2.351</v>
          </cell>
          <cell r="S116">
            <v>3.26192735263869</v>
          </cell>
          <cell r="T116">
            <v>2.351</v>
          </cell>
          <cell r="U116">
            <v>3.26192735263869</v>
          </cell>
          <cell r="V116">
            <v>0</v>
          </cell>
        </row>
        <row r="116">
          <cell r="X116">
            <v>38443</v>
          </cell>
          <cell r="Y116">
            <v>18.5082623888578</v>
          </cell>
          <cell r="Z116">
            <v>0</v>
          </cell>
          <cell r="AA116">
            <v>18.5082623888578</v>
          </cell>
        </row>
        <row r="117">
          <cell r="A117">
            <v>38473</v>
          </cell>
          <cell r="B117">
            <v>2.723</v>
          </cell>
          <cell r="C117">
            <v>0</v>
          </cell>
          <cell r="D117">
            <v>2.723</v>
          </cell>
        </row>
        <row r="117">
          <cell r="F117">
            <v>38473</v>
          </cell>
          <cell r="G117">
            <v>19.6208333333333</v>
          </cell>
          <cell r="H117">
            <v>0</v>
          </cell>
          <cell r="I117">
            <v>19.6208333333333</v>
          </cell>
        </row>
        <row r="117">
          <cell r="P117">
            <v>38473</v>
          </cell>
          <cell r="Q117">
            <v>-0.37</v>
          </cell>
          <cell r="R117">
            <v>2.353</v>
          </cell>
          <cell r="S117">
            <v>3.26243409446045</v>
          </cell>
          <cell r="T117">
            <v>2.353</v>
          </cell>
          <cell r="U117">
            <v>3.26243409446045</v>
          </cell>
          <cell r="V117">
            <v>0</v>
          </cell>
        </row>
        <row r="117">
          <cell r="X117">
            <v>38473</v>
          </cell>
          <cell r="Y117">
            <v>18.4828238034427</v>
          </cell>
          <cell r="Z117">
            <v>0</v>
          </cell>
          <cell r="AA117">
            <v>18.4828238034427</v>
          </cell>
        </row>
        <row r="118">
          <cell r="A118">
            <v>38504</v>
          </cell>
          <cell r="B118">
            <v>2.734</v>
          </cell>
          <cell r="C118">
            <v>0</v>
          </cell>
          <cell r="D118">
            <v>2.734</v>
          </cell>
        </row>
        <row r="118">
          <cell r="F118">
            <v>38504</v>
          </cell>
          <cell r="G118">
            <v>19.615</v>
          </cell>
          <cell r="H118">
            <v>0</v>
          </cell>
          <cell r="I118">
            <v>19.615</v>
          </cell>
        </row>
        <row r="118">
          <cell r="P118">
            <v>38504</v>
          </cell>
          <cell r="Q118">
            <v>-0.37</v>
          </cell>
          <cell r="R118">
            <v>2.364</v>
          </cell>
          <cell r="S118">
            <v>3.27534264444558</v>
          </cell>
          <cell r="T118">
            <v>2.364</v>
          </cell>
          <cell r="U118">
            <v>3.27534264444558</v>
          </cell>
          <cell r="V118">
            <v>0</v>
          </cell>
        </row>
        <row r="118">
          <cell r="X118">
            <v>38504</v>
          </cell>
          <cell r="Y118">
            <v>18.2662662392945</v>
          </cell>
          <cell r="Z118">
            <v>0</v>
          </cell>
          <cell r="AA118">
            <v>18.2662662392945</v>
          </cell>
        </row>
        <row r="119">
          <cell r="A119">
            <v>38534</v>
          </cell>
          <cell r="B119">
            <v>2.745</v>
          </cell>
          <cell r="C119">
            <v>0</v>
          </cell>
          <cell r="D119">
            <v>2.745</v>
          </cell>
        </row>
        <row r="119">
          <cell r="F119">
            <v>38534</v>
          </cell>
          <cell r="G119">
            <v>19.6091666666667</v>
          </cell>
          <cell r="H119">
            <v>0</v>
          </cell>
          <cell r="I119">
            <v>19.6091666666667</v>
          </cell>
        </row>
        <row r="119">
          <cell r="P119">
            <v>38534</v>
          </cell>
          <cell r="Q119">
            <v>-0.37</v>
          </cell>
          <cell r="R119">
            <v>2.375</v>
          </cell>
          <cell r="S119">
            <v>3.28830884141</v>
          </cell>
          <cell r="T119">
            <v>2.375</v>
          </cell>
          <cell r="U119">
            <v>3.28830884141</v>
          </cell>
          <cell r="V119">
            <v>0</v>
          </cell>
        </row>
        <row r="119">
          <cell r="X119">
            <v>38534</v>
          </cell>
          <cell r="Y119">
            <v>18.4447920228101</v>
          </cell>
          <cell r="Z119">
            <v>0</v>
          </cell>
          <cell r="AA119">
            <v>18.4447920228101</v>
          </cell>
        </row>
        <row r="120">
          <cell r="A120">
            <v>38565</v>
          </cell>
          <cell r="B120">
            <v>2.754</v>
          </cell>
          <cell r="C120">
            <v>0</v>
          </cell>
          <cell r="D120">
            <v>2.754</v>
          </cell>
        </row>
        <row r="120">
          <cell r="F120">
            <v>38565</v>
          </cell>
          <cell r="G120">
            <v>19.6033333333333</v>
          </cell>
          <cell r="H120">
            <v>0</v>
          </cell>
          <cell r="I120">
            <v>19.6033333333333</v>
          </cell>
        </row>
        <row r="120">
          <cell r="P120">
            <v>38565</v>
          </cell>
          <cell r="Q120">
            <v>-0.37</v>
          </cell>
          <cell r="R120">
            <v>2.384</v>
          </cell>
          <cell r="S120">
            <v>3.29841432888928</v>
          </cell>
          <cell r="T120">
            <v>2.384</v>
          </cell>
          <cell r="U120">
            <v>3.29841432888928</v>
          </cell>
          <cell r="V120">
            <v>0</v>
          </cell>
        </row>
        <row r="120">
          <cell r="X120">
            <v>38565</v>
          </cell>
          <cell r="Y120">
            <v>18.2848399809915</v>
          </cell>
          <cell r="Z120">
            <v>0</v>
          </cell>
          <cell r="AA120">
            <v>18.2848399809915</v>
          </cell>
        </row>
        <row r="121">
          <cell r="A121">
            <v>38596</v>
          </cell>
          <cell r="B121">
            <v>2.759</v>
          </cell>
          <cell r="C121">
            <v>0</v>
          </cell>
          <cell r="D121">
            <v>2.759</v>
          </cell>
        </row>
        <row r="121">
          <cell r="F121">
            <v>38596</v>
          </cell>
          <cell r="G121">
            <v>19.5975</v>
          </cell>
          <cell r="H121">
            <v>0</v>
          </cell>
          <cell r="I121">
            <v>19.5975</v>
          </cell>
        </row>
        <row r="121">
          <cell r="P121">
            <v>38596</v>
          </cell>
          <cell r="Q121">
            <v>-0.37</v>
          </cell>
          <cell r="R121">
            <v>2.389</v>
          </cell>
          <cell r="S121">
            <v>3.30297543983705</v>
          </cell>
          <cell r="T121">
            <v>2.389</v>
          </cell>
          <cell r="U121">
            <v>3.30297543983705</v>
          </cell>
          <cell r="V121">
            <v>0</v>
          </cell>
        </row>
        <row r="121">
          <cell r="X121">
            <v>38596</v>
          </cell>
          <cell r="Y121">
            <v>18.4580931990986</v>
          </cell>
          <cell r="Z121">
            <v>0</v>
          </cell>
          <cell r="AA121">
            <v>18.4580931990986</v>
          </cell>
        </row>
        <row r="122">
          <cell r="A122">
            <v>38626</v>
          </cell>
          <cell r="B122">
            <v>2.784</v>
          </cell>
          <cell r="C122">
            <v>0</v>
          </cell>
          <cell r="D122">
            <v>2.784</v>
          </cell>
        </row>
        <row r="122">
          <cell r="F122">
            <v>38626</v>
          </cell>
          <cell r="G122">
            <v>19.5916666666667</v>
          </cell>
          <cell r="H122">
            <v>0</v>
          </cell>
          <cell r="I122">
            <v>19.5916666666667</v>
          </cell>
        </row>
        <row r="122">
          <cell r="P122">
            <v>38626</v>
          </cell>
          <cell r="Q122">
            <v>-0.37</v>
          </cell>
          <cell r="R122">
            <v>2.414</v>
          </cell>
          <cell r="S122">
            <v>3.33523886845939</v>
          </cell>
          <cell r="T122">
            <v>2.414</v>
          </cell>
          <cell r="U122">
            <v>3.33523886845939</v>
          </cell>
          <cell r="V122">
            <v>0</v>
          </cell>
        </row>
        <row r="122">
          <cell r="X122">
            <v>38626</v>
          </cell>
          <cell r="Y122">
            <v>18.3018308724883</v>
          </cell>
          <cell r="Z122">
            <v>0</v>
          </cell>
          <cell r="AA122">
            <v>18.3018308724883</v>
          </cell>
        </row>
        <row r="123">
          <cell r="A123">
            <v>38657</v>
          </cell>
          <cell r="B123">
            <v>2.91</v>
          </cell>
          <cell r="C123">
            <v>0</v>
          </cell>
          <cell r="D123">
            <v>2.91</v>
          </cell>
        </row>
        <row r="123">
          <cell r="F123">
            <v>38657</v>
          </cell>
          <cell r="G123">
            <v>19.5858333333333</v>
          </cell>
          <cell r="H123">
            <v>0</v>
          </cell>
          <cell r="I123">
            <v>19.5858333333333</v>
          </cell>
        </row>
        <row r="123">
          <cell r="P123">
            <v>38657</v>
          </cell>
          <cell r="Q123">
            <v>-0.36</v>
          </cell>
          <cell r="R123">
            <v>2.55</v>
          </cell>
          <cell r="S123">
            <v>3.52063189307595</v>
          </cell>
          <cell r="T123">
            <v>2.55</v>
          </cell>
          <cell r="U123">
            <v>3.52063189307595</v>
          </cell>
          <cell r="V123">
            <v>0</v>
          </cell>
        </row>
        <row r="123">
          <cell r="X123">
            <v>38657</v>
          </cell>
          <cell r="Y123">
            <v>18.4155242729264</v>
          </cell>
          <cell r="Z123">
            <v>0</v>
          </cell>
          <cell r="AA123">
            <v>18.4155242729264</v>
          </cell>
        </row>
        <row r="124">
          <cell r="A124">
            <v>38687</v>
          </cell>
          <cell r="B124">
            <v>3.03</v>
          </cell>
          <cell r="C124">
            <v>0</v>
          </cell>
          <cell r="D124">
            <v>3.03</v>
          </cell>
        </row>
        <row r="124">
          <cell r="F124">
            <v>38687</v>
          </cell>
          <cell r="G124">
            <v>19.58</v>
          </cell>
          <cell r="H124">
            <v>0</v>
          </cell>
          <cell r="I124">
            <v>19.58</v>
          </cell>
        </row>
        <row r="124">
          <cell r="P124">
            <v>38687</v>
          </cell>
          <cell r="Q124">
            <v>-0.36</v>
          </cell>
          <cell r="R124">
            <v>2.67</v>
          </cell>
          <cell r="S124">
            <v>3.68377154999166</v>
          </cell>
          <cell r="T124">
            <v>2.67</v>
          </cell>
          <cell r="U124">
            <v>3.68377154999166</v>
          </cell>
          <cell r="V124">
            <v>0</v>
          </cell>
        </row>
        <row r="124">
          <cell r="X124">
            <v>38687</v>
          </cell>
          <cell r="Y124">
            <v>18.4423749034002</v>
          </cell>
          <cell r="Z124">
            <v>0</v>
          </cell>
          <cell r="AA124">
            <v>18.4423749034002</v>
          </cell>
        </row>
        <row r="125">
          <cell r="A125">
            <v>38718</v>
          </cell>
          <cell r="B125">
            <v>3.076</v>
          </cell>
          <cell r="C125">
            <v>0</v>
          </cell>
          <cell r="D125">
            <v>3.076</v>
          </cell>
        </row>
        <row r="125">
          <cell r="F125">
            <v>38718</v>
          </cell>
          <cell r="G125">
            <v>19.58</v>
          </cell>
          <cell r="H125">
            <v>0</v>
          </cell>
          <cell r="I125">
            <v>19.58</v>
          </cell>
        </row>
        <row r="125">
          <cell r="P125">
            <v>38718</v>
          </cell>
          <cell r="Q125">
            <v>-0.36</v>
          </cell>
          <cell r="R125">
            <v>2.716</v>
          </cell>
          <cell r="S125">
            <v>3.74457452301439</v>
          </cell>
          <cell r="T125">
            <v>2.716</v>
          </cell>
          <cell r="U125">
            <v>3.74457452301439</v>
          </cell>
          <cell r="V125">
            <v>0</v>
          </cell>
        </row>
        <row r="125">
          <cell r="X125">
            <v>38718</v>
          </cell>
          <cell r="Y125">
            <v>18.4118042471665</v>
          </cell>
          <cell r="Z125">
            <v>0</v>
          </cell>
          <cell r="AA125">
            <v>18.4118042471665</v>
          </cell>
        </row>
        <row r="126">
          <cell r="A126">
            <v>38749</v>
          </cell>
          <cell r="B126">
            <v>2.975</v>
          </cell>
          <cell r="C126">
            <v>0</v>
          </cell>
          <cell r="D126">
            <v>2.975</v>
          </cell>
        </row>
        <row r="126">
          <cell r="F126">
            <v>38749</v>
          </cell>
          <cell r="G126">
            <v>19.58</v>
          </cell>
          <cell r="H126">
            <v>0</v>
          </cell>
          <cell r="I126">
            <v>19.58</v>
          </cell>
        </row>
        <row r="126">
          <cell r="P126">
            <v>38749</v>
          </cell>
          <cell r="Q126">
            <v>-0.36</v>
          </cell>
          <cell r="R126">
            <v>2.615</v>
          </cell>
          <cell r="S126">
            <v>3.60276517628072</v>
          </cell>
          <cell r="T126">
            <v>2.615</v>
          </cell>
          <cell r="U126">
            <v>3.60276517628072</v>
          </cell>
          <cell r="V126">
            <v>0</v>
          </cell>
        </row>
        <row r="126">
          <cell r="X126">
            <v>38749</v>
          </cell>
          <cell r="Y126">
            <v>18.4372797940279</v>
          </cell>
          <cell r="Z126">
            <v>0</v>
          </cell>
          <cell r="AA126">
            <v>18.4372797940279</v>
          </cell>
        </row>
        <row r="127">
          <cell r="A127">
            <v>38777</v>
          </cell>
          <cell r="B127">
            <v>2.869</v>
          </cell>
          <cell r="C127">
            <v>0</v>
          </cell>
          <cell r="D127">
            <v>2.869</v>
          </cell>
        </row>
        <row r="127">
          <cell r="F127">
            <v>38777</v>
          </cell>
          <cell r="G127">
            <v>19.58</v>
          </cell>
          <cell r="H127">
            <v>0</v>
          </cell>
          <cell r="I127">
            <v>19.58</v>
          </cell>
        </row>
        <row r="127">
          <cell r="P127">
            <v>38777</v>
          </cell>
          <cell r="Q127">
            <v>-0.36</v>
          </cell>
          <cell r="R127">
            <v>2.509</v>
          </cell>
          <cell r="S127">
            <v>3.45451079025057</v>
          </cell>
          <cell r="T127">
            <v>2.509</v>
          </cell>
          <cell r="U127">
            <v>3.45451079025057</v>
          </cell>
          <cell r="V127">
            <v>0</v>
          </cell>
        </row>
        <row r="127">
          <cell r="X127">
            <v>38777</v>
          </cell>
          <cell r="Y127">
            <v>18.4248501716434</v>
          </cell>
          <cell r="Z127">
            <v>0</v>
          </cell>
          <cell r="AA127">
            <v>18.4248501716434</v>
          </cell>
        </row>
        <row r="128">
          <cell r="A128">
            <v>38808</v>
          </cell>
          <cell r="B128">
            <v>2.778</v>
          </cell>
          <cell r="C128">
            <v>0</v>
          </cell>
          <cell r="D128">
            <v>2.778</v>
          </cell>
        </row>
        <row r="128">
          <cell r="F128">
            <v>38808</v>
          </cell>
          <cell r="G128">
            <v>19.58</v>
          </cell>
          <cell r="H128">
            <v>0</v>
          </cell>
          <cell r="I128">
            <v>19.58</v>
          </cell>
        </row>
        <row r="128">
          <cell r="P128">
            <v>38808</v>
          </cell>
          <cell r="Q128">
            <v>-0.4</v>
          </cell>
          <cell r="R128">
            <v>2.378</v>
          </cell>
          <cell r="S128">
            <v>3.27182298784892</v>
          </cell>
          <cell r="T128">
            <v>2.378</v>
          </cell>
          <cell r="U128">
            <v>3.27182298784892</v>
          </cell>
          <cell r="V128">
            <v>0</v>
          </cell>
        </row>
        <row r="128">
          <cell r="X128">
            <v>38808</v>
          </cell>
          <cell r="Y128">
            <v>18.4361498283566</v>
          </cell>
          <cell r="Z128">
            <v>0</v>
          </cell>
          <cell r="AA128">
            <v>18.4361498283566</v>
          </cell>
        </row>
        <row r="129">
          <cell r="A129">
            <v>38838</v>
          </cell>
          <cell r="B129">
            <v>2.781</v>
          </cell>
          <cell r="C129">
            <v>0</v>
          </cell>
          <cell r="D129">
            <v>2.781</v>
          </cell>
        </row>
        <row r="129">
          <cell r="F129">
            <v>38838</v>
          </cell>
          <cell r="G129">
            <v>19.58</v>
          </cell>
          <cell r="H129">
            <v>0</v>
          </cell>
          <cell r="I129">
            <v>19.58</v>
          </cell>
        </row>
        <row r="129">
          <cell r="P129">
            <v>38838</v>
          </cell>
          <cell r="Q129">
            <v>-0.4</v>
          </cell>
          <cell r="R129">
            <v>2.381</v>
          </cell>
          <cell r="S129">
            <v>3.27370535239759</v>
          </cell>
          <cell r="T129">
            <v>2.381</v>
          </cell>
          <cell r="U129">
            <v>3.27370535239759</v>
          </cell>
          <cell r="V129">
            <v>0</v>
          </cell>
        </row>
        <row r="129">
          <cell r="X129">
            <v>38838</v>
          </cell>
          <cell r="Y129">
            <v>18.4261539781872</v>
          </cell>
          <cell r="Z129">
            <v>0</v>
          </cell>
          <cell r="AA129">
            <v>18.4261539781872</v>
          </cell>
        </row>
        <row r="130">
          <cell r="A130">
            <v>38869</v>
          </cell>
          <cell r="B130">
            <v>2.793</v>
          </cell>
          <cell r="C130">
            <v>0</v>
          </cell>
          <cell r="D130">
            <v>2.793</v>
          </cell>
        </row>
        <row r="130">
          <cell r="F130">
            <v>38869</v>
          </cell>
          <cell r="G130">
            <v>19.58</v>
          </cell>
          <cell r="H130">
            <v>0</v>
          </cell>
          <cell r="I130">
            <v>19.58</v>
          </cell>
        </row>
        <row r="130">
          <cell r="P130">
            <v>38869</v>
          </cell>
          <cell r="Q130">
            <v>-0.4</v>
          </cell>
          <cell r="R130">
            <v>2.393</v>
          </cell>
          <cell r="S130">
            <v>3.28787631857993</v>
          </cell>
          <cell r="T130">
            <v>2.393</v>
          </cell>
          <cell r="U130">
            <v>3.28787631857993</v>
          </cell>
          <cell r="V130">
            <v>0</v>
          </cell>
        </row>
        <row r="130">
          <cell r="X130">
            <v>38869</v>
          </cell>
          <cell r="Y130">
            <v>18.1928460218128</v>
          </cell>
          <cell r="Z130">
            <v>0</v>
          </cell>
          <cell r="AA130">
            <v>18.1928460218128</v>
          </cell>
        </row>
        <row r="131">
          <cell r="A131">
            <v>38899</v>
          </cell>
          <cell r="B131">
            <v>2.804</v>
          </cell>
          <cell r="C131">
            <v>0</v>
          </cell>
          <cell r="D131">
            <v>2.804</v>
          </cell>
        </row>
        <row r="131">
          <cell r="F131">
            <v>38899</v>
          </cell>
          <cell r="G131">
            <v>19.58</v>
          </cell>
          <cell r="H131">
            <v>0</v>
          </cell>
          <cell r="I131">
            <v>19.58</v>
          </cell>
        </row>
        <row r="131">
          <cell r="P131">
            <v>38899</v>
          </cell>
          <cell r="Q131">
            <v>-0.4</v>
          </cell>
          <cell r="R131">
            <v>2.404</v>
          </cell>
          <cell r="S131">
            <v>3.3007299008654</v>
          </cell>
          <cell r="T131">
            <v>2.404</v>
          </cell>
          <cell r="U131">
            <v>3.3007299008654</v>
          </cell>
          <cell r="V131">
            <v>0</v>
          </cell>
        </row>
        <row r="131">
          <cell r="X131">
            <v>38899</v>
          </cell>
          <cell r="Y131">
            <v>18.3992338293748</v>
          </cell>
          <cell r="Z131">
            <v>0</v>
          </cell>
          <cell r="AA131">
            <v>18.3992338293748</v>
          </cell>
        </row>
        <row r="132">
          <cell r="A132">
            <v>38930</v>
          </cell>
          <cell r="B132">
            <v>2.813</v>
          </cell>
          <cell r="C132">
            <v>0</v>
          </cell>
          <cell r="D132">
            <v>2.813</v>
          </cell>
        </row>
        <row r="132">
          <cell r="F132">
            <v>38930</v>
          </cell>
          <cell r="G132">
            <v>19.58</v>
          </cell>
          <cell r="H132">
            <v>0</v>
          </cell>
          <cell r="I132">
            <v>19.58</v>
          </cell>
        </row>
        <row r="132">
          <cell r="P132">
            <v>38930</v>
          </cell>
          <cell r="Q132">
            <v>-0.4</v>
          </cell>
          <cell r="R132">
            <v>2.413</v>
          </cell>
          <cell r="S132">
            <v>3.31074666314799</v>
          </cell>
          <cell r="T132">
            <v>2.413</v>
          </cell>
          <cell r="U132">
            <v>3.31074666314799</v>
          </cell>
          <cell r="V132">
            <v>0</v>
          </cell>
        </row>
        <row r="132">
          <cell r="X132">
            <v>38930</v>
          </cell>
          <cell r="Y132">
            <v>18.2347218088543</v>
          </cell>
          <cell r="Z132">
            <v>0</v>
          </cell>
          <cell r="AA132">
            <v>18.2347218088543</v>
          </cell>
        </row>
        <row r="133">
          <cell r="A133">
            <v>38961</v>
          </cell>
          <cell r="B133">
            <v>2.817</v>
          </cell>
          <cell r="C133">
            <v>0</v>
          </cell>
          <cell r="D133">
            <v>2.817</v>
          </cell>
        </row>
        <row r="133">
          <cell r="F133">
            <v>38961</v>
          </cell>
          <cell r="G133">
            <v>19.58</v>
          </cell>
          <cell r="H133">
            <v>0</v>
          </cell>
          <cell r="I133">
            <v>19.58</v>
          </cell>
        </row>
        <row r="133">
          <cell r="P133">
            <v>38961</v>
          </cell>
          <cell r="Q133">
            <v>-0.4</v>
          </cell>
          <cell r="R133">
            <v>2.417</v>
          </cell>
          <cell r="S133">
            <v>3.31389427352027</v>
          </cell>
          <cell r="T133">
            <v>2.417</v>
          </cell>
          <cell r="U133">
            <v>3.31389427352027</v>
          </cell>
          <cell r="V133">
            <v>0</v>
          </cell>
        </row>
        <row r="133">
          <cell r="X133">
            <v>38961</v>
          </cell>
          <cell r="Y133">
            <v>18.4236801737688</v>
          </cell>
          <cell r="Z133">
            <v>0</v>
          </cell>
          <cell r="AA133">
            <v>18.4236801737688</v>
          </cell>
        </row>
        <row r="134">
          <cell r="A134">
            <v>38991</v>
          </cell>
          <cell r="B134">
            <v>2.841</v>
          </cell>
          <cell r="C134">
            <v>0</v>
          </cell>
          <cell r="D134">
            <v>2.841</v>
          </cell>
        </row>
        <row r="134">
          <cell r="F134">
            <v>38991</v>
          </cell>
          <cell r="G134">
            <v>19.58</v>
          </cell>
          <cell r="H134">
            <v>0</v>
          </cell>
          <cell r="I134">
            <v>19.58</v>
          </cell>
        </row>
        <row r="134">
          <cell r="P134">
            <v>38991</v>
          </cell>
          <cell r="Q134">
            <v>-0.4</v>
          </cell>
          <cell r="R134">
            <v>2.441</v>
          </cell>
          <cell r="S134">
            <v>3.34451611031026</v>
          </cell>
          <cell r="T134">
            <v>2.441</v>
          </cell>
          <cell r="U134">
            <v>3.34451611031026</v>
          </cell>
          <cell r="V134">
            <v>0</v>
          </cell>
        </row>
        <row r="134">
          <cell r="X134">
            <v>38991</v>
          </cell>
          <cell r="Y134">
            <v>18.2644844817163</v>
          </cell>
          <cell r="Z134">
            <v>0</v>
          </cell>
          <cell r="AA134">
            <v>18.2644844817163</v>
          </cell>
        </row>
        <row r="135">
          <cell r="A135">
            <v>39022</v>
          </cell>
          <cell r="B135">
            <v>2.962</v>
          </cell>
          <cell r="C135">
            <v>0</v>
          </cell>
          <cell r="D135">
            <v>2.962</v>
          </cell>
        </row>
        <row r="135">
          <cell r="F135">
            <v>39022</v>
          </cell>
          <cell r="G135">
            <v>19.58</v>
          </cell>
          <cell r="H135">
            <v>0</v>
          </cell>
          <cell r="I135">
            <v>19.58</v>
          </cell>
        </row>
        <row r="135">
          <cell r="P135">
            <v>39022</v>
          </cell>
          <cell r="Q135">
            <v>-0.39</v>
          </cell>
          <cell r="R135">
            <v>2.572</v>
          </cell>
          <cell r="S135">
            <v>3.52152171446246</v>
          </cell>
          <cell r="T135">
            <v>2.572</v>
          </cell>
          <cell r="U135">
            <v>3.52152171446246</v>
          </cell>
          <cell r="V135">
            <v>0</v>
          </cell>
        </row>
        <row r="135">
          <cell r="X135">
            <v>39022</v>
          </cell>
          <cell r="Y135">
            <v>18.3966231984397</v>
          </cell>
          <cell r="Z135">
            <v>0</v>
          </cell>
          <cell r="AA135">
            <v>18.3966231984397</v>
          </cell>
        </row>
        <row r="136">
          <cell r="A136">
            <v>39052</v>
          </cell>
          <cell r="B136">
            <v>3.079</v>
          </cell>
          <cell r="C136">
            <v>0</v>
          </cell>
          <cell r="D136">
            <v>3.079</v>
          </cell>
        </row>
        <row r="136">
          <cell r="F136">
            <v>39052</v>
          </cell>
          <cell r="G136">
            <v>19.58</v>
          </cell>
          <cell r="H136">
            <v>0</v>
          </cell>
          <cell r="I136">
            <v>19.58</v>
          </cell>
        </row>
        <row r="136">
          <cell r="P136">
            <v>39052</v>
          </cell>
          <cell r="Q136">
            <v>-0.39</v>
          </cell>
          <cell r="R136">
            <v>2.689</v>
          </cell>
          <cell r="S136">
            <v>3.67920706032549</v>
          </cell>
          <cell r="T136">
            <v>2.689</v>
          </cell>
          <cell r="U136">
            <v>3.67920706032549</v>
          </cell>
          <cell r="V136">
            <v>0</v>
          </cell>
        </row>
        <row r="136">
          <cell r="X136">
            <v>39052</v>
          </cell>
          <cell r="Y136">
            <v>18.4143640013002</v>
          </cell>
          <cell r="Z136">
            <v>0</v>
          </cell>
          <cell r="AA136">
            <v>18.4143640013002</v>
          </cell>
        </row>
        <row r="137">
          <cell r="A137">
            <v>39083</v>
          </cell>
          <cell r="B137">
            <v>3.128</v>
          </cell>
          <cell r="C137">
            <v>0</v>
          </cell>
          <cell r="D137">
            <v>3.128</v>
          </cell>
        </row>
        <row r="137">
          <cell r="F137">
            <v>39083</v>
          </cell>
          <cell r="G137">
            <v>19.63</v>
          </cell>
          <cell r="H137">
            <v>0</v>
          </cell>
          <cell r="I137">
            <v>19.63</v>
          </cell>
        </row>
        <row r="137">
          <cell r="P137">
            <v>39083</v>
          </cell>
          <cell r="Q137">
            <v>-0.39</v>
          </cell>
          <cell r="R137">
            <v>2.738</v>
          </cell>
          <cell r="S137">
            <v>3.7436159473452</v>
          </cell>
          <cell r="T137">
            <v>2.738</v>
          </cell>
          <cell r="U137">
            <v>3.7436159473452</v>
          </cell>
          <cell r="V137">
            <v>0</v>
          </cell>
        </row>
        <row r="137">
          <cell r="X137">
            <v>39083</v>
          </cell>
          <cell r="Y137">
            <v>18.4329133322498</v>
          </cell>
          <cell r="Z137">
            <v>0</v>
          </cell>
          <cell r="AA137">
            <v>18.4329133322498</v>
          </cell>
        </row>
        <row r="138">
          <cell r="A138">
            <v>39114</v>
          </cell>
          <cell r="B138">
            <v>3.031</v>
          </cell>
          <cell r="C138">
            <v>0</v>
          </cell>
          <cell r="D138">
            <v>3.031</v>
          </cell>
        </row>
        <row r="138">
          <cell r="F138">
            <v>39114</v>
          </cell>
          <cell r="G138">
            <v>19.68</v>
          </cell>
          <cell r="H138">
            <v>0</v>
          </cell>
          <cell r="I138">
            <v>19.68</v>
          </cell>
        </row>
        <row r="138">
          <cell r="P138">
            <v>39114</v>
          </cell>
          <cell r="Q138">
            <v>-0.39</v>
          </cell>
          <cell r="R138">
            <v>2.641</v>
          </cell>
          <cell r="S138">
            <v>3.60845197145312</v>
          </cell>
          <cell r="T138">
            <v>2.641</v>
          </cell>
          <cell r="U138">
            <v>3.60845197145312</v>
          </cell>
          <cell r="V138">
            <v>0</v>
          </cell>
        </row>
        <row r="138">
          <cell r="X138">
            <v>39114</v>
          </cell>
          <cell r="Y138">
            <v>18.5096866677502</v>
          </cell>
          <cell r="Z138">
            <v>0</v>
          </cell>
          <cell r="AA138">
            <v>18.5096866677502</v>
          </cell>
        </row>
        <row r="139">
          <cell r="A139">
            <v>39142</v>
          </cell>
          <cell r="B139">
            <v>2.928</v>
          </cell>
          <cell r="C139">
            <v>0</v>
          </cell>
          <cell r="D139">
            <v>2.928</v>
          </cell>
        </row>
        <row r="139">
          <cell r="F139">
            <v>39142</v>
          </cell>
          <cell r="G139">
            <v>19.73</v>
          </cell>
          <cell r="H139">
            <v>0</v>
          </cell>
          <cell r="I139">
            <v>19.73</v>
          </cell>
        </row>
        <row r="139">
          <cell r="P139">
            <v>39142</v>
          </cell>
          <cell r="Q139">
            <v>-0.39</v>
          </cell>
          <cell r="R139">
            <v>2.538</v>
          </cell>
          <cell r="S139">
            <v>3.46552155443831</v>
          </cell>
          <cell r="T139">
            <v>2.538</v>
          </cell>
          <cell r="U139">
            <v>3.46552155443831</v>
          </cell>
          <cell r="V139">
            <v>0</v>
          </cell>
        </row>
        <row r="139">
          <cell r="X139">
            <v>39142</v>
          </cell>
          <cell r="Y139">
            <v>18.5435246146345</v>
          </cell>
          <cell r="Z139">
            <v>0</v>
          </cell>
          <cell r="AA139">
            <v>18.5435246146345</v>
          </cell>
        </row>
        <row r="140">
          <cell r="A140">
            <v>39173</v>
          </cell>
          <cell r="B140">
            <v>2.84</v>
          </cell>
          <cell r="C140">
            <v>0</v>
          </cell>
          <cell r="D140">
            <v>2.84</v>
          </cell>
        </row>
        <row r="140">
          <cell r="F140">
            <v>39173</v>
          </cell>
          <cell r="G140">
            <v>19.78</v>
          </cell>
          <cell r="H140">
            <v>0</v>
          </cell>
          <cell r="I140">
            <v>19.78</v>
          </cell>
        </row>
        <row r="140">
          <cell r="P140">
            <v>39173</v>
          </cell>
          <cell r="Q140">
            <v>-0.43</v>
          </cell>
          <cell r="R140">
            <v>2.41</v>
          </cell>
          <cell r="S140">
            <v>3.28843467250171</v>
          </cell>
          <cell r="T140">
            <v>2.41</v>
          </cell>
          <cell r="U140">
            <v>3.28843467250171</v>
          </cell>
          <cell r="V140">
            <v>0</v>
          </cell>
        </row>
        <row r="140">
          <cell r="X140">
            <v>39173</v>
          </cell>
          <cell r="Y140">
            <v>18.6094753853655</v>
          </cell>
          <cell r="Z140">
            <v>0</v>
          </cell>
          <cell r="AA140">
            <v>18.6094753853655</v>
          </cell>
        </row>
        <row r="141">
          <cell r="A141">
            <v>39203</v>
          </cell>
          <cell r="B141">
            <v>2.844</v>
          </cell>
          <cell r="C141">
            <v>0</v>
          </cell>
          <cell r="D141">
            <v>2.844</v>
          </cell>
        </row>
        <row r="141">
          <cell r="F141">
            <v>39203</v>
          </cell>
          <cell r="G141">
            <v>19.83</v>
          </cell>
          <cell r="H141">
            <v>0</v>
          </cell>
          <cell r="I141">
            <v>19.83</v>
          </cell>
        </row>
        <row r="141">
          <cell r="P141">
            <v>39203</v>
          </cell>
          <cell r="Q141">
            <v>-0.43</v>
          </cell>
          <cell r="R141">
            <v>2.414</v>
          </cell>
          <cell r="S141">
            <v>3.29164016012237</v>
          </cell>
          <cell r="T141">
            <v>2.414</v>
          </cell>
          <cell r="U141">
            <v>3.29164016012237</v>
          </cell>
          <cell r="V141">
            <v>0</v>
          </cell>
        </row>
        <row r="141">
          <cell r="X141">
            <v>39203</v>
          </cell>
          <cell r="Y141">
            <v>18.6465205121954</v>
          </cell>
          <cell r="Z141">
            <v>0</v>
          </cell>
          <cell r="AA141">
            <v>18.6465205121954</v>
          </cell>
        </row>
        <row r="142">
          <cell r="A142">
            <v>39234</v>
          </cell>
          <cell r="B142">
            <v>2.857</v>
          </cell>
          <cell r="C142">
            <v>0</v>
          </cell>
          <cell r="D142">
            <v>2.857</v>
          </cell>
        </row>
        <row r="142">
          <cell r="F142">
            <v>39234</v>
          </cell>
          <cell r="G142">
            <v>19.88</v>
          </cell>
          <cell r="H142">
            <v>0</v>
          </cell>
          <cell r="I142">
            <v>19.88</v>
          </cell>
        </row>
        <row r="142">
          <cell r="P142">
            <v>39234</v>
          </cell>
          <cell r="Q142">
            <v>-0.43</v>
          </cell>
          <cell r="R142">
            <v>2.427</v>
          </cell>
          <cell r="S142">
            <v>3.30702745016289</v>
          </cell>
          <cell r="T142">
            <v>2.427</v>
          </cell>
          <cell r="U142">
            <v>3.30702745016289</v>
          </cell>
          <cell r="V142">
            <v>0</v>
          </cell>
        </row>
        <row r="142">
          <cell r="X142">
            <v>39234</v>
          </cell>
          <cell r="Y142">
            <v>18.4675722616406</v>
          </cell>
          <cell r="Z142">
            <v>0</v>
          </cell>
          <cell r="AA142">
            <v>18.4675722616406</v>
          </cell>
        </row>
        <row r="143">
          <cell r="A143">
            <v>39264</v>
          </cell>
          <cell r="B143">
            <v>2.868</v>
          </cell>
          <cell r="C143">
            <v>0</v>
          </cell>
          <cell r="D143">
            <v>2.868</v>
          </cell>
        </row>
        <row r="143">
          <cell r="F143">
            <v>39264</v>
          </cell>
          <cell r="G143">
            <v>19.93</v>
          </cell>
          <cell r="H143">
            <v>0</v>
          </cell>
          <cell r="I143">
            <v>19.93</v>
          </cell>
        </row>
        <row r="143">
          <cell r="P143">
            <v>39264</v>
          </cell>
          <cell r="Q143">
            <v>-0.43</v>
          </cell>
          <cell r="R143">
            <v>2.438</v>
          </cell>
          <cell r="S143">
            <v>3.31974525071631</v>
          </cell>
          <cell r="T143">
            <v>2.438</v>
          </cell>
          <cell r="U143">
            <v>3.31974525071631</v>
          </cell>
          <cell r="V143">
            <v>0</v>
          </cell>
        </row>
        <row r="143">
          <cell r="X143">
            <v>39264</v>
          </cell>
          <cell r="Y143">
            <v>18.716136721815</v>
          </cell>
          <cell r="Z143">
            <v>0</v>
          </cell>
          <cell r="AA143">
            <v>18.716136721815</v>
          </cell>
        </row>
        <row r="144">
          <cell r="A144">
            <v>39295</v>
          </cell>
          <cell r="B144">
            <v>2.877</v>
          </cell>
          <cell r="C144">
            <v>0</v>
          </cell>
          <cell r="D144">
            <v>2.877</v>
          </cell>
        </row>
        <row r="144">
          <cell r="F144">
            <v>39295</v>
          </cell>
          <cell r="G144">
            <v>19.98</v>
          </cell>
          <cell r="H144">
            <v>0</v>
          </cell>
          <cell r="I144">
            <v>19.98</v>
          </cell>
        </row>
        <row r="144">
          <cell r="P144">
            <v>39295</v>
          </cell>
          <cell r="Q144">
            <v>-0.43</v>
          </cell>
          <cell r="R144">
            <v>2.447</v>
          </cell>
          <cell r="S144">
            <v>3.32964826839818</v>
          </cell>
          <cell r="T144">
            <v>2.447</v>
          </cell>
          <cell r="U144">
            <v>3.32964826839818</v>
          </cell>
          <cell r="V144">
            <v>0</v>
          </cell>
        </row>
        <row r="144">
          <cell r="X144">
            <v>39295</v>
          </cell>
          <cell r="Y144">
            <v>18.5997393438046</v>
          </cell>
          <cell r="Z144">
            <v>0</v>
          </cell>
          <cell r="AA144">
            <v>18.5997393438046</v>
          </cell>
        </row>
        <row r="145">
          <cell r="A145">
            <v>39326</v>
          </cell>
          <cell r="B145">
            <v>2.88</v>
          </cell>
          <cell r="C145">
            <v>0</v>
          </cell>
          <cell r="D145">
            <v>2.88</v>
          </cell>
        </row>
        <row r="145">
          <cell r="F145">
            <v>39326</v>
          </cell>
          <cell r="G145">
            <v>20.03</v>
          </cell>
          <cell r="H145">
            <v>0</v>
          </cell>
          <cell r="I145">
            <v>20.03</v>
          </cell>
        </row>
        <row r="145">
          <cell r="P145">
            <v>39326</v>
          </cell>
          <cell r="Q145">
            <v>-0.43</v>
          </cell>
          <cell r="R145">
            <v>2.45</v>
          </cell>
          <cell r="S145">
            <v>3.3313787181612</v>
          </cell>
          <cell r="T145">
            <v>2.45</v>
          </cell>
          <cell r="U145">
            <v>3.3313787181612</v>
          </cell>
          <cell r="V145">
            <v>0</v>
          </cell>
        </row>
        <row r="145">
          <cell r="X145">
            <v>39326</v>
          </cell>
          <cell r="Y145">
            <v>18.8381227690517</v>
          </cell>
          <cell r="Z145">
            <v>0</v>
          </cell>
          <cell r="AA145">
            <v>18.8381227690517</v>
          </cell>
        </row>
        <row r="146">
          <cell r="A146">
            <v>39356</v>
          </cell>
          <cell r="B146">
            <v>2.903</v>
          </cell>
          <cell r="C146">
            <v>0</v>
          </cell>
          <cell r="D146">
            <v>2.903</v>
          </cell>
        </row>
        <row r="146">
          <cell r="F146">
            <v>39356</v>
          </cell>
          <cell r="G146">
            <v>20.08</v>
          </cell>
          <cell r="H146">
            <v>0</v>
          </cell>
          <cell r="I146">
            <v>20.08</v>
          </cell>
        </row>
        <row r="146">
          <cell r="P146">
            <v>39356</v>
          </cell>
          <cell r="Q146">
            <v>-0.43</v>
          </cell>
          <cell r="R146">
            <v>2.473</v>
          </cell>
          <cell r="S146">
            <v>3.36035878707988</v>
          </cell>
          <cell r="T146">
            <v>2.473</v>
          </cell>
          <cell r="U146">
            <v>3.36035878707988</v>
          </cell>
          <cell r="V146">
            <v>0</v>
          </cell>
        </row>
        <row r="146">
          <cell r="X146">
            <v>39356</v>
          </cell>
          <cell r="Y146">
            <v>18.7400055622679</v>
          </cell>
          <cell r="Z146">
            <v>0</v>
          </cell>
          <cell r="AA146">
            <v>18.7400055622679</v>
          </cell>
        </row>
        <row r="147">
          <cell r="A147">
            <v>39387</v>
          </cell>
          <cell r="B147">
            <v>3.019</v>
          </cell>
          <cell r="C147">
            <v>0</v>
          </cell>
          <cell r="D147">
            <v>3.019</v>
          </cell>
        </row>
        <row r="147">
          <cell r="F147">
            <v>39387</v>
          </cell>
          <cell r="G147">
            <v>20.13</v>
          </cell>
          <cell r="H147">
            <v>0</v>
          </cell>
          <cell r="I147">
            <v>20.13</v>
          </cell>
        </row>
        <row r="147">
          <cell r="P147">
            <v>39387</v>
          </cell>
          <cell r="Q147">
            <v>-0.42</v>
          </cell>
          <cell r="R147">
            <v>2.599</v>
          </cell>
          <cell r="S147">
            <v>3.52908193549643</v>
          </cell>
          <cell r="T147">
            <v>2.599</v>
          </cell>
          <cell r="U147">
            <v>3.52908193549643</v>
          </cell>
          <cell r="V147">
            <v>0</v>
          </cell>
        </row>
        <row r="147">
          <cell r="X147">
            <v>39387</v>
          </cell>
          <cell r="Y147">
            <v>18.9161944377321</v>
          </cell>
          <cell r="Z147">
            <v>0</v>
          </cell>
          <cell r="AA147">
            <v>18.9161944377321</v>
          </cell>
        </row>
        <row r="148">
          <cell r="A148">
            <v>39417</v>
          </cell>
          <cell r="B148">
            <v>3.133</v>
          </cell>
          <cell r="C148">
            <v>0</v>
          </cell>
          <cell r="D148">
            <v>3.133</v>
          </cell>
        </row>
        <row r="148">
          <cell r="F148">
            <v>39417</v>
          </cell>
          <cell r="G148">
            <v>20.18</v>
          </cell>
          <cell r="H148">
            <v>0</v>
          </cell>
          <cell r="I148">
            <v>20.18</v>
          </cell>
        </row>
        <row r="148">
          <cell r="P148">
            <v>39417</v>
          </cell>
          <cell r="Q148">
            <v>-0.42</v>
          </cell>
          <cell r="R148">
            <v>2.713</v>
          </cell>
          <cell r="S148">
            <v>3.68136813810133</v>
          </cell>
          <cell r="T148">
            <v>2.713</v>
          </cell>
          <cell r="U148">
            <v>3.68136813810133</v>
          </cell>
          <cell r="V148">
            <v>0</v>
          </cell>
        </row>
        <row r="148">
          <cell r="X148">
            <v>39417</v>
          </cell>
          <cell r="Y148">
            <v>18.9835965863599</v>
          </cell>
          <cell r="Z148">
            <v>0</v>
          </cell>
          <cell r="AA148">
            <v>18.9835965863599</v>
          </cell>
        </row>
        <row r="149">
          <cell r="A149">
            <v>39448</v>
          </cell>
          <cell r="B149">
            <v>3.1825</v>
          </cell>
          <cell r="C149">
            <v>0</v>
          </cell>
          <cell r="D149">
            <v>3.1825</v>
          </cell>
        </row>
        <row r="149">
          <cell r="F149">
            <v>39448</v>
          </cell>
          <cell r="G149">
            <v>20.23</v>
          </cell>
          <cell r="H149">
            <v>0</v>
          </cell>
          <cell r="I149">
            <v>20.23</v>
          </cell>
        </row>
        <row r="149">
          <cell r="P149">
            <v>39448</v>
          </cell>
          <cell r="Q149">
            <v>-0.42</v>
          </cell>
          <cell r="R149">
            <v>2.7625</v>
          </cell>
          <cell r="S149">
            <v>3.74589902547153</v>
          </cell>
          <cell r="T149">
            <v>2.7625</v>
          </cell>
          <cell r="U149">
            <v>3.74589902547153</v>
          </cell>
          <cell r="V149">
            <v>0</v>
          </cell>
        </row>
        <row r="149">
          <cell r="X149">
            <v>39448</v>
          </cell>
          <cell r="Y149">
            <v>19.0229861780334</v>
          </cell>
          <cell r="Z149">
            <v>0</v>
          </cell>
          <cell r="AA149">
            <v>19.0229861780334</v>
          </cell>
        </row>
        <row r="150">
          <cell r="A150">
            <v>39479</v>
          </cell>
          <cell r="B150">
            <v>3.0895</v>
          </cell>
          <cell r="C150">
            <v>0</v>
          </cell>
          <cell r="D150">
            <v>3.0895</v>
          </cell>
        </row>
        <row r="150">
          <cell r="F150">
            <v>39479</v>
          </cell>
          <cell r="G150">
            <v>20.28</v>
          </cell>
          <cell r="H150">
            <v>0</v>
          </cell>
          <cell r="I150">
            <v>20.28</v>
          </cell>
        </row>
        <row r="150">
          <cell r="P150">
            <v>39479</v>
          </cell>
          <cell r="Q150">
            <v>-0.42</v>
          </cell>
          <cell r="R150">
            <v>2.6695</v>
          </cell>
          <cell r="S150">
            <v>3.61724754031505</v>
          </cell>
          <cell r="T150">
            <v>2.6695</v>
          </cell>
          <cell r="U150">
            <v>3.61724754031505</v>
          </cell>
          <cell r="V150">
            <v>0</v>
          </cell>
        </row>
        <row r="150">
          <cell r="X150">
            <v>39479</v>
          </cell>
          <cell r="Y150">
            <v>19.0808138219666</v>
          </cell>
          <cell r="Z150">
            <v>0</v>
          </cell>
          <cell r="AA150">
            <v>19.0808138219666</v>
          </cell>
        </row>
        <row r="151">
          <cell r="A151">
            <v>39508</v>
          </cell>
          <cell r="B151">
            <v>2.9895</v>
          </cell>
          <cell r="C151">
            <v>0</v>
          </cell>
          <cell r="D151">
            <v>2.9895</v>
          </cell>
        </row>
        <row r="151">
          <cell r="F151">
            <v>39508</v>
          </cell>
          <cell r="G151">
            <v>20.33</v>
          </cell>
          <cell r="H151">
            <v>0</v>
          </cell>
          <cell r="I151">
            <v>20.33</v>
          </cell>
        </row>
        <row r="151">
          <cell r="P151">
            <v>39508</v>
          </cell>
          <cell r="Q151">
            <v>-0.42</v>
          </cell>
          <cell r="R151">
            <v>2.5695</v>
          </cell>
          <cell r="S151">
            <v>3.47945594415092</v>
          </cell>
          <cell r="T151">
            <v>2.5695</v>
          </cell>
          <cell r="U151">
            <v>3.47945594415092</v>
          </cell>
          <cell r="V151">
            <v>0</v>
          </cell>
        </row>
        <row r="151">
          <cell r="X151">
            <v>39508</v>
          </cell>
          <cell r="Y151">
            <v>19.1673596617154</v>
          </cell>
          <cell r="Z151">
            <v>0</v>
          </cell>
          <cell r="AA151">
            <v>19.1673596617154</v>
          </cell>
        </row>
        <row r="152">
          <cell r="A152">
            <v>39539</v>
          </cell>
          <cell r="B152">
            <v>2.9045</v>
          </cell>
          <cell r="C152">
            <v>0</v>
          </cell>
          <cell r="D152">
            <v>2.9045</v>
          </cell>
        </row>
        <row r="152">
          <cell r="F152">
            <v>39539</v>
          </cell>
          <cell r="G152">
            <v>20.38</v>
          </cell>
          <cell r="H152">
            <v>0</v>
          </cell>
          <cell r="I152">
            <v>20.38</v>
          </cell>
        </row>
        <row r="152">
          <cell r="P152">
            <v>39539</v>
          </cell>
          <cell r="Q152">
            <v>-0.46</v>
          </cell>
          <cell r="R152">
            <v>2.4445</v>
          </cell>
          <cell r="S152">
            <v>3.30786422868746</v>
          </cell>
          <cell r="T152">
            <v>2.4445</v>
          </cell>
          <cell r="U152">
            <v>3.30786422868746</v>
          </cell>
          <cell r="V152">
            <v>0</v>
          </cell>
        </row>
        <row r="152">
          <cell r="X152">
            <v>39539</v>
          </cell>
          <cell r="Y152">
            <v>19.1879912166223</v>
          </cell>
          <cell r="Z152">
            <v>0</v>
          </cell>
          <cell r="AA152">
            <v>19.1879912166223</v>
          </cell>
        </row>
        <row r="153">
          <cell r="A153">
            <v>39569</v>
          </cell>
          <cell r="B153">
            <v>2.9095</v>
          </cell>
          <cell r="C153">
            <v>0</v>
          </cell>
          <cell r="D153">
            <v>2.9095</v>
          </cell>
        </row>
        <row r="153">
          <cell r="F153">
            <v>39569</v>
          </cell>
          <cell r="G153">
            <v>20.43</v>
          </cell>
          <cell r="H153">
            <v>0</v>
          </cell>
          <cell r="I153">
            <v>20.43</v>
          </cell>
        </row>
        <row r="153">
          <cell r="P153">
            <v>39569</v>
          </cell>
          <cell r="Q153">
            <v>-0.46</v>
          </cell>
          <cell r="R153">
            <v>2.4495</v>
          </cell>
          <cell r="S153">
            <v>3.31237901605032</v>
          </cell>
          <cell r="T153">
            <v>2.4495</v>
          </cell>
          <cell r="U153">
            <v>3.31237901605032</v>
          </cell>
          <cell r="V153">
            <v>0</v>
          </cell>
        </row>
        <row r="153">
          <cell r="X153">
            <v>39569</v>
          </cell>
          <cell r="Y153">
            <v>19.2646898030706</v>
          </cell>
          <cell r="Z153">
            <v>0</v>
          </cell>
          <cell r="AA153">
            <v>19.2646898030706</v>
          </cell>
        </row>
        <row r="154">
          <cell r="A154">
            <v>39600</v>
          </cell>
          <cell r="B154">
            <v>2.9235</v>
          </cell>
          <cell r="C154">
            <v>0</v>
          </cell>
          <cell r="D154">
            <v>2.9235</v>
          </cell>
        </row>
        <row r="154">
          <cell r="F154">
            <v>39600</v>
          </cell>
          <cell r="G154">
            <v>20.48</v>
          </cell>
          <cell r="H154">
            <v>0</v>
          </cell>
          <cell r="I154">
            <v>20.48</v>
          </cell>
        </row>
        <row r="154">
          <cell r="P154">
            <v>39600</v>
          </cell>
          <cell r="Q154">
            <v>-0.46</v>
          </cell>
          <cell r="R154">
            <v>2.4635</v>
          </cell>
          <cell r="S154">
            <v>3.32897441242145</v>
          </cell>
          <cell r="T154">
            <v>2.4635</v>
          </cell>
          <cell r="U154">
            <v>3.32897441242145</v>
          </cell>
          <cell r="V154">
            <v>0</v>
          </cell>
        </row>
        <row r="154">
          <cell r="X154">
            <v>39600</v>
          </cell>
          <cell r="Y154">
            <v>19.0666751641078</v>
          </cell>
          <cell r="Z154">
            <v>0</v>
          </cell>
          <cell r="AA154">
            <v>19.0666751641078</v>
          </cell>
        </row>
        <row r="155">
          <cell r="A155">
            <v>39630</v>
          </cell>
          <cell r="B155">
            <v>2.9345</v>
          </cell>
          <cell r="C155">
            <v>0</v>
          </cell>
          <cell r="D155">
            <v>2.9345</v>
          </cell>
        </row>
        <row r="155">
          <cell r="F155">
            <v>39630</v>
          </cell>
          <cell r="G155">
            <v>20.53</v>
          </cell>
          <cell r="H155">
            <v>0</v>
          </cell>
          <cell r="I155">
            <v>20.53</v>
          </cell>
        </row>
        <row r="155">
          <cell r="P155">
            <v>39630</v>
          </cell>
          <cell r="Q155">
            <v>-0.46</v>
          </cell>
          <cell r="R155">
            <v>2.4745</v>
          </cell>
          <cell r="S155">
            <v>3.34157088385024</v>
          </cell>
          <cell r="T155">
            <v>2.4745</v>
          </cell>
          <cell r="U155">
            <v>3.34157088385024</v>
          </cell>
          <cell r="V155">
            <v>0</v>
          </cell>
        </row>
        <row r="155">
          <cell r="X155">
            <v>39630</v>
          </cell>
          <cell r="Y155">
            <v>19.3233540299102</v>
          </cell>
          <cell r="Z155">
            <v>0</v>
          </cell>
          <cell r="AA155">
            <v>19.3233540299102</v>
          </cell>
        </row>
        <row r="156">
          <cell r="A156">
            <v>39661</v>
          </cell>
          <cell r="B156">
            <v>2.9435</v>
          </cell>
          <cell r="C156">
            <v>0</v>
          </cell>
          <cell r="D156">
            <v>2.9435</v>
          </cell>
        </row>
        <row r="156">
          <cell r="F156">
            <v>39661</v>
          </cell>
          <cell r="G156">
            <v>20.58</v>
          </cell>
          <cell r="H156">
            <v>0</v>
          </cell>
          <cell r="I156">
            <v>20.58</v>
          </cell>
        </row>
        <row r="156">
          <cell r="P156">
            <v>39661</v>
          </cell>
          <cell r="Q156">
            <v>-0.46</v>
          </cell>
          <cell r="R156">
            <v>2.4835</v>
          </cell>
          <cell r="S156">
            <v>3.35137549045568</v>
          </cell>
          <cell r="T156">
            <v>2.4835</v>
          </cell>
          <cell r="U156">
            <v>3.35137549045568</v>
          </cell>
          <cell r="V156">
            <v>0</v>
          </cell>
        </row>
        <row r="156">
          <cell r="X156">
            <v>39661</v>
          </cell>
          <cell r="Y156">
            <v>19.1886327000817</v>
          </cell>
          <cell r="Z156">
            <v>0</v>
          </cell>
          <cell r="AA156">
            <v>19.1886327000817</v>
          </cell>
        </row>
        <row r="157">
          <cell r="A157">
            <v>39692</v>
          </cell>
          <cell r="B157">
            <v>2.9455</v>
          </cell>
          <cell r="C157">
            <v>0</v>
          </cell>
          <cell r="D157">
            <v>2.9455</v>
          </cell>
        </row>
        <row r="157">
          <cell r="F157">
            <v>39692</v>
          </cell>
          <cell r="G157">
            <v>20.63</v>
          </cell>
          <cell r="H157">
            <v>0</v>
          </cell>
          <cell r="I157">
            <v>20.63</v>
          </cell>
        </row>
        <row r="157">
          <cell r="P157">
            <v>39692</v>
          </cell>
          <cell r="Q157">
            <v>-0.46</v>
          </cell>
          <cell r="R157">
            <v>2.4855</v>
          </cell>
          <cell r="S157">
            <v>3.3517266938475</v>
          </cell>
          <cell r="T157">
            <v>2.4855</v>
          </cell>
          <cell r="U157">
            <v>3.3517266938475</v>
          </cell>
          <cell r="V157">
            <v>0</v>
          </cell>
        </row>
        <row r="157">
          <cell r="X157">
            <v>39692</v>
          </cell>
          <cell r="Y157">
            <v>19.4450328880491</v>
          </cell>
          <cell r="Z157">
            <v>0</v>
          </cell>
          <cell r="AA157">
            <v>19.4450328880491</v>
          </cell>
        </row>
        <row r="158">
          <cell r="A158">
            <v>39722</v>
          </cell>
          <cell r="B158">
            <v>2.9675</v>
          </cell>
          <cell r="C158">
            <v>0</v>
          </cell>
          <cell r="D158">
            <v>2.9675</v>
          </cell>
        </row>
        <row r="158">
          <cell r="F158">
            <v>39722</v>
          </cell>
          <cell r="G158">
            <v>20.68</v>
          </cell>
          <cell r="H158">
            <v>0</v>
          </cell>
          <cell r="I158">
            <v>20.68</v>
          </cell>
        </row>
        <row r="158">
          <cell r="P158">
            <v>39722</v>
          </cell>
          <cell r="Q158">
            <v>-0.46</v>
          </cell>
          <cell r="R158">
            <v>2.5075</v>
          </cell>
          <cell r="S158">
            <v>3.37910493867954</v>
          </cell>
          <cell r="T158">
            <v>2.5075</v>
          </cell>
          <cell r="U158">
            <v>3.37910493867954</v>
          </cell>
          <cell r="V158">
            <v>0</v>
          </cell>
        </row>
        <row r="158">
          <cell r="X158">
            <v>39722</v>
          </cell>
          <cell r="Y158">
            <v>19.3204337381372</v>
          </cell>
          <cell r="Z158">
            <v>0</v>
          </cell>
          <cell r="AA158">
            <v>19.3204337381372</v>
          </cell>
        </row>
        <row r="159">
          <cell r="A159">
            <v>39753</v>
          </cell>
          <cell r="B159">
            <v>3.0785</v>
          </cell>
          <cell r="C159">
            <v>0</v>
          </cell>
          <cell r="D159">
            <v>3.0785</v>
          </cell>
        </row>
        <row r="159">
          <cell r="F159">
            <v>39753</v>
          </cell>
          <cell r="G159">
            <v>20.73</v>
          </cell>
          <cell r="H159">
            <v>0</v>
          </cell>
          <cell r="I159">
            <v>20.73</v>
          </cell>
        </row>
        <row r="159">
          <cell r="P159">
            <v>39753</v>
          </cell>
          <cell r="Q159">
            <v>-0.45</v>
          </cell>
          <cell r="R159">
            <v>2.6285</v>
          </cell>
          <cell r="S159">
            <v>3.53968829691639</v>
          </cell>
          <cell r="T159">
            <v>2.6285</v>
          </cell>
          <cell r="U159">
            <v>3.53968829691639</v>
          </cell>
          <cell r="V159">
            <v>0</v>
          </cell>
        </row>
        <row r="159">
          <cell r="X159">
            <v>39753</v>
          </cell>
          <cell r="Y159">
            <v>19.5194885515523</v>
          </cell>
          <cell r="Z159">
            <v>0</v>
          </cell>
          <cell r="AA159">
            <v>19.5194885515523</v>
          </cell>
        </row>
        <row r="160">
          <cell r="A160">
            <v>39783</v>
          </cell>
          <cell r="B160">
            <v>3.1895</v>
          </cell>
          <cell r="C160">
            <v>0</v>
          </cell>
          <cell r="D160">
            <v>3.1895</v>
          </cell>
        </row>
        <row r="160">
          <cell r="F160">
            <v>39783</v>
          </cell>
          <cell r="G160">
            <v>20.78</v>
          </cell>
          <cell r="H160">
            <v>0</v>
          </cell>
          <cell r="I160">
            <v>20.78</v>
          </cell>
        </row>
        <row r="160">
          <cell r="P160">
            <v>39783</v>
          </cell>
          <cell r="Q160">
            <v>-0.45</v>
          </cell>
          <cell r="R160">
            <v>2.7395</v>
          </cell>
          <cell r="S160">
            <v>3.68667312170996</v>
          </cell>
          <cell r="T160">
            <v>2.7395</v>
          </cell>
          <cell r="U160">
            <v>3.68667312170996</v>
          </cell>
          <cell r="V160">
            <v>0</v>
          </cell>
        </row>
        <row r="160">
          <cell r="X160">
            <v>39783</v>
          </cell>
          <cell r="Y160">
            <v>19.5849088064982</v>
          </cell>
          <cell r="Z160">
            <v>0</v>
          </cell>
          <cell r="AA160">
            <v>19.5849088064982</v>
          </cell>
        </row>
        <row r="161">
          <cell r="A161">
            <v>39814</v>
          </cell>
          <cell r="B161">
            <v>3.2395</v>
          </cell>
          <cell r="C161">
            <v>0</v>
          </cell>
          <cell r="D161">
            <v>3.2395</v>
          </cell>
        </row>
        <row r="161">
          <cell r="F161">
            <v>39814</v>
          </cell>
          <cell r="G161">
            <v>20.83</v>
          </cell>
          <cell r="H161">
            <v>0</v>
          </cell>
          <cell r="I161">
            <v>20.83</v>
          </cell>
        </row>
        <row r="161">
          <cell r="P161">
            <v>39814</v>
          </cell>
          <cell r="Q161">
            <v>-0.45</v>
          </cell>
          <cell r="R161">
            <v>2.7895</v>
          </cell>
          <cell r="S161">
            <v>3.75133967473438</v>
          </cell>
          <cell r="T161">
            <v>2.7895</v>
          </cell>
          <cell r="U161">
            <v>3.75133967473438</v>
          </cell>
          <cell r="V161">
            <v>0</v>
          </cell>
        </row>
        <row r="161">
          <cell r="X161">
            <v>39814</v>
          </cell>
          <cell r="Y161">
            <v>19.6188911935018</v>
          </cell>
          <cell r="Z161">
            <v>0</v>
          </cell>
          <cell r="AA161">
            <v>19.6188911935018</v>
          </cell>
        </row>
        <row r="162">
          <cell r="A162">
            <v>39845</v>
          </cell>
          <cell r="B162">
            <v>3.1505</v>
          </cell>
          <cell r="C162">
            <v>0</v>
          </cell>
          <cell r="D162">
            <v>3.1505</v>
          </cell>
        </row>
        <row r="162">
          <cell r="F162">
            <v>39845</v>
          </cell>
          <cell r="G162">
            <v>20.88</v>
          </cell>
          <cell r="H162">
            <v>0</v>
          </cell>
          <cell r="I162">
            <v>20.88</v>
          </cell>
        </row>
        <row r="162">
          <cell r="P162">
            <v>39845</v>
          </cell>
          <cell r="Q162">
            <v>-0.45</v>
          </cell>
          <cell r="R162">
            <v>2.7005</v>
          </cell>
          <cell r="S162">
            <v>3.6291181189078</v>
          </cell>
          <cell r="T162">
            <v>2.7005</v>
          </cell>
          <cell r="U162">
            <v>3.6291181189078</v>
          </cell>
          <cell r="V162">
            <v>0</v>
          </cell>
        </row>
        <row r="162">
          <cell r="X162">
            <v>39845</v>
          </cell>
          <cell r="Y162">
            <v>19.6810740054152</v>
          </cell>
          <cell r="Z162">
            <v>0</v>
          </cell>
          <cell r="AA162">
            <v>19.6810740054152</v>
          </cell>
        </row>
        <row r="163">
          <cell r="A163">
            <v>39873</v>
          </cell>
          <cell r="B163">
            <v>3.0535</v>
          </cell>
          <cell r="C163">
            <v>0</v>
          </cell>
          <cell r="D163">
            <v>3.0535</v>
          </cell>
        </row>
        <row r="163">
          <cell r="F163">
            <v>39873</v>
          </cell>
          <cell r="G163">
            <v>20.93</v>
          </cell>
          <cell r="H163">
            <v>0</v>
          </cell>
          <cell r="I163">
            <v>20.93</v>
          </cell>
        </row>
        <row r="163">
          <cell r="P163">
            <v>39873</v>
          </cell>
          <cell r="Q163">
            <v>-0.45</v>
          </cell>
          <cell r="R163">
            <v>2.6035</v>
          </cell>
          <cell r="S163">
            <v>3.49655937011289</v>
          </cell>
          <cell r="T163">
            <v>2.6035</v>
          </cell>
          <cell r="U163">
            <v>3.49655937011289</v>
          </cell>
          <cell r="V163">
            <v>0</v>
          </cell>
        </row>
        <row r="163">
          <cell r="X163">
            <v>39873</v>
          </cell>
          <cell r="Y163">
            <v>19.767652829272</v>
          </cell>
          <cell r="Z163">
            <v>0</v>
          </cell>
          <cell r="AA163">
            <v>19.767652829272</v>
          </cell>
        </row>
        <row r="164">
          <cell r="A164">
            <v>39904</v>
          </cell>
          <cell r="B164">
            <v>2.9715</v>
          </cell>
          <cell r="C164">
            <v>0</v>
          </cell>
          <cell r="D164">
            <v>2.9715</v>
          </cell>
        </row>
        <row r="164">
          <cell r="F164">
            <v>39904</v>
          </cell>
          <cell r="G164">
            <v>20.98</v>
          </cell>
          <cell r="H164">
            <v>0</v>
          </cell>
          <cell r="I164">
            <v>20.98</v>
          </cell>
        </row>
        <row r="164">
          <cell r="P164">
            <v>39904</v>
          </cell>
          <cell r="Q164">
            <v>-0.49</v>
          </cell>
          <cell r="R164">
            <v>2.4815</v>
          </cell>
          <cell r="S164">
            <v>3.33038839259943</v>
          </cell>
          <cell r="T164">
            <v>2.4815</v>
          </cell>
          <cell r="U164">
            <v>3.33038839259943</v>
          </cell>
          <cell r="V164">
            <v>0</v>
          </cell>
        </row>
        <row r="164">
          <cell r="X164">
            <v>39904</v>
          </cell>
          <cell r="Y164">
            <v>19.7803471707281</v>
          </cell>
          <cell r="Z164">
            <v>0</v>
          </cell>
          <cell r="AA164">
            <v>19.7803471707281</v>
          </cell>
        </row>
        <row r="165">
          <cell r="A165">
            <v>39934</v>
          </cell>
          <cell r="B165">
            <v>2.9775</v>
          </cell>
          <cell r="C165">
            <v>0</v>
          </cell>
          <cell r="D165">
            <v>2.9775</v>
          </cell>
        </row>
        <row r="165">
          <cell r="F165">
            <v>39934</v>
          </cell>
          <cell r="G165">
            <v>21.03</v>
          </cell>
          <cell r="H165">
            <v>0</v>
          </cell>
          <cell r="I165">
            <v>21.03</v>
          </cell>
        </row>
        <row r="165">
          <cell r="P165">
            <v>39934</v>
          </cell>
          <cell r="Q165">
            <v>-0.49</v>
          </cell>
          <cell r="R165">
            <v>2.4875</v>
          </cell>
          <cell r="S165">
            <v>3.33619118502078</v>
          </cell>
          <cell r="T165">
            <v>2.4875</v>
          </cell>
          <cell r="U165">
            <v>3.33619118502078</v>
          </cell>
          <cell r="V165">
            <v>0</v>
          </cell>
        </row>
        <row r="165">
          <cell r="X165">
            <v>39934</v>
          </cell>
          <cell r="Y165">
            <v>19.8666273577266</v>
          </cell>
          <cell r="Z165">
            <v>0</v>
          </cell>
          <cell r="AA165">
            <v>19.8666273577266</v>
          </cell>
        </row>
        <row r="166">
          <cell r="A166">
            <v>39965</v>
          </cell>
          <cell r="B166">
            <v>2.9925</v>
          </cell>
          <cell r="C166">
            <v>0</v>
          </cell>
          <cell r="D166">
            <v>2.9925</v>
          </cell>
        </row>
        <row r="166">
          <cell r="F166">
            <v>39965</v>
          </cell>
          <cell r="G166">
            <v>21.08</v>
          </cell>
          <cell r="H166">
            <v>0</v>
          </cell>
          <cell r="I166">
            <v>21.08</v>
          </cell>
        </row>
        <row r="166">
          <cell r="P166">
            <v>39965</v>
          </cell>
          <cell r="Q166">
            <v>-0.49</v>
          </cell>
          <cell r="R166">
            <v>2.5025</v>
          </cell>
          <cell r="S166">
            <v>3.3539733119918</v>
          </cell>
          <cell r="T166">
            <v>2.5025</v>
          </cell>
          <cell r="U166">
            <v>3.3539733119918</v>
          </cell>
          <cell r="V166">
            <v>0</v>
          </cell>
        </row>
        <row r="166">
          <cell r="X166">
            <v>39965</v>
          </cell>
          <cell r="Y166">
            <v>19.6650605352278</v>
          </cell>
          <cell r="Z166">
            <v>0</v>
          </cell>
          <cell r="AA166">
            <v>19.6650605352278</v>
          </cell>
        </row>
        <row r="167">
          <cell r="A167">
            <v>39995</v>
          </cell>
          <cell r="B167">
            <v>3.0035</v>
          </cell>
          <cell r="C167">
            <v>0</v>
          </cell>
          <cell r="D167">
            <v>3.0035</v>
          </cell>
        </row>
        <row r="167">
          <cell r="F167">
            <v>39995</v>
          </cell>
          <cell r="G167">
            <v>21.13</v>
          </cell>
          <cell r="H167">
            <v>0</v>
          </cell>
          <cell r="I167">
            <v>21.13</v>
          </cell>
        </row>
        <row r="167">
          <cell r="P167">
            <v>39995</v>
          </cell>
          <cell r="Q167">
            <v>-0.49</v>
          </cell>
          <cell r="R167">
            <v>2.5135</v>
          </cell>
          <cell r="S167">
            <v>3.36644888716853</v>
          </cell>
          <cell r="T167">
            <v>2.5135</v>
          </cell>
          <cell r="U167">
            <v>3.36644888716853</v>
          </cell>
          <cell r="V167">
            <v>0</v>
          </cell>
        </row>
        <row r="167">
          <cell r="X167">
            <v>39995</v>
          </cell>
          <cell r="Y167">
            <v>19.9325358770657</v>
          </cell>
          <cell r="Z167">
            <v>0</v>
          </cell>
          <cell r="AA167">
            <v>19.9325358770657</v>
          </cell>
        </row>
        <row r="168">
          <cell r="A168">
            <v>40026</v>
          </cell>
          <cell r="B168">
            <v>3.0125</v>
          </cell>
          <cell r="C168">
            <v>0</v>
          </cell>
          <cell r="D168">
            <v>3.0125</v>
          </cell>
        </row>
        <row r="168">
          <cell r="F168">
            <v>40026</v>
          </cell>
          <cell r="G168">
            <v>21.18</v>
          </cell>
          <cell r="H168">
            <v>0</v>
          </cell>
          <cell r="I168">
            <v>21.18</v>
          </cell>
        </row>
        <row r="168">
          <cell r="P168">
            <v>40026</v>
          </cell>
          <cell r="Q168">
            <v>-0.49</v>
          </cell>
          <cell r="R168">
            <v>2.5225</v>
          </cell>
          <cell r="S168">
            <v>3.37615503087906</v>
          </cell>
          <cell r="T168">
            <v>2.5225</v>
          </cell>
          <cell r="U168">
            <v>3.37615503087906</v>
          </cell>
          <cell r="V168">
            <v>0</v>
          </cell>
        </row>
        <row r="168">
          <cell r="X168">
            <v>40026</v>
          </cell>
          <cell r="Y168">
            <v>19.7893034357787</v>
          </cell>
          <cell r="Z168">
            <v>0</v>
          </cell>
          <cell r="AA168">
            <v>19.7893034357787</v>
          </cell>
        </row>
        <row r="169">
          <cell r="A169">
            <v>40057</v>
          </cell>
          <cell r="B169">
            <v>3.0135</v>
          </cell>
          <cell r="C169">
            <v>0</v>
          </cell>
          <cell r="D169">
            <v>3.0135</v>
          </cell>
        </row>
        <row r="169">
          <cell r="F169">
            <v>40057</v>
          </cell>
          <cell r="G169">
            <v>21.23</v>
          </cell>
          <cell r="H169">
            <v>0</v>
          </cell>
          <cell r="I169">
            <v>21.23</v>
          </cell>
        </row>
        <row r="169">
          <cell r="P169">
            <v>40057</v>
          </cell>
          <cell r="Q169">
            <v>-0.49</v>
          </cell>
          <cell r="R169">
            <v>2.5235</v>
          </cell>
          <cell r="S169">
            <v>3.375147730135</v>
          </cell>
          <cell r="T169">
            <v>2.5235</v>
          </cell>
          <cell r="U169">
            <v>3.375147730135</v>
          </cell>
          <cell r="V169">
            <v>0</v>
          </cell>
        </row>
        <row r="169">
          <cell r="X169">
            <v>40057</v>
          </cell>
          <cell r="Y169">
            <v>20.0429435109395</v>
          </cell>
          <cell r="Z169">
            <v>0</v>
          </cell>
          <cell r="AA169">
            <v>20.0429435109395</v>
          </cell>
        </row>
        <row r="170">
          <cell r="A170">
            <v>40087</v>
          </cell>
          <cell r="B170">
            <v>3.0345</v>
          </cell>
          <cell r="C170">
            <v>0</v>
          </cell>
          <cell r="D170">
            <v>3.0345</v>
          </cell>
        </row>
        <row r="170">
          <cell r="F170">
            <v>40087</v>
          </cell>
          <cell r="G170">
            <v>21.28</v>
          </cell>
          <cell r="H170">
            <v>0</v>
          </cell>
          <cell r="I170">
            <v>21.28</v>
          </cell>
        </row>
        <row r="170">
          <cell r="P170">
            <v>40087</v>
          </cell>
          <cell r="Q170">
            <v>-0.49</v>
          </cell>
          <cell r="R170">
            <v>2.5445</v>
          </cell>
          <cell r="S170">
            <v>3.40094907369185</v>
          </cell>
          <cell r="T170">
            <v>2.5445</v>
          </cell>
          <cell r="U170">
            <v>3.40094907369185</v>
          </cell>
          <cell r="V170">
            <v>0</v>
          </cell>
        </row>
        <row r="170">
          <cell r="X170">
            <v>40087</v>
          </cell>
          <cell r="Y170">
            <v>19.9223331718732</v>
          </cell>
          <cell r="Z170">
            <v>0</v>
          </cell>
          <cell r="AA170">
            <v>19.9223331718732</v>
          </cell>
        </row>
        <row r="171">
          <cell r="A171">
            <v>40118</v>
          </cell>
          <cell r="B171">
            <v>3.1405</v>
          </cell>
          <cell r="C171">
            <v>0</v>
          </cell>
          <cell r="D171">
            <v>3.1405</v>
          </cell>
        </row>
        <row r="171">
          <cell r="F171">
            <v>40118</v>
          </cell>
          <cell r="G171">
            <v>21.33</v>
          </cell>
          <cell r="H171">
            <v>0</v>
          </cell>
          <cell r="I171">
            <v>21.33</v>
          </cell>
        </row>
        <row r="171">
          <cell r="P171">
            <v>40118</v>
          </cell>
          <cell r="Q171">
            <v>-0.55</v>
          </cell>
          <cell r="R171">
            <v>2.5905</v>
          </cell>
          <cell r="S171">
            <v>3.46003057956572</v>
          </cell>
          <cell r="T171">
            <v>2.5905</v>
          </cell>
          <cell r="U171">
            <v>3.46003057956572</v>
          </cell>
          <cell r="V171">
            <v>0</v>
          </cell>
        </row>
        <row r="171">
          <cell r="X171">
            <v>40118</v>
          </cell>
          <cell r="Y171">
            <v>20.1220723567724</v>
          </cell>
          <cell r="Z171">
            <v>0</v>
          </cell>
          <cell r="AA171">
            <v>20.1220723567724</v>
          </cell>
        </row>
        <row r="172">
          <cell r="A172">
            <v>40148</v>
          </cell>
          <cell r="B172">
            <v>3.2485</v>
          </cell>
          <cell r="C172">
            <v>0</v>
          </cell>
          <cell r="D172">
            <v>3.2485</v>
          </cell>
        </row>
        <row r="172">
          <cell r="F172">
            <v>40148</v>
          </cell>
          <cell r="G172">
            <v>21.38</v>
          </cell>
          <cell r="H172">
            <v>0</v>
          </cell>
          <cell r="I172">
            <v>21.38</v>
          </cell>
        </row>
        <row r="172">
          <cell r="P172">
            <v>40148</v>
          </cell>
          <cell r="Q172">
            <v>-0.55</v>
          </cell>
          <cell r="R172">
            <v>2.6985</v>
          </cell>
          <cell r="S172">
            <v>3.6018642557743</v>
          </cell>
          <cell r="T172">
            <v>2.6985</v>
          </cell>
          <cell r="U172">
            <v>3.6018642557743</v>
          </cell>
          <cell r="V172">
            <v>0</v>
          </cell>
        </row>
        <row r="172">
          <cell r="X172">
            <v>40148</v>
          </cell>
          <cell r="Y172">
            <v>20.1825897026897</v>
          </cell>
          <cell r="Z172">
            <v>0</v>
          </cell>
          <cell r="AA172">
            <v>20.1825897026897</v>
          </cell>
        </row>
        <row r="173">
          <cell r="A173">
            <v>40179</v>
          </cell>
          <cell r="B173">
            <v>3.299</v>
          </cell>
          <cell r="C173">
            <v>0</v>
          </cell>
          <cell r="D173">
            <v>3.299</v>
          </cell>
        </row>
        <row r="173">
          <cell r="F173">
            <v>40179</v>
          </cell>
          <cell r="G173">
            <v>21.43</v>
          </cell>
          <cell r="H173">
            <v>0</v>
          </cell>
          <cell r="I173">
            <v>21.43</v>
          </cell>
        </row>
        <row r="173">
          <cell r="P173">
            <v>40179</v>
          </cell>
          <cell r="Q173">
            <v>-0.55</v>
          </cell>
          <cell r="R173">
            <v>2.749</v>
          </cell>
          <cell r="S173">
            <v>3.66672822070813</v>
          </cell>
          <cell r="T173">
            <v>2.749</v>
          </cell>
          <cell r="U173">
            <v>3.66672822070813</v>
          </cell>
          <cell r="V173">
            <v>0</v>
          </cell>
        </row>
        <row r="173">
          <cell r="X173">
            <v>40179</v>
          </cell>
          <cell r="Y173">
            <v>20.218091179373</v>
          </cell>
          <cell r="Z173">
            <v>0</v>
          </cell>
          <cell r="AA173">
            <v>20.218091179373</v>
          </cell>
        </row>
        <row r="174">
          <cell r="A174">
            <v>40210</v>
          </cell>
          <cell r="B174">
            <v>3.214</v>
          </cell>
          <cell r="C174">
            <v>0</v>
          </cell>
          <cell r="D174">
            <v>3.214</v>
          </cell>
        </row>
        <row r="174">
          <cell r="F174">
            <v>40210</v>
          </cell>
          <cell r="G174">
            <v>21.48</v>
          </cell>
          <cell r="H174">
            <v>0</v>
          </cell>
          <cell r="I174">
            <v>21.48</v>
          </cell>
        </row>
        <row r="174">
          <cell r="P174">
            <v>40210</v>
          </cell>
          <cell r="Q174">
            <v>-0.55</v>
          </cell>
          <cell r="R174">
            <v>2.664</v>
          </cell>
          <cell r="S174">
            <v>3.5508920110092</v>
          </cell>
          <cell r="T174">
            <v>2.664</v>
          </cell>
          <cell r="U174">
            <v>3.5508920110092</v>
          </cell>
          <cell r="V174">
            <v>0</v>
          </cell>
        </row>
        <row r="174">
          <cell r="X174">
            <v>40210</v>
          </cell>
          <cell r="Y174">
            <v>20.2859073505225</v>
          </cell>
          <cell r="Z174">
            <v>0</v>
          </cell>
          <cell r="AA174">
            <v>20.2859073505225</v>
          </cell>
        </row>
        <row r="175">
          <cell r="A175">
            <v>40238</v>
          </cell>
          <cell r="B175">
            <v>3.12</v>
          </cell>
          <cell r="C175">
            <v>0</v>
          </cell>
          <cell r="D175">
            <v>3.12</v>
          </cell>
        </row>
        <row r="175">
          <cell r="F175">
            <v>40238</v>
          </cell>
          <cell r="G175">
            <v>21.53</v>
          </cell>
          <cell r="H175">
            <v>0</v>
          </cell>
          <cell r="I175">
            <v>21.53</v>
          </cell>
        </row>
        <row r="175">
          <cell r="P175">
            <v>40238</v>
          </cell>
          <cell r="Q175">
            <v>-0.55</v>
          </cell>
          <cell r="R175">
            <v>2.57</v>
          </cell>
          <cell r="S175">
            <v>3.4234572339274</v>
          </cell>
          <cell r="T175">
            <v>2.57</v>
          </cell>
          <cell r="U175">
            <v>3.4234572339274</v>
          </cell>
          <cell r="V175">
            <v>0</v>
          </cell>
        </row>
        <row r="175">
          <cell r="X175">
            <v>40238</v>
          </cell>
          <cell r="Y175">
            <v>20.3642576222998</v>
          </cell>
          <cell r="Z175">
            <v>0</v>
          </cell>
          <cell r="AA175">
            <v>20.3642576222998</v>
          </cell>
        </row>
        <row r="176">
          <cell r="A176">
            <v>40269</v>
          </cell>
          <cell r="B176">
            <v>3.041</v>
          </cell>
          <cell r="C176">
            <v>0</v>
          </cell>
          <cell r="D176">
            <v>3.041</v>
          </cell>
        </row>
        <row r="176">
          <cell r="F176">
            <v>40269</v>
          </cell>
          <cell r="G176">
            <v>21.58</v>
          </cell>
          <cell r="H176">
            <v>0</v>
          </cell>
          <cell r="I176">
            <v>21.58</v>
          </cell>
        </row>
        <row r="176">
          <cell r="P176">
            <v>40269</v>
          </cell>
          <cell r="Q176">
            <v>-0.55</v>
          </cell>
          <cell r="R176">
            <v>2.491</v>
          </cell>
          <cell r="S176">
            <v>3.31591193110824</v>
          </cell>
          <cell r="T176">
            <v>2.491</v>
          </cell>
          <cell r="U176">
            <v>3.31591193110824</v>
          </cell>
          <cell r="V176">
            <v>0</v>
          </cell>
        </row>
        <row r="176">
          <cell r="X176">
            <v>40269</v>
          </cell>
          <cell r="Y176">
            <v>20.3837423777003</v>
          </cell>
          <cell r="Z176">
            <v>0</v>
          </cell>
          <cell r="AA176">
            <v>20.3837423777003</v>
          </cell>
        </row>
        <row r="177">
          <cell r="A177">
            <v>40299</v>
          </cell>
          <cell r="B177">
            <v>3.048</v>
          </cell>
          <cell r="C177">
            <v>0</v>
          </cell>
          <cell r="D177">
            <v>3.048</v>
          </cell>
        </row>
        <row r="177">
          <cell r="F177">
            <v>40299</v>
          </cell>
          <cell r="G177">
            <v>21.63</v>
          </cell>
          <cell r="H177">
            <v>0</v>
          </cell>
          <cell r="I177">
            <v>21.63</v>
          </cell>
        </row>
        <row r="177">
          <cell r="P177">
            <v>40299</v>
          </cell>
          <cell r="Q177">
            <v>-0.55</v>
          </cell>
          <cell r="R177">
            <v>2.498</v>
          </cell>
          <cell r="S177">
            <v>3.32281464376597</v>
          </cell>
          <cell r="T177">
            <v>2.498</v>
          </cell>
          <cell r="U177">
            <v>3.32281464376597</v>
          </cell>
          <cell r="V177">
            <v>0</v>
          </cell>
        </row>
        <row r="177">
          <cell r="X177">
            <v>40299</v>
          </cell>
          <cell r="Y177">
            <v>20.4636212479229</v>
          </cell>
          <cell r="Z177">
            <v>0</v>
          </cell>
          <cell r="AA177">
            <v>20.4636212479229</v>
          </cell>
        </row>
        <row r="178">
          <cell r="A178">
            <v>40330</v>
          </cell>
          <cell r="B178">
            <v>3.064</v>
          </cell>
          <cell r="C178">
            <v>0</v>
          </cell>
          <cell r="D178">
            <v>3.064</v>
          </cell>
        </row>
        <row r="178">
          <cell r="F178">
            <v>40330</v>
          </cell>
          <cell r="G178">
            <v>21.68</v>
          </cell>
          <cell r="H178">
            <v>0</v>
          </cell>
          <cell r="I178">
            <v>21.68</v>
          </cell>
        </row>
        <row r="178">
          <cell r="P178">
            <v>40330</v>
          </cell>
          <cell r="Q178">
            <v>-0.55</v>
          </cell>
          <cell r="R178">
            <v>2.514</v>
          </cell>
          <cell r="S178">
            <v>3.34165085683673</v>
          </cell>
          <cell r="T178">
            <v>2.514</v>
          </cell>
          <cell r="U178">
            <v>3.34165085683673</v>
          </cell>
          <cell r="V178">
            <v>0</v>
          </cell>
        </row>
        <row r="178">
          <cell r="X178">
            <v>40330</v>
          </cell>
          <cell r="Y178">
            <v>20.267565626731</v>
          </cell>
          <cell r="Z178">
            <v>0</v>
          </cell>
          <cell r="AA178">
            <v>20.267565626731</v>
          </cell>
        </row>
        <row r="179">
          <cell r="A179">
            <v>40360</v>
          </cell>
          <cell r="B179">
            <v>3.075</v>
          </cell>
          <cell r="C179">
            <v>0</v>
          </cell>
          <cell r="D179">
            <v>3.075</v>
          </cell>
        </row>
        <row r="179">
          <cell r="F179">
            <v>40360</v>
          </cell>
          <cell r="G179">
            <v>21.73</v>
          </cell>
          <cell r="H179">
            <v>0</v>
          </cell>
          <cell r="I179">
            <v>21.73</v>
          </cell>
        </row>
        <row r="179">
          <cell r="P179">
            <v>40360</v>
          </cell>
          <cell r="Q179">
            <v>-0.55</v>
          </cell>
          <cell r="R179">
            <v>2.525</v>
          </cell>
          <cell r="S179">
            <v>3.3538950007152</v>
          </cell>
          <cell r="T179">
            <v>2.525</v>
          </cell>
          <cell r="U179">
            <v>3.3538950007152</v>
          </cell>
          <cell r="V179">
            <v>0</v>
          </cell>
        </row>
        <row r="179">
          <cell r="X179">
            <v>40360</v>
          </cell>
          <cell r="Y179">
            <v>20.5302585211537</v>
          </cell>
          <cell r="Z179">
            <v>0</v>
          </cell>
          <cell r="AA179">
            <v>20.5302585211537</v>
          </cell>
        </row>
        <row r="180">
          <cell r="A180">
            <v>40391</v>
          </cell>
          <cell r="B180">
            <v>3.084</v>
          </cell>
          <cell r="C180">
            <v>0</v>
          </cell>
          <cell r="D180">
            <v>3.084</v>
          </cell>
        </row>
        <row r="180">
          <cell r="F180">
            <v>40391</v>
          </cell>
          <cell r="G180">
            <v>21.78</v>
          </cell>
          <cell r="H180">
            <v>0</v>
          </cell>
          <cell r="I180">
            <v>21.78</v>
          </cell>
        </row>
        <row r="180">
          <cell r="P180">
            <v>40391</v>
          </cell>
          <cell r="Q180">
            <v>-0.55</v>
          </cell>
          <cell r="R180">
            <v>2.534</v>
          </cell>
          <cell r="S180">
            <v>3.36338529639605</v>
          </cell>
          <cell r="T180">
            <v>2.534</v>
          </cell>
          <cell r="U180">
            <v>3.36338529639605</v>
          </cell>
          <cell r="V180">
            <v>0</v>
          </cell>
        </row>
        <row r="180">
          <cell r="X180">
            <v>40391</v>
          </cell>
          <cell r="Y180">
            <v>20.3953678990386</v>
          </cell>
          <cell r="Z180">
            <v>0</v>
          </cell>
          <cell r="AA180">
            <v>20.3953678990386</v>
          </cell>
        </row>
        <row r="181">
          <cell r="A181">
            <v>40422</v>
          </cell>
          <cell r="B181">
            <v>3.084</v>
          </cell>
          <cell r="C181">
            <v>0</v>
          </cell>
          <cell r="D181">
            <v>3.084</v>
          </cell>
        </row>
        <row r="181">
          <cell r="F181">
            <v>40422</v>
          </cell>
          <cell r="G181">
            <v>21.83</v>
          </cell>
          <cell r="H181">
            <v>0</v>
          </cell>
          <cell r="I181">
            <v>21.83</v>
          </cell>
        </row>
        <row r="181">
          <cell r="P181">
            <v>40422</v>
          </cell>
          <cell r="Q181">
            <v>-0.55</v>
          </cell>
          <cell r="R181">
            <v>2.534</v>
          </cell>
          <cell r="S181">
            <v>3.36092218813753</v>
          </cell>
          <cell r="T181">
            <v>2.534</v>
          </cell>
          <cell r="U181">
            <v>3.36092218813753</v>
          </cell>
          <cell r="V181">
            <v>0</v>
          </cell>
        </row>
        <row r="181">
          <cell r="X181">
            <v>40422</v>
          </cell>
          <cell r="Y181">
            <v>20.6445434174679</v>
          </cell>
          <cell r="Z181">
            <v>0</v>
          </cell>
          <cell r="AA181">
            <v>20.6445434174679</v>
          </cell>
        </row>
        <row r="182">
          <cell r="A182">
            <v>40452</v>
          </cell>
          <cell r="B182">
            <v>3.104</v>
          </cell>
          <cell r="C182">
            <v>0</v>
          </cell>
          <cell r="D182">
            <v>3.104</v>
          </cell>
        </row>
        <row r="182">
          <cell r="F182">
            <v>40452</v>
          </cell>
          <cell r="G182">
            <v>21.88</v>
          </cell>
          <cell r="H182">
            <v>0</v>
          </cell>
          <cell r="I182">
            <v>21.88</v>
          </cell>
        </row>
        <row r="182">
          <cell r="P182">
            <v>40452</v>
          </cell>
          <cell r="Q182">
            <v>-0.55</v>
          </cell>
          <cell r="R182">
            <v>2.554</v>
          </cell>
          <cell r="S182">
            <v>3.38504736739771</v>
          </cell>
          <cell r="T182">
            <v>2.554</v>
          </cell>
          <cell r="U182">
            <v>3.38504736739771</v>
          </cell>
          <cell r="V182">
            <v>0</v>
          </cell>
        </row>
        <row r="182">
          <cell r="X182">
            <v>40452</v>
          </cell>
          <cell r="Y182">
            <v>20.5243971521102</v>
          </cell>
          <cell r="Z182">
            <v>0</v>
          </cell>
          <cell r="AA182">
            <v>20.5243971521102</v>
          </cell>
        </row>
        <row r="183">
          <cell r="A183">
            <v>40483</v>
          </cell>
          <cell r="B183">
            <v>3.205</v>
          </cell>
          <cell r="C183">
            <v>0</v>
          </cell>
          <cell r="D183">
            <v>3.205</v>
          </cell>
        </row>
        <row r="183">
          <cell r="F183">
            <v>40483</v>
          </cell>
          <cell r="G183">
            <v>21.93</v>
          </cell>
          <cell r="H183">
            <v>0</v>
          </cell>
          <cell r="I183">
            <v>21.93</v>
          </cell>
        </row>
        <row r="183">
          <cell r="P183">
            <v>40483</v>
          </cell>
          <cell r="Q183">
            <v>-0.55</v>
          </cell>
          <cell r="R183">
            <v>2.655</v>
          </cell>
          <cell r="S183">
            <v>3.51633329962061</v>
          </cell>
          <cell r="T183">
            <v>2.655</v>
          </cell>
          <cell r="U183">
            <v>3.51633329962061</v>
          </cell>
          <cell r="V183">
            <v>0</v>
          </cell>
        </row>
        <row r="183">
          <cell r="X183">
            <v>40483</v>
          </cell>
          <cell r="Y183">
            <v>20.7203523732416</v>
          </cell>
          <cell r="Z183">
            <v>0</v>
          </cell>
          <cell r="AA183">
            <v>20.7203523732416</v>
          </cell>
        </row>
        <row r="184">
          <cell r="A184">
            <v>40513</v>
          </cell>
          <cell r="B184">
            <v>3.31</v>
          </cell>
          <cell r="C184">
            <v>0</v>
          </cell>
          <cell r="D184">
            <v>3.31</v>
          </cell>
        </row>
        <row r="184">
          <cell r="F184">
            <v>40513</v>
          </cell>
          <cell r="G184">
            <v>21.98</v>
          </cell>
          <cell r="H184">
            <v>0</v>
          </cell>
          <cell r="I184">
            <v>21.98</v>
          </cell>
        </row>
        <row r="184">
          <cell r="P184">
            <v>40513</v>
          </cell>
          <cell r="Q184">
            <v>-0.55</v>
          </cell>
          <cell r="R184">
            <v>2.76</v>
          </cell>
          <cell r="S184">
            <v>3.6528044251368</v>
          </cell>
          <cell r="T184">
            <v>2.76</v>
          </cell>
          <cell r="U184">
            <v>3.6528044251368</v>
          </cell>
          <cell r="V184">
            <v>0</v>
          </cell>
        </row>
        <row r="184">
          <cell r="X184">
            <v>40513</v>
          </cell>
          <cell r="Y184">
            <v>20.7837614788713</v>
          </cell>
          <cell r="Z184">
            <v>0</v>
          </cell>
          <cell r="AA184">
            <v>20.7837614788713</v>
          </cell>
        </row>
        <row r="185">
          <cell r="A185">
            <v>40544</v>
          </cell>
          <cell r="B185">
            <v>3.3585</v>
          </cell>
          <cell r="C185">
            <v>0</v>
          </cell>
          <cell r="D185">
            <v>3.3585</v>
          </cell>
        </row>
        <row r="185">
          <cell r="F185">
            <v>40544</v>
          </cell>
          <cell r="G185">
            <v>22.03</v>
          </cell>
          <cell r="H185">
            <v>0</v>
          </cell>
          <cell r="I185">
            <v>22.03</v>
          </cell>
        </row>
        <row r="185">
          <cell r="P185">
            <v>40544</v>
          </cell>
          <cell r="Q185">
            <v>-0.55</v>
          </cell>
          <cell r="R185">
            <v>2.8085</v>
          </cell>
          <cell r="S185">
            <v>3.71426795423187</v>
          </cell>
          <cell r="T185">
            <v>2.8085</v>
          </cell>
          <cell r="U185">
            <v>3.71426795423187</v>
          </cell>
          <cell r="V185">
            <v>0</v>
          </cell>
        </row>
        <row r="185">
          <cell r="X185">
            <v>40544</v>
          </cell>
          <cell r="Y185">
            <v>20.8186821009406</v>
          </cell>
          <cell r="Z185">
            <v>0</v>
          </cell>
          <cell r="AA185">
            <v>20.8186821009406</v>
          </cell>
        </row>
        <row r="186">
          <cell r="A186">
            <v>40575</v>
          </cell>
          <cell r="B186">
            <v>3.2775</v>
          </cell>
          <cell r="C186">
            <v>0</v>
          </cell>
          <cell r="D186">
            <v>3.2775</v>
          </cell>
        </row>
        <row r="186">
          <cell r="F186">
            <v>40575</v>
          </cell>
          <cell r="G186">
            <v>22.08</v>
          </cell>
          <cell r="H186">
            <v>0</v>
          </cell>
          <cell r="I186">
            <v>22.08</v>
          </cell>
        </row>
        <row r="186">
          <cell r="P186">
            <v>40575</v>
          </cell>
          <cell r="Q186">
            <v>-0.55</v>
          </cell>
          <cell r="R186">
            <v>2.7275</v>
          </cell>
          <cell r="S186">
            <v>3.60449919528287</v>
          </cell>
          <cell r="T186">
            <v>2.7275</v>
          </cell>
          <cell r="U186">
            <v>3.60449919528287</v>
          </cell>
          <cell r="V186">
            <v>0</v>
          </cell>
        </row>
        <row r="186">
          <cell r="X186">
            <v>40575</v>
          </cell>
          <cell r="Y186">
            <v>20.8855291531227</v>
          </cell>
          <cell r="Z186">
            <v>0</v>
          </cell>
          <cell r="AA186">
            <v>20.8855291531227</v>
          </cell>
        </row>
        <row r="187">
          <cell r="A187">
            <v>40603</v>
          </cell>
          <cell r="B187">
            <v>3.1865</v>
          </cell>
          <cell r="C187">
            <v>0</v>
          </cell>
          <cell r="D187">
            <v>3.1865</v>
          </cell>
        </row>
        <row r="187">
          <cell r="F187">
            <v>40603</v>
          </cell>
          <cell r="G187">
            <v>22.13</v>
          </cell>
          <cell r="H187">
            <v>0</v>
          </cell>
          <cell r="I187">
            <v>22.13</v>
          </cell>
        </row>
        <row r="187">
          <cell r="P187">
            <v>40603</v>
          </cell>
          <cell r="Q187">
            <v>-0.55</v>
          </cell>
          <cell r="R187">
            <v>2.6365</v>
          </cell>
          <cell r="S187">
            <v>3.4819303034978</v>
          </cell>
          <cell r="T187">
            <v>2.6365</v>
          </cell>
          <cell r="U187">
            <v>3.4819303034978</v>
          </cell>
          <cell r="V187">
            <v>0</v>
          </cell>
        </row>
        <row r="187">
          <cell r="X187">
            <v>40603</v>
          </cell>
          <cell r="Y187">
            <v>20.9669280426158</v>
          </cell>
          <cell r="Z187">
            <v>0</v>
          </cell>
          <cell r="AA187">
            <v>20.9669280426158</v>
          </cell>
        </row>
        <row r="188">
          <cell r="A188">
            <v>40634</v>
          </cell>
          <cell r="B188">
            <v>3.1105</v>
          </cell>
          <cell r="C188">
            <v>0</v>
          </cell>
          <cell r="D188">
            <v>3.1105</v>
          </cell>
        </row>
        <row r="188">
          <cell r="F188">
            <v>40634</v>
          </cell>
          <cell r="G188">
            <v>22.18</v>
          </cell>
          <cell r="H188">
            <v>0</v>
          </cell>
          <cell r="I188">
            <v>22.18</v>
          </cell>
        </row>
        <row r="188">
          <cell r="P188">
            <v>40634</v>
          </cell>
          <cell r="Q188">
            <v>-0.55</v>
          </cell>
          <cell r="R188">
            <v>2.5605</v>
          </cell>
          <cell r="S188">
            <v>3.37907840637897</v>
          </cell>
          <cell r="T188">
            <v>2.5605</v>
          </cell>
          <cell r="U188">
            <v>3.37907840637897</v>
          </cell>
          <cell r="V188">
            <v>0</v>
          </cell>
        </row>
        <row r="188">
          <cell r="X188">
            <v>40634</v>
          </cell>
          <cell r="Y188">
            <v>20.9860719573843</v>
          </cell>
          <cell r="Z188">
            <v>0</v>
          </cell>
          <cell r="AA188">
            <v>20.9860719573843</v>
          </cell>
        </row>
        <row r="189">
          <cell r="A189">
            <v>40664</v>
          </cell>
          <cell r="B189">
            <v>3.1185</v>
          </cell>
          <cell r="C189">
            <v>0</v>
          </cell>
          <cell r="D189">
            <v>3.1185</v>
          </cell>
        </row>
        <row r="189">
          <cell r="F189">
            <v>40664</v>
          </cell>
          <cell r="G189">
            <v>22.23</v>
          </cell>
          <cell r="H189">
            <v>0</v>
          </cell>
          <cell r="I189">
            <v>22.23</v>
          </cell>
        </row>
        <row r="189">
          <cell r="P189">
            <v>40664</v>
          </cell>
          <cell r="Q189">
            <v>-0.55</v>
          </cell>
          <cell r="R189">
            <v>2.5685</v>
          </cell>
          <cell r="S189">
            <v>3.38722810322546</v>
          </cell>
          <cell r="T189">
            <v>2.5685</v>
          </cell>
          <cell r="U189">
            <v>3.38722810322546</v>
          </cell>
          <cell r="V189">
            <v>0</v>
          </cell>
        </row>
        <row r="189">
          <cell r="X189">
            <v>40664</v>
          </cell>
          <cell r="Y189">
            <v>21.0656754173968</v>
          </cell>
          <cell r="Z189">
            <v>0</v>
          </cell>
          <cell r="AA189">
            <v>21.0656754173968</v>
          </cell>
        </row>
        <row r="190">
          <cell r="A190">
            <v>40695</v>
          </cell>
          <cell r="B190">
            <v>3.1355</v>
          </cell>
          <cell r="C190">
            <v>0</v>
          </cell>
          <cell r="D190">
            <v>3.1355</v>
          </cell>
        </row>
        <row r="190">
          <cell r="F190">
            <v>40695</v>
          </cell>
          <cell r="G190">
            <v>22.28</v>
          </cell>
          <cell r="H190">
            <v>0</v>
          </cell>
          <cell r="I190">
            <v>22.28</v>
          </cell>
        </row>
        <row r="190">
          <cell r="P190">
            <v>40695</v>
          </cell>
          <cell r="Q190">
            <v>-0.55</v>
          </cell>
          <cell r="R190">
            <v>2.5855</v>
          </cell>
          <cell r="S190">
            <v>3.40714346585775</v>
          </cell>
          <cell r="T190">
            <v>2.5855</v>
          </cell>
          <cell r="U190">
            <v>3.40714346585775</v>
          </cell>
          <cell r="V190">
            <v>0</v>
          </cell>
        </row>
        <row r="190">
          <cell r="X190">
            <v>40695</v>
          </cell>
          <cell r="Y190">
            <v>20.854704166003</v>
          </cell>
          <cell r="Z190">
            <v>0</v>
          </cell>
          <cell r="AA190">
            <v>20.854704166003</v>
          </cell>
        </row>
        <row r="191">
          <cell r="A191">
            <v>40725</v>
          </cell>
          <cell r="B191">
            <v>3.1465</v>
          </cell>
          <cell r="C191">
            <v>0</v>
          </cell>
          <cell r="D191">
            <v>3.1465</v>
          </cell>
        </row>
        <row r="191">
          <cell r="F191">
            <v>40725</v>
          </cell>
          <cell r="G191">
            <v>22.33</v>
          </cell>
          <cell r="H191">
            <v>0</v>
          </cell>
          <cell r="I191">
            <v>22.33</v>
          </cell>
        </row>
        <row r="191">
          <cell r="P191">
            <v>40725</v>
          </cell>
          <cell r="Q191">
            <v>-0.55</v>
          </cell>
          <cell r="R191">
            <v>2.5965</v>
          </cell>
          <cell r="S191">
            <v>3.41920713414646</v>
          </cell>
          <cell r="T191">
            <v>2.5965</v>
          </cell>
          <cell r="U191">
            <v>3.41920713414646</v>
          </cell>
          <cell r="V191">
            <v>0</v>
          </cell>
        </row>
        <row r="191">
          <cell r="X191">
            <v>40725</v>
          </cell>
          <cell r="Y191">
            <v>21.1291631949976</v>
          </cell>
          <cell r="Z191">
            <v>0</v>
          </cell>
          <cell r="AA191">
            <v>21.1291631949976</v>
          </cell>
        </row>
        <row r="192">
          <cell r="A192">
            <v>40756</v>
          </cell>
          <cell r="B192">
            <v>3.1555</v>
          </cell>
          <cell r="C192">
            <v>0</v>
          </cell>
          <cell r="D192">
            <v>3.1555</v>
          </cell>
        </row>
        <row r="192">
          <cell r="F192">
            <v>40756</v>
          </cell>
          <cell r="G192">
            <v>22.38</v>
          </cell>
          <cell r="H192">
            <v>0</v>
          </cell>
          <cell r="I192">
            <v>22.38</v>
          </cell>
        </row>
        <row r="192">
          <cell r="P192">
            <v>40756</v>
          </cell>
          <cell r="Q192">
            <v>-0.55</v>
          </cell>
          <cell r="R192">
            <v>2.6055</v>
          </cell>
          <cell r="S192">
            <v>3.42853810548571</v>
          </cell>
          <cell r="T192">
            <v>2.6055</v>
          </cell>
          <cell r="U192">
            <v>3.42853810548571</v>
          </cell>
          <cell r="V192">
            <v>0</v>
          </cell>
        </row>
        <row r="192">
          <cell r="X192">
            <v>40756</v>
          </cell>
          <cell r="Y192">
            <v>20.9962806708354</v>
          </cell>
          <cell r="Z192">
            <v>0</v>
          </cell>
          <cell r="AA192">
            <v>20.9962806708354</v>
          </cell>
        </row>
        <row r="193">
          <cell r="A193">
            <v>40787</v>
          </cell>
          <cell r="B193">
            <v>3.1545</v>
          </cell>
          <cell r="C193">
            <v>0</v>
          </cell>
          <cell r="D193">
            <v>3.1545</v>
          </cell>
        </row>
        <row r="193">
          <cell r="F193">
            <v>40787</v>
          </cell>
          <cell r="G193">
            <v>22.43</v>
          </cell>
          <cell r="H193">
            <v>0</v>
          </cell>
          <cell r="I193">
            <v>22.43</v>
          </cell>
        </row>
        <row r="193">
          <cell r="P193">
            <v>40787</v>
          </cell>
          <cell r="Q193">
            <v>-0.55</v>
          </cell>
          <cell r="R193">
            <v>2.6045</v>
          </cell>
          <cell r="S193">
            <v>3.42470359467571</v>
          </cell>
          <cell r="T193">
            <v>2.6045</v>
          </cell>
          <cell r="U193">
            <v>3.42470359467571</v>
          </cell>
          <cell r="V193">
            <v>0</v>
          </cell>
        </row>
        <row r="193">
          <cell r="X193">
            <v>40787</v>
          </cell>
          <cell r="Y193">
            <v>21.2527084810588</v>
          </cell>
          <cell r="Z193">
            <v>0</v>
          </cell>
          <cell r="AA193">
            <v>21.2527084810588</v>
          </cell>
        </row>
        <row r="194">
          <cell r="A194">
            <v>40817</v>
          </cell>
          <cell r="B194">
            <v>3.1735</v>
          </cell>
          <cell r="C194">
            <v>0</v>
          </cell>
          <cell r="D194">
            <v>3.1735</v>
          </cell>
        </row>
        <row r="194">
          <cell r="F194">
            <v>40817</v>
          </cell>
          <cell r="G194">
            <v>22.48</v>
          </cell>
          <cell r="H194">
            <v>0</v>
          </cell>
          <cell r="I194">
            <v>22.48</v>
          </cell>
        </row>
        <row r="194">
          <cell r="P194">
            <v>40817</v>
          </cell>
          <cell r="Q194">
            <v>-0.55</v>
          </cell>
          <cell r="R194">
            <v>2.6235</v>
          </cell>
          <cell r="S194">
            <v>3.44723293491058</v>
          </cell>
          <cell r="T194">
            <v>2.6235</v>
          </cell>
          <cell r="U194">
            <v>3.44723293491058</v>
          </cell>
          <cell r="V194">
            <v>0</v>
          </cell>
        </row>
        <row r="194">
          <cell r="X194">
            <v>40817</v>
          </cell>
          <cell r="Y194">
            <v>21.1249396299548</v>
          </cell>
          <cell r="Z194">
            <v>0</v>
          </cell>
          <cell r="AA194">
            <v>21.1249396299548</v>
          </cell>
        </row>
        <row r="195">
          <cell r="A195">
            <v>40848</v>
          </cell>
          <cell r="B195">
            <v>3.2695</v>
          </cell>
          <cell r="C195">
            <v>0</v>
          </cell>
          <cell r="D195">
            <v>3.2695</v>
          </cell>
        </row>
        <row r="195">
          <cell r="F195">
            <v>40848</v>
          </cell>
          <cell r="G195">
            <v>22.53</v>
          </cell>
          <cell r="H195">
            <v>0</v>
          </cell>
          <cell r="I195">
            <v>22.53</v>
          </cell>
        </row>
        <row r="195">
          <cell r="P195">
            <v>40848</v>
          </cell>
          <cell r="Q195">
            <v>-0.55</v>
          </cell>
          <cell r="R195">
            <v>2.7195</v>
          </cell>
          <cell r="S195">
            <v>3.57074768930507</v>
          </cell>
          <cell r="T195">
            <v>2.7195</v>
          </cell>
          <cell r="U195">
            <v>3.57074768930507</v>
          </cell>
          <cell r="V195">
            <v>0</v>
          </cell>
        </row>
        <row r="195">
          <cell r="X195">
            <v>40848</v>
          </cell>
          <cell r="Y195">
            <v>21.319900308371</v>
          </cell>
          <cell r="Z195">
            <v>0</v>
          </cell>
          <cell r="AA195">
            <v>21.319900308371</v>
          </cell>
        </row>
        <row r="196">
          <cell r="A196">
            <v>40878</v>
          </cell>
          <cell r="B196">
            <v>3.3715</v>
          </cell>
          <cell r="C196">
            <v>0</v>
          </cell>
          <cell r="D196">
            <v>3.3715</v>
          </cell>
        </row>
        <row r="196">
          <cell r="F196">
            <v>40878</v>
          </cell>
          <cell r="G196">
            <v>22.58</v>
          </cell>
          <cell r="H196">
            <v>0</v>
          </cell>
          <cell r="I196">
            <v>22.58</v>
          </cell>
        </row>
        <row r="196">
          <cell r="P196">
            <v>40878</v>
          </cell>
          <cell r="Q196">
            <v>-0.55</v>
          </cell>
          <cell r="R196">
            <v>2.8215</v>
          </cell>
          <cell r="S196">
            <v>3.70203831631943</v>
          </cell>
          <cell r="T196">
            <v>2.8215</v>
          </cell>
          <cell r="U196">
            <v>3.70203831631943</v>
          </cell>
          <cell r="V196">
            <v>0</v>
          </cell>
        </row>
        <row r="196">
          <cell r="X196">
            <v>40878</v>
          </cell>
          <cell r="Y196">
            <v>21.3841724469355</v>
          </cell>
          <cell r="Z196">
            <v>0</v>
          </cell>
          <cell r="AA196">
            <v>21.3841724469355</v>
          </cell>
        </row>
        <row r="197">
          <cell r="A197">
            <v>40909</v>
          </cell>
          <cell r="B197">
            <v>3.418</v>
          </cell>
          <cell r="C197">
            <v>0</v>
          </cell>
          <cell r="D197">
            <v>3.418</v>
          </cell>
        </row>
        <row r="197">
          <cell r="F197">
            <v>40909</v>
          </cell>
          <cell r="G197">
            <v>22.63</v>
          </cell>
          <cell r="H197">
            <v>0</v>
          </cell>
          <cell r="I197">
            <v>22.63</v>
          </cell>
        </row>
        <row r="197">
          <cell r="P197">
            <v>40909</v>
          </cell>
          <cell r="Q197">
            <v>-0.55</v>
          </cell>
          <cell r="R197">
            <v>2.868</v>
          </cell>
          <cell r="S197">
            <v>3.7602814721112</v>
          </cell>
          <cell r="T197">
            <v>2.868</v>
          </cell>
          <cell r="U197">
            <v>3.7602814721112</v>
          </cell>
          <cell r="V197">
            <v>0</v>
          </cell>
        </row>
        <row r="197">
          <cell r="X197">
            <v>40909</v>
          </cell>
          <cell r="Y197">
            <v>21.4225062942205</v>
          </cell>
          <cell r="Z197">
            <v>0</v>
          </cell>
          <cell r="AA197">
            <v>21.4225062942205</v>
          </cell>
        </row>
        <row r="198">
          <cell r="A198">
            <v>40940</v>
          </cell>
          <cell r="B198">
            <v>3.341</v>
          </cell>
          <cell r="C198">
            <v>0</v>
          </cell>
          <cell r="D198">
            <v>3.341</v>
          </cell>
        </row>
        <row r="198">
          <cell r="F198">
            <v>40940</v>
          </cell>
          <cell r="G198">
            <v>22.68</v>
          </cell>
          <cell r="H198">
            <v>0</v>
          </cell>
          <cell r="I198">
            <v>22.68</v>
          </cell>
        </row>
        <row r="198">
          <cell r="P198">
            <v>40940</v>
          </cell>
          <cell r="Q198">
            <v>-0.55</v>
          </cell>
          <cell r="R198">
            <v>2.791</v>
          </cell>
          <cell r="S198">
            <v>3.65663239862838</v>
          </cell>
          <cell r="T198">
            <v>2.791</v>
          </cell>
          <cell r="U198">
            <v>3.65663239862838</v>
          </cell>
          <cell r="V198">
            <v>0</v>
          </cell>
        </row>
        <row r="198">
          <cell r="X198">
            <v>40940</v>
          </cell>
          <cell r="Y198">
            <v>21.4822280881497</v>
          </cell>
          <cell r="Z198">
            <v>0</v>
          </cell>
          <cell r="AA198">
            <v>21.4822280881497</v>
          </cell>
        </row>
        <row r="199">
          <cell r="A199">
            <v>40969</v>
          </cell>
          <cell r="B199">
            <v>3.253</v>
          </cell>
          <cell r="C199">
            <v>0</v>
          </cell>
          <cell r="D199">
            <v>3.253</v>
          </cell>
        </row>
        <row r="199">
          <cell r="F199">
            <v>40969</v>
          </cell>
          <cell r="G199">
            <v>22.73</v>
          </cell>
          <cell r="H199">
            <v>0</v>
          </cell>
          <cell r="I199">
            <v>22.73</v>
          </cell>
        </row>
        <row r="199">
          <cell r="P199">
            <v>40969</v>
          </cell>
          <cell r="Q199">
            <v>-0.55</v>
          </cell>
          <cell r="R199">
            <v>2.703</v>
          </cell>
          <cell r="S199">
            <v>3.53890018636128</v>
          </cell>
          <cell r="T199">
            <v>2.703</v>
          </cell>
          <cell r="U199">
            <v>3.53890018636128</v>
          </cell>
          <cell r="V199">
            <v>0</v>
          </cell>
        </row>
        <row r="199">
          <cell r="X199">
            <v>40969</v>
          </cell>
          <cell r="Y199">
            <v>21.565059926542</v>
          </cell>
          <cell r="Z199">
            <v>0</v>
          </cell>
          <cell r="AA199">
            <v>21.565059926542</v>
          </cell>
        </row>
        <row r="200">
          <cell r="A200">
            <v>41000</v>
          </cell>
          <cell r="B200">
            <v>3.18</v>
          </cell>
          <cell r="C200">
            <v>0</v>
          </cell>
          <cell r="D200">
            <v>3.18</v>
          </cell>
        </row>
        <row r="200">
          <cell r="F200">
            <v>41000</v>
          </cell>
          <cell r="G200">
            <v>22.78</v>
          </cell>
          <cell r="H200">
            <v>0</v>
          </cell>
          <cell r="I200">
            <v>22.78</v>
          </cell>
        </row>
        <row r="200">
          <cell r="P200">
            <v>41000</v>
          </cell>
          <cell r="Q200">
            <v>-0.55</v>
          </cell>
          <cell r="R200">
            <v>2.63</v>
          </cell>
          <cell r="S200">
            <v>3.44078940488712</v>
          </cell>
          <cell r="T200">
            <v>2.63</v>
          </cell>
          <cell r="U200">
            <v>3.44078940488712</v>
          </cell>
          <cell r="V200">
            <v>0</v>
          </cell>
        </row>
        <row r="200">
          <cell r="X200">
            <v>41000</v>
          </cell>
          <cell r="Y200">
            <v>21.5900818849619</v>
          </cell>
          <cell r="Z200">
            <v>0</v>
          </cell>
          <cell r="AA200">
            <v>21.5900818849619</v>
          </cell>
        </row>
        <row r="201">
          <cell r="A201">
            <v>41030</v>
          </cell>
          <cell r="B201">
            <v>3.189</v>
          </cell>
          <cell r="C201">
            <v>0</v>
          </cell>
          <cell r="D201">
            <v>3.189</v>
          </cell>
        </row>
        <row r="201">
          <cell r="F201">
            <v>41030</v>
          </cell>
          <cell r="G201">
            <v>22.83</v>
          </cell>
          <cell r="H201">
            <v>0</v>
          </cell>
          <cell r="I201">
            <v>22.83</v>
          </cell>
        </row>
        <row r="201">
          <cell r="P201">
            <v>41030</v>
          </cell>
          <cell r="Q201">
            <v>-0.55</v>
          </cell>
          <cell r="R201">
            <v>2.639</v>
          </cell>
          <cell r="S201">
            <v>3.45010283472345</v>
          </cell>
          <cell r="T201">
            <v>2.639</v>
          </cell>
          <cell r="U201">
            <v>3.45010283472345</v>
          </cell>
          <cell r="V201">
            <v>0</v>
          </cell>
        </row>
        <row r="201">
          <cell r="X201">
            <v>41030</v>
          </cell>
          <cell r="Y201">
            <v>21.6626817625318</v>
          </cell>
          <cell r="Z201">
            <v>0</v>
          </cell>
          <cell r="AA201">
            <v>21.6626817625318</v>
          </cell>
        </row>
        <row r="202">
          <cell r="A202">
            <v>41061</v>
          </cell>
          <cell r="B202">
            <v>3.207</v>
          </cell>
          <cell r="C202">
            <v>0</v>
          </cell>
          <cell r="D202">
            <v>3.207</v>
          </cell>
        </row>
        <row r="202">
          <cell r="F202">
            <v>41061</v>
          </cell>
          <cell r="G202">
            <v>22.88</v>
          </cell>
          <cell r="H202">
            <v>0</v>
          </cell>
          <cell r="I202">
            <v>22.88</v>
          </cell>
        </row>
        <row r="202">
          <cell r="P202">
            <v>41061</v>
          </cell>
          <cell r="Q202">
            <v>-0.55</v>
          </cell>
          <cell r="R202">
            <v>2.657</v>
          </cell>
          <cell r="S202">
            <v>3.4710757710209</v>
          </cell>
          <cell r="T202">
            <v>2.657</v>
          </cell>
          <cell r="U202">
            <v>3.4710757710209</v>
          </cell>
          <cell r="V202">
            <v>0</v>
          </cell>
        </row>
        <row r="202">
          <cell r="X202">
            <v>41061</v>
          </cell>
          <cell r="Y202">
            <v>21.4528802158802</v>
          </cell>
          <cell r="Z202">
            <v>0</v>
          </cell>
          <cell r="AA202">
            <v>21.4528802158802</v>
          </cell>
        </row>
        <row r="203">
          <cell r="A203">
            <v>41091</v>
          </cell>
          <cell r="B203">
            <v>3.218</v>
          </cell>
          <cell r="C203">
            <v>0</v>
          </cell>
          <cell r="D203">
            <v>3.218</v>
          </cell>
        </row>
        <row r="203">
          <cell r="F203">
            <v>41091</v>
          </cell>
          <cell r="G203">
            <v>22.93</v>
          </cell>
          <cell r="H203">
            <v>0</v>
          </cell>
          <cell r="I203">
            <v>22.93</v>
          </cell>
        </row>
        <row r="203">
          <cell r="P203">
            <v>41091</v>
          </cell>
          <cell r="Q203">
            <v>-0.55</v>
          </cell>
          <cell r="R203">
            <v>2.668</v>
          </cell>
          <cell r="S203">
            <v>3.48296003407485</v>
          </cell>
          <cell r="T203">
            <v>2.668</v>
          </cell>
          <cell r="U203">
            <v>3.48296003407485</v>
          </cell>
          <cell r="V203">
            <v>0</v>
          </cell>
        </row>
        <row r="203">
          <cell r="X203">
            <v>41091</v>
          </cell>
          <cell r="Y203">
            <v>21.7274382954768</v>
          </cell>
          <cell r="Z203">
            <v>0</v>
          </cell>
          <cell r="AA203">
            <v>21.7274382954768</v>
          </cell>
        </row>
        <row r="204">
          <cell r="A204">
            <v>41122</v>
          </cell>
          <cell r="B204">
            <v>3.227</v>
          </cell>
          <cell r="C204">
            <v>0</v>
          </cell>
          <cell r="D204">
            <v>3.227</v>
          </cell>
        </row>
        <row r="204">
          <cell r="F204">
            <v>41122</v>
          </cell>
          <cell r="G204">
            <v>22.98</v>
          </cell>
          <cell r="H204">
            <v>0</v>
          </cell>
          <cell r="I204">
            <v>22.98</v>
          </cell>
        </row>
        <row r="204">
          <cell r="P204">
            <v>41122</v>
          </cell>
          <cell r="Q204">
            <v>-0.55</v>
          </cell>
          <cell r="R204">
            <v>2.677</v>
          </cell>
          <cell r="S204">
            <v>3.4921327218879</v>
          </cell>
          <cell r="T204">
            <v>2.677</v>
          </cell>
          <cell r="U204">
            <v>3.4921327218879</v>
          </cell>
          <cell r="V204">
            <v>0</v>
          </cell>
        </row>
        <row r="204">
          <cell r="X204">
            <v>41122</v>
          </cell>
          <cell r="Y204">
            <v>21.5894651859303</v>
          </cell>
          <cell r="Z204">
            <v>0</v>
          </cell>
          <cell r="AA204">
            <v>21.5894651859303</v>
          </cell>
        </row>
        <row r="205">
          <cell r="A205">
            <v>41153</v>
          </cell>
          <cell r="B205">
            <v>3.225</v>
          </cell>
          <cell r="C205">
            <v>0</v>
          </cell>
          <cell r="D205">
            <v>3.225</v>
          </cell>
        </row>
        <row r="205">
          <cell r="F205">
            <v>41153</v>
          </cell>
          <cell r="G205">
            <v>23.03</v>
          </cell>
          <cell r="H205">
            <v>0</v>
          </cell>
          <cell r="I205">
            <v>23.03</v>
          </cell>
        </row>
        <row r="205">
          <cell r="P205">
            <v>41153</v>
          </cell>
          <cell r="Q205">
            <v>-0.55</v>
          </cell>
          <cell r="R205">
            <v>2.675</v>
          </cell>
          <cell r="S205">
            <v>3.48695036900723</v>
          </cell>
          <cell r="T205">
            <v>2.675</v>
          </cell>
          <cell r="U205">
            <v>3.48695036900723</v>
          </cell>
          <cell r="V205">
            <v>0</v>
          </cell>
        </row>
        <row r="205">
          <cell r="X205">
            <v>41153</v>
          </cell>
          <cell r="Y205">
            <v>21.8466845672804</v>
          </cell>
          <cell r="Z205">
            <v>0</v>
          </cell>
          <cell r="AA205">
            <v>21.8466845672804</v>
          </cell>
        </row>
        <row r="206">
          <cell r="A206">
            <v>41183</v>
          </cell>
          <cell r="B206">
            <v>3.243</v>
          </cell>
          <cell r="C206">
            <v>0</v>
          </cell>
          <cell r="D206">
            <v>3.243</v>
          </cell>
        </row>
        <row r="206">
          <cell r="F206">
            <v>41183</v>
          </cell>
          <cell r="G206">
            <v>23.08</v>
          </cell>
          <cell r="H206">
            <v>0</v>
          </cell>
          <cell r="I206">
            <v>23.08</v>
          </cell>
        </row>
        <row r="206">
          <cell r="P206">
            <v>41183</v>
          </cell>
          <cell r="Q206">
            <v>-0.55</v>
          </cell>
          <cell r="R206">
            <v>2.693</v>
          </cell>
          <cell r="S206">
            <v>3.50790794402025</v>
          </cell>
          <cell r="T206">
            <v>2.693</v>
          </cell>
          <cell r="U206">
            <v>3.50790794402025</v>
          </cell>
          <cell r="V206">
            <v>0</v>
          </cell>
        </row>
        <row r="206">
          <cell r="X206">
            <v>41183</v>
          </cell>
          <cell r="Y206">
            <v>21.7334195636305</v>
          </cell>
          <cell r="Z206">
            <v>0</v>
          </cell>
          <cell r="AA206">
            <v>21.7334195636305</v>
          </cell>
        </row>
        <row r="207">
          <cell r="A207">
            <v>41214</v>
          </cell>
          <cell r="B207">
            <v>3.334</v>
          </cell>
          <cell r="C207">
            <v>0</v>
          </cell>
          <cell r="D207">
            <v>3.334</v>
          </cell>
        </row>
        <row r="207">
          <cell r="F207">
            <v>41214</v>
          </cell>
          <cell r="G207">
            <v>23.13</v>
          </cell>
          <cell r="H207">
            <v>0</v>
          </cell>
          <cell r="I207">
            <v>23.13</v>
          </cell>
        </row>
        <row r="207">
          <cell r="P207">
            <v>41214</v>
          </cell>
          <cell r="Q207">
            <v>-0.55</v>
          </cell>
          <cell r="R207">
            <v>2.784</v>
          </cell>
          <cell r="S207">
            <v>3.62376886477805</v>
          </cell>
          <cell r="T207">
            <v>2.784</v>
          </cell>
          <cell r="U207">
            <v>3.62376886477805</v>
          </cell>
          <cell r="V207">
            <v>0</v>
          </cell>
        </row>
        <row r="207">
          <cell r="X207">
            <v>41214</v>
          </cell>
          <cell r="Y207">
            <v>21.9227804363696</v>
          </cell>
          <cell r="Z207">
            <v>0</v>
          </cell>
          <cell r="AA207">
            <v>21.9227804363696</v>
          </cell>
        </row>
        <row r="208">
          <cell r="A208">
            <v>41244</v>
          </cell>
          <cell r="B208">
            <v>3.433</v>
          </cell>
          <cell r="C208">
            <v>0</v>
          </cell>
          <cell r="D208">
            <v>3.433</v>
          </cell>
        </row>
        <row r="208">
          <cell r="F208">
            <v>41244</v>
          </cell>
          <cell r="G208">
            <v>23.18</v>
          </cell>
          <cell r="H208">
            <v>0</v>
          </cell>
          <cell r="I208">
            <v>23.18</v>
          </cell>
        </row>
        <row r="208">
          <cell r="P208">
            <v>41244</v>
          </cell>
          <cell r="Q208">
            <v>-0.55</v>
          </cell>
          <cell r="R208">
            <v>2.883</v>
          </cell>
          <cell r="S208">
            <v>3.74995085168436</v>
          </cell>
          <cell r="T208">
            <v>2.883</v>
          </cell>
          <cell r="U208">
            <v>3.74995085168436</v>
          </cell>
          <cell r="V208">
            <v>0</v>
          </cell>
        </row>
        <row r="208">
          <cell r="X208">
            <v>41244</v>
          </cell>
          <cell r="Y208">
            <v>21.9785304335619</v>
          </cell>
          <cell r="Z208">
            <v>0</v>
          </cell>
          <cell r="AA208">
            <v>21.9785304335619</v>
          </cell>
        </row>
        <row r="209">
          <cell r="A209">
            <v>41275</v>
          </cell>
          <cell r="B209">
            <v>3.4775</v>
          </cell>
          <cell r="C209">
            <v>0</v>
          </cell>
          <cell r="D209">
            <v>3.4775</v>
          </cell>
        </row>
        <row r="209">
          <cell r="F209">
            <v>41275</v>
          </cell>
          <cell r="G209">
            <v>23.2300000000001</v>
          </cell>
          <cell r="H209">
            <v>0</v>
          </cell>
          <cell r="I209">
            <v>23.2300000000001</v>
          </cell>
        </row>
        <row r="209">
          <cell r="P209">
            <v>41275</v>
          </cell>
          <cell r="Q209">
            <v>-0.55</v>
          </cell>
          <cell r="R209">
            <v>2.9275</v>
          </cell>
          <cell r="S209">
            <v>3.80502114935341</v>
          </cell>
          <cell r="T209">
            <v>2.9275</v>
          </cell>
          <cell r="U209">
            <v>3.80502114935341</v>
          </cell>
          <cell r="V209">
            <v>0</v>
          </cell>
        </row>
        <row r="209">
          <cell r="X209">
            <v>41275</v>
          </cell>
          <cell r="Y209">
            <v>22.0272079720318</v>
          </cell>
          <cell r="Z209">
            <v>0</v>
          </cell>
          <cell r="AA209">
            <v>22.0272079720318</v>
          </cell>
        </row>
        <row r="210">
          <cell r="A210">
            <v>41306</v>
          </cell>
          <cell r="B210">
            <v>3.4045</v>
          </cell>
          <cell r="C210">
            <v>0</v>
          </cell>
          <cell r="D210">
            <v>3.4045</v>
          </cell>
        </row>
        <row r="210">
          <cell r="F210">
            <v>41306</v>
          </cell>
          <cell r="G210">
            <v>23.2800000000001</v>
          </cell>
          <cell r="H210">
            <v>0</v>
          </cell>
          <cell r="I210">
            <v>23.2800000000001</v>
          </cell>
        </row>
        <row r="210">
          <cell r="P210">
            <v>41306</v>
          </cell>
          <cell r="Q210">
            <v>-0.55</v>
          </cell>
          <cell r="R210">
            <v>2.8545</v>
          </cell>
          <cell r="S210">
            <v>3.70739928756996</v>
          </cell>
          <cell r="T210">
            <v>2.8545</v>
          </cell>
          <cell r="U210">
            <v>3.70739928756996</v>
          </cell>
          <cell r="V210">
            <v>0</v>
          </cell>
        </row>
        <row r="210">
          <cell r="X210">
            <v>41306</v>
          </cell>
          <cell r="Y210">
            <v>22.0765920279683</v>
          </cell>
          <cell r="Z210">
            <v>0</v>
          </cell>
          <cell r="AA210">
            <v>22.0765920279683</v>
          </cell>
        </row>
        <row r="211">
          <cell r="A211">
            <v>41334</v>
          </cell>
          <cell r="B211">
            <v>3.3195</v>
          </cell>
          <cell r="C211">
            <v>0</v>
          </cell>
          <cell r="D211">
            <v>3.3195</v>
          </cell>
        </row>
        <row r="211">
          <cell r="F211">
            <v>41334</v>
          </cell>
          <cell r="G211">
            <v>23.3300000000001</v>
          </cell>
          <cell r="H211">
            <v>0</v>
          </cell>
          <cell r="I211">
            <v>23.3300000000001</v>
          </cell>
        </row>
        <row r="211">
          <cell r="P211">
            <v>41334</v>
          </cell>
          <cell r="Q211">
            <v>-0.55</v>
          </cell>
          <cell r="R211">
            <v>2.7695</v>
          </cell>
          <cell r="S211">
            <v>3.59460188097896</v>
          </cell>
          <cell r="T211">
            <v>2.7695</v>
          </cell>
          <cell r="U211">
            <v>3.59460188097896</v>
          </cell>
          <cell r="V211">
            <v>0</v>
          </cell>
        </row>
        <row r="211">
          <cell r="X211">
            <v>41334</v>
          </cell>
          <cell r="Y211">
            <v>22.1702824421759</v>
          </cell>
          <cell r="Z211">
            <v>0</v>
          </cell>
          <cell r="AA211">
            <v>22.1702824421759</v>
          </cell>
        </row>
        <row r="212">
          <cell r="A212">
            <v>41365</v>
          </cell>
          <cell r="B212">
            <v>3.2495</v>
          </cell>
          <cell r="C212">
            <v>0</v>
          </cell>
          <cell r="D212">
            <v>3.2495</v>
          </cell>
        </row>
        <row r="212">
          <cell r="F212">
            <v>41365</v>
          </cell>
          <cell r="G212">
            <v>23.3800000000001</v>
          </cell>
          <cell r="H212">
            <v>0</v>
          </cell>
          <cell r="I212">
            <v>23.3800000000001</v>
          </cell>
        </row>
        <row r="212">
          <cell r="P212">
            <v>41365</v>
          </cell>
          <cell r="Q212">
            <v>-0.55</v>
          </cell>
          <cell r="R212">
            <v>2.6995</v>
          </cell>
          <cell r="S212">
            <v>3.50115810705329</v>
          </cell>
          <cell r="T212">
            <v>2.6995</v>
          </cell>
          <cell r="U212">
            <v>3.50115810705329</v>
          </cell>
          <cell r="V212">
            <v>0</v>
          </cell>
        </row>
        <row r="212">
          <cell r="X212">
            <v>41365</v>
          </cell>
          <cell r="Y212">
            <v>22.1827175578242</v>
          </cell>
          <cell r="Z212">
            <v>0</v>
          </cell>
          <cell r="AA212">
            <v>22.1827175578242</v>
          </cell>
        </row>
        <row r="213">
          <cell r="A213">
            <v>41395</v>
          </cell>
          <cell r="B213">
            <v>3.2595</v>
          </cell>
          <cell r="C213">
            <v>0</v>
          </cell>
          <cell r="D213">
            <v>3.2595</v>
          </cell>
        </row>
        <row r="213">
          <cell r="F213">
            <v>41395</v>
          </cell>
          <cell r="G213">
            <v>23.4300000000001</v>
          </cell>
          <cell r="H213">
            <v>0</v>
          </cell>
          <cell r="I213">
            <v>23.4300000000001</v>
          </cell>
        </row>
        <row r="213">
          <cell r="P213">
            <v>41395</v>
          </cell>
          <cell r="Q213">
            <v>-0.55</v>
          </cell>
          <cell r="R213">
            <v>2.7095</v>
          </cell>
          <cell r="S213">
            <v>3.5116140393419</v>
          </cell>
          <cell r="T213">
            <v>2.7095</v>
          </cell>
          <cell r="U213">
            <v>3.5116140393419</v>
          </cell>
          <cell r="V213">
            <v>0</v>
          </cell>
        </row>
        <row r="213">
          <cell r="X213">
            <v>41395</v>
          </cell>
          <cell r="Y213">
            <v>22.2694840383417</v>
          </cell>
          <cell r="Z213">
            <v>0</v>
          </cell>
          <cell r="AA213">
            <v>22.2694840383417</v>
          </cell>
        </row>
        <row r="214">
          <cell r="A214">
            <v>41426</v>
          </cell>
          <cell r="B214">
            <v>3.2785</v>
          </cell>
          <cell r="C214">
            <v>0</v>
          </cell>
          <cell r="D214">
            <v>3.2785</v>
          </cell>
        </row>
        <row r="214">
          <cell r="F214">
            <v>41426</v>
          </cell>
          <cell r="G214">
            <v>23.4800000000001</v>
          </cell>
          <cell r="H214">
            <v>0</v>
          </cell>
          <cell r="I214">
            <v>23.4800000000001</v>
          </cell>
        </row>
        <row r="214">
          <cell r="P214">
            <v>41426</v>
          </cell>
          <cell r="Q214">
            <v>-0.55</v>
          </cell>
          <cell r="R214">
            <v>2.7285</v>
          </cell>
          <cell r="S214">
            <v>3.53362417383028</v>
          </cell>
          <cell r="T214">
            <v>2.7285</v>
          </cell>
          <cell r="U214">
            <v>3.53362417383028</v>
          </cell>
          <cell r="V214">
            <v>0</v>
          </cell>
        </row>
        <row r="214">
          <cell r="X214">
            <v>41426</v>
          </cell>
          <cell r="Y214">
            <v>22.058513301382</v>
          </cell>
          <cell r="Z214">
            <v>0</v>
          </cell>
          <cell r="AA214">
            <v>22.058513301382</v>
          </cell>
        </row>
        <row r="215">
          <cell r="A215">
            <v>41456</v>
          </cell>
          <cell r="B215">
            <v>3.2895</v>
          </cell>
          <cell r="C215">
            <v>0</v>
          </cell>
          <cell r="D215">
            <v>3.2895</v>
          </cell>
        </row>
        <row r="215">
          <cell r="F215">
            <v>41456</v>
          </cell>
          <cell r="G215">
            <v>23.5300000000001</v>
          </cell>
          <cell r="H215">
            <v>0</v>
          </cell>
          <cell r="I215">
            <v>23.5300000000001</v>
          </cell>
        </row>
        <row r="215">
          <cell r="P215">
            <v>41456</v>
          </cell>
          <cell r="Q215">
            <v>-0.55</v>
          </cell>
          <cell r="R215">
            <v>2.7395</v>
          </cell>
          <cell r="S215">
            <v>3.54533072080094</v>
          </cell>
          <cell r="T215">
            <v>2.7395</v>
          </cell>
          <cell r="U215">
            <v>3.54533072080094</v>
          </cell>
          <cell r="V215">
            <v>0</v>
          </cell>
        </row>
        <row r="215">
          <cell r="X215">
            <v>41456</v>
          </cell>
          <cell r="Y215">
            <v>22.3231051527832</v>
          </cell>
          <cell r="Z215">
            <v>0</v>
          </cell>
          <cell r="AA215">
            <v>22.3231051527832</v>
          </cell>
        </row>
        <row r="216">
          <cell r="A216">
            <v>41487</v>
          </cell>
          <cell r="B216">
            <v>3.2985</v>
          </cell>
          <cell r="C216">
            <v>0</v>
          </cell>
          <cell r="D216">
            <v>3.2985</v>
          </cell>
        </row>
        <row r="216">
          <cell r="F216">
            <v>41487</v>
          </cell>
          <cell r="G216">
            <v>23.5800000000001</v>
          </cell>
          <cell r="H216">
            <v>0</v>
          </cell>
          <cell r="I216">
            <v>23.5800000000001</v>
          </cell>
        </row>
        <row r="216">
          <cell r="P216">
            <v>41487</v>
          </cell>
          <cell r="Q216">
            <v>-0.55</v>
          </cell>
          <cell r="R216">
            <v>2.7485</v>
          </cell>
          <cell r="S216">
            <v>3.55434665695315</v>
          </cell>
          <cell r="T216">
            <v>2.7485</v>
          </cell>
          <cell r="U216">
            <v>3.55434665695315</v>
          </cell>
          <cell r="V216">
            <v>0</v>
          </cell>
        </row>
        <row r="216">
          <cell r="X216">
            <v>41487</v>
          </cell>
          <cell r="Y216">
            <v>22.1838948472169</v>
          </cell>
          <cell r="Z216">
            <v>0</v>
          </cell>
          <cell r="AA216">
            <v>22.1838948472169</v>
          </cell>
        </row>
        <row r="217">
          <cell r="A217">
            <v>41518</v>
          </cell>
          <cell r="B217">
            <v>3.2955</v>
          </cell>
          <cell r="C217">
            <v>0</v>
          </cell>
          <cell r="D217">
            <v>3.2955</v>
          </cell>
        </row>
        <row r="217">
          <cell r="F217">
            <v>41518</v>
          </cell>
          <cell r="G217">
            <v>23.6300000000001</v>
          </cell>
          <cell r="H217">
            <v>0</v>
          </cell>
          <cell r="I217">
            <v>23.6300000000001</v>
          </cell>
        </row>
        <row r="217">
          <cell r="P217">
            <v>41518</v>
          </cell>
          <cell r="Q217">
            <v>-0.55</v>
          </cell>
          <cell r="R217">
            <v>2.7455</v>
          </cell>
          <cell r="S217">
            <v>3.54783968076235</v>
          </cell>
          <cell r="T217">
            <v>2.7455</v>
          </cell>
          <cell r="U217">
            <v>3.54783968076235</v>
          </cell>
          <cell r="V217">
            <v>0</v>
          </cell>
        </row>
        <row r="217">
          <cell r="X217">
            <v>41518</v>
          </cell>
          <cell r="Y217">
            <v>22.4446564112318</v>
          </cell>
          <cell r="Z217">
            <v>0</v>
          </cell>
          <cell r="AA217">
            <v>22.4446564112318</v>
          </cell>
        </row>
        <row r="218">
          <cell r="A218">
            <v>41548</v>
          </cell>
          <cell r="B218">
            <v>3.3125</v>
          </cell>
          <cell r="C218">
            <v>0</v>
          </cell>
          <cell r="D218">
            <v>3.3125</v>
          </cell>
        </row>
        <row r="218">
          <cell r="F218">
            <v>41548</v>
          </cell>
          <cell r="G218">
            <v>23.6800000000001</v>
          </cell>
          <cell r="H218">
            <v>0</v>
          </cell>
          <cell r="I218">
            <v>23.6800000000001</v>
          </cell>
        </row>
        <row r="218">
          <cell r="P218">
            <v>41548</v>
          </cell>
          <cell r="Q218">
            <v>-0.55</v>
          </cell>
          <cell r="R218">
            <v>2.7625</v>
          </cell>
          <cell r="S218">
            <v>3.56725047201023</v>
          </cell>
          <cell r="T218">
            <v>2.7625</v>
          </cell>
          <cell r="U218">
            <v>3.56725047201023</v>
          </cell>
          <cell r="V218">
            <v>0</v>
          </cell>
        </row>
        <row r="218">
          <cell r="X218">
            <v>41548</v>
          </cell>
          <cell r="Y218">
            <v>22.3284696573069</v>
          </cell>
          <cell r="Z218">
            <v>0</v>
          </cell>
          <cell r="AA218">
            <v>22.3284696573069</v>
          </cell>
        </row>
        <row r="219">
          <cell r="A219">
            <v>41579</v>
          </cell>
          <cell r="B219">
            <v>3.3985</v>
          </cell>
          <cell r="C219">
            <v>0</v>
          </cell>
          <cell r="D219">
            <v>3.3985</v>
          </cell>
        </row>
        <row r="219">
          <cell r="F219">
            <v>41579</v>
          </cell>
          <cell r="G219">
            <v>23.7300000000001</v>
          </cell>
          <cell r="H219">
            <v>0</v>
          </cell>
          <cell r="I219">
            <v>23.7300000000001</v>
          </cell>
        </row>
        <row r="219">
          <cell r="P219">
            <v>41579</v>
          </cell>
          <cell r="Q219">
            <v>-0.55</v>
          </cell>
          <cell r="R219">
            <v>2.8485</v>
          </cell>
          <cell r="S219">
            <v>3.67557977289231</v>
          </cell>
          <cell r="T219">
            <v>2.8485</v>
          </cell>
          <cell r="U219">
            <v>3.67557977289231</v>
          </cell>
          <cell r="V219">
            <v>0</v>
          </cell>
        </row>
        <row r="219">
          <cell r="X219">
            <v>41579</v>
          </cell>
          <cell r="Y219">
            <v>22.5173094024484</v>
          </cell>
          <cell r="Z219">
            <v>0</v>
          </cell>
          <cell r="AA219">
            <v>22.5173094024484</v>
          </cell>
        </row>
        <row r="220">
          <cell r="A220">
            <v>41609</v>
          </cell>
          <cell r="B220">
            <v>3.4945</v>
          </cell>
          <cell r="C220">
            <v>0</v>
          </cell>
          <cell r="D220">
            <v>3.4945</v>
          </cell>
        </row>
        <row r="220">
          <cell r="F220">
            <v>41609</v>
          </cell>
          <cell r="G220">
            <v>23.7800000000001</v>
          </cell>
          <cell r="H220">
            <v>0</v>
          </cell>
          <cell r="I220">
            <v>23.7800000000001</v>
          </cell>
        </row>
        <row r="220">
          <cell r="P220">
            <v>41609</v>
          </cell>
          <cell r="Q220">
            <v>-0.55</v>
          </cell>
          <cell r="R220">
            <v>2.9445</v>
          </cell>
          <cell r="S220">
            <v>3.79673063525048</v>
          </cell>
          <cell r="T220">
            <v>2.9445</v>
          </cell>
          <cell r="U220">
            <v>3.79673063525048</v>
          </cell>
          <cell r="V220">
            <v>0</v>
          </cell>
        </row>
        <row r="220">
          <cell r="X220">
            <v>41609</v>
          </cell>
          <cell r="Y220">
            <v>22.5865850750398</v>
          </cell>
          <cell r="Z220">
            <v>0</v>
          </cell>
          <cell r="AA220">
            <v>22.5865850750398</v>
          </cell>
        </row>
        <row r="221">
          <cell r="A221">
            <v>41640</v>
          </cell>
          <cell r="B221">
            <v>3.537</v>
          </cell>
          <cell r="C221">
            <v>0</v>
          </cell>
          <cell r="D221">
            <v>3.537</v>
          </cell>
        </row>
        <row r="221">
          <cell r="F221">
            <v>41640</v>
          </cell>
          <cell r="G221">
            <v>23.8300000000001</v>
          </cell>
          <cell r="H221">
            <v>0</v>
          </cell>
          <cell r="I221">
            <v>23.8300000000001</v>
          </cell>
        </row>
        <row r="221">
          <cell r="P221">
            <v>41640</v>
          </cell>
          <cell r="Q221">
            <v>-0.55</v>
          </cell>
          <cell r="R221">
            <v>2.987</v>
          </cell>
          <cell r="S221">
            <v>3.84867799123494</v>
          </cell>
          <cell r="T221">
            <v>2.987</v>
          </cell>
          <cell r="U221">
            <v>3.84867799123494</v>
          </cell>
          <cell r="V221">
            <v>0</v>
          </cell>
        </row>
        <row r="221">
          <cell r="X221">
            <v>41640</v>
          </cell>
          <cell r="Y221">
            <v>22.6190044772366</v>
          </cell>
          <cell r="Z221">
            <v>0</v>
          </cell>
          <cell r="AA221">
            <v>22.6190044772366</v>
          </cell>
        </row>
        <row r="222">
          <cell r="A222">
            <v>41671</v>
          </cell>
          <cell r="B222">
            <v>3.468</v>
          </cell>
          <cell r="C222">
            <v>0</v>
          </cell>
          <cell r="D222">
            <v>3.468</v>
          </cell>
        </row>
        <row r="222">
          <cell r="F222">
            <v>41671</v>
          </cell>
          <cell r="G222">
            <v>23.8800000000001</v>
          </cell>
          <cell r="H222">
            <v>0</v>
          </cell>
          <cell r="I222">
            <v>23.8800000000001</v>
          </cell>
        </row>
        <row r="222">
          <cell r="P222">
            <v>41671</v>
          </cell>
          <cell r="Q222">
            <v>-0.55</v>
          </cell>
          <cell r="R222">
            <v>2.918</v>
          </cell>
          <cell r="S222">
            <v>3.75698683000973</v>
          </cell>
          <cell r="T222">
            <v>2.918</v>
          </cell>
          <cell r="U222">
            <v>3.75698683000973</v>
          </cell>
          <cell r="V222">
            <v>0</v>
          </cell>
        </row>
        <row r="222">
          <cell r="X222">
            <v>41671</v>
          </cell>
          <cell r="Y222">
            <v>22.6804413843305</v>
          </cell>
          <cell r="Z222">
            <v>0</v>
          </cell>
          <cell r="AA222">
            <v>22.6804413843305</v>
          </cell>
        </row>
        <row r="223">
          <cell r="A223">
            <v>41699</v>
          </cell>
          <cell r="B223">
            <v>3.386</v>
          </cell>
          <cell r="C223">
            <v>0</v>
          </cell>
          <cell r="D223">
            <v>3.386</v>
          </cell>
        </row>
        <row r="223">
          <cell r="F223">
            <v>41699</v>
          </cell>
          <cell r="G223">
            <v>23.9300000000001</v>
          </cell>
          <cell r="H223">
            <v>0</v>
          </cell>
          <cell r="I223">
            <v>23.9300000000001</v>
          </cell>
        </row>
        <row r="223">
          <cell r="P223">
            <v>41699</v>
          </cell>
          <cell r="Q223">
            <v>-0.55</v>
          </cell>
          <cell r="R223">
            <v>2.836</v>
          </cell>
          <cell r="S223">
            <v>3.64896518748425</v>
          </cell>
          <cell r="T223">
            <v>2.836</v>
          </cell>
          <cell r="U223">
            <v>3.64896518748425</v>
          </cell>
          <cell r="V223">
            <v>0</v>
          </cell>
        </row>
        <row r="223">
          <cell r="X223">
            <v>41699</v>
          </cell>
          <cell r="Y223">
            <v>22.7676175031559</v>
          </cell>
          <cell r="Z223">
            <v>0</v>
          </cell>
          <cell r="AA223">
            <v>22.7676175031559</v>
          </cell>
        </row>
        <row r="224">
          <cell r="A224">
            <v>41730</v>
          </cell>
          <cell r="B224">
            <v>3.319</v>
          </cell>
          <cell r="C224">
            <v>0</v>
          </cell>
          <cell r="D224">
            <v>3.319</v>
          </cell>
        </row>
        <row r="224">
          <cell r="F224">
            <v>41730</v>
          </cell>
          <cell r="G224">
            <v>23.9800000000001</v>
          </cell>
          <cell r="H224">
            <v>0</v>
          </cell>
          <cell r="I224">
            <v>23.9800000000001</v>
          </cell>
        </row>
        <row r="224">
          <cell r="P224">
            <v>41730</v>
          </cell>
          <cell r="Q224">
            <v>-0.55</v>
          </cell>
          <cell r="R224">
            <v>2.769</v>
          </cell>
          <cell r="S224">
            <v>3.56011724573345</v>
          </cell>
          <cell r="T224">
            <v>2.769</v>
          </cell>
          <cell r="U224">
            <v>3.56011724573345</v>
          </cell>
          <cell r="V224">
            <v>0</v>
          </cell>
        </row>
        <row r="224">
          <cell r="X224">
            <v>41730</v>
          </cell>
          <cell r="Y224">
            <v>22.7853824968442</v>
          </cell>
          <cell r="Z224">
            <v>0</v>
          </cell>
          <cell r="AA224">
            <v>22.7853824968442</v>
          </cell>
        </row>
        <row r="225">
          <cell r="A225">
            <v>41760</v>
          </cell>
          <cell r="B225">
            <v>3.33</v>
          </cell>
          <cell r="C225">
            <v>0</v>
          </cell>
          <cell r="D225">
            <v>3.33</v>
          </cell>
        </row>
        <row r="225">
          <cell r="F225">
            <v>41760</v>
          </cell>
          <cell r="G225">
            <v>24.0300000000001</v>
          </cell>
          <cell r="H225">
            <v>0</v>
          </cell>
          <cell r="I225">
            <v>24.0300000000001</v>
          </cell>
        </row>
        <row r="225">
          <cell r="P225">
            <v>41760</v>
          </cell>
          <cell r="Q225">
            <v>-0.55</v>
          </cell>
          <cell r="R225">
            <v>2.78</v>
          </cell>
          <cell r="S225">
            <v>3.57169441417138</v>
          </cell>
          <cell r="T225">
            <v>2.78</v>
          </cell>
          <cell r="U225">
            <v>3.57169441417138</v>
          </cell>
          <cell r="V225">
            <v>0</v>
          </cell>
        </row>
        <row r="225">
          <cell r="X225">
            <v>41760</v>
          </cell>
          <cell r="Y225">
            <v>22.8670613665054</v>
          </cell>
          <cell r="Z225">
            <v>0</v>
          </cell>
          <cell r="AA225">
            <v>22.8670613665054</v>
          </cell>
        </row>
        <row r="226">
          <cell r="A226">
            <v>41791</v>
          </cell>
          <cell r="B226">
            <v>3.35</v>
          </cell>
          <cell r="C226">
            <v>0</v>
          </cell>
          <cell r="D226">
            <v>3.35</v>
          </cell>
        </row>
        <row r="226">
          <cell r="F226">
            <v>41791</v>
          </cell>
          <cell r="G226">
            <v>24.0800000000001</v>
          </cell>
          <cell r="H226">
            <v>0</v>
          </cell>
          <cell r="I226">
            <v>24.0800000000001</v>
          </cell>
        </row>
        <row r="226">
          <cell r="P226">
            <v>41791</v>
          </cell>
          <cell r="Q226">
            <v>-0.55</v>
          </cell>
          <cell r="R226">
            <v>2.8</v>
          </cell>
          <cell r="S226">
            <v>3.5947210575108</v>
          </cell>
          <cell r="T226">
            <v>2.8</v>
          </cell>
          <cell r="U226">
            <v>3.5947210575108</v>
          </cell>
          <cell r="V226">
            <v>0</v>
          </cell>
        </row>
        <row r="226">
          <cell r="X226">
            <v>41791</v>
          </cell>
          <cell r="Y226">
            <v>22.6646988612456</v>
          </cell>
          <cell r="Z226">
            <v>0</v>
          </cell>
          <cell r="AA226">
            <v>22.6646988612456</v>
          </cell>
        </row>
        <row r="227">
          <cell r="A227">
            <v>41821</v>
          </cell>
          <cell r="B227">
            <v>3.361</v>
          </cell>
          <cell r="C227">
            <v>0</v>
          </cell>
          <cell r="D227">
            <v>3.361</v>
          </cell>
        </row>
        <row r="227">
          <cell r="F227">
            <v>41821</v>
          </cell>
          <cell r="G227">
            <v>24.1300000000001</v>
          </cell>
          <cell r="H227">
            <v>0</v>
          </cell>
          <cell r="I227">
            <v>24.1300000000001</v>
          </cell>
        </row>
        <row r="227">
          <cell r="P227">
            <v>41821</v>
          </cell>
          <cell r="Q227">
            <v>-0.55</v>
          </cell>
          <cell r="R227">
            <v>2.811</v>
          </cell>
          <cell r="S227">
            <v>3.60625127167199</v>
          </cell>
          <cell r="T227">
            <v>2.811</v>
          </cell>
          <cell r="U227">
            <v>3.60625127167199</v>
          </cell>
          <cell r="V227">
            <v>0</v>
          </cell>
        </row>
        <row r="227">
          <cell r="X227">
            <v>41821</v>
          </cell>
          <cell r="Y227">
            <v>22.9250009489621</v>
          </cell>
          <cell r="Z227">
            <v>0</v>
          </cell>
          <cell r="AA227">
            <v>22.9250009489621</v>
          </cell>
        </row>
        <row r="228">
          <cell r="A228">
            <v>41852</v>
          </cell>
          <cell r="B228">
            <v>3.37</v>
          </cell>
          <cell r="C228">
            <v>0</v>
          </cell>
          <cell r="D228">
            <v>3.37</v>
          </cell>
        </row>
        <row r="228">
          <cell r="F228">
            <v>41852</v>
          </cell>
          <cell r="G228">
            <v>24.1800000000001</v>
          </cell>
          <cell r="H228">
            <v>0</v>
          </cell>
          <cell r="I228">
            <v>24.1800000000001</v>
          </cell>
        </row>
        <row r="228">
          <cell r="P228">
            <v>41852</v>
          </cell>
          <cell r="Q228">
            <v>-0.55</v>
          </cell>
          <cell r="R228">
            <v>2.82</v>
          </cell>
          <cell r="S228">
            <v>3.61511174571192</v>
          </cell>
          <cell r="T228">
            <v>2.82</v>
          </cell>
          <cell r="U228">
            <v>3.61511174571192</v>
          </cell>
          <cell r="V228">
            <v>0</v>
          </cell>
        </row>
        <row r="228">
          <cell r="X228">
            <v>41852</v>
          </cell>
          <cell r="Y228">
            <v>22.7871355009437</v>
          </cell>
          <cell r="Z228">
            <v>0</v>
          </cell>
          <cell r="AA228">
            <v>22.7871355009437</v>
          </cell>
        </row>
        <row r="229">
          <cell r="A229">
            <v>41883</v>
          </cell>
          <cell r="B229">
            <v>3.366</v>
          </cell>
          <cell r="C229">
            <v>0</v>
          </cell>
          <cell r="D229">
            <v>3.366</v>
          </cell>
        </row>
        <row r="229">
          <cell r="F229">
            <v>41883</v>
          </cell>
          <cell r="G229">
            <v>24.2300000000001</v>
          </cell>
          <cell r="H229">
            <v>0</v>
          </cell>
          <cell r="I229">
            <v>24.2300000000001</v>
          </cell>
        </row>
        <row r="229">
          <cell r="P229">
            <v>41883</v>
          </cell>
          <cell r="Q229">
            <v>-0.55</v>
          </cell>
          <cell r="R229">
            <v>2.816</v>
          </cell>
          <cell r="S229">
            <v>3.60730325541274</v>
          </cell>
          <cell r="T229">
            <v>2.816</v>
          </cell>
          <cell r="U229">
            <v>3.60730325541274</v>
          </cell>
          <cell r="V229">
            <v>0</v>
          </cell>
        </row>
        <row r="229">
          <cell r="X229">
            <v>41883</v>
          </cell>
          <cell r="Y229">
            <v>23.0461845796938</v>
          </cell>
          <cell r="Z229">
            <v>0</v>
          </cell>
          <cell r="AA229">
            <v>23.0461845796938</v>
          </cell>
        </row>
        <row r="230">
          <cell r="A230">
            <v>41913</v>
          </cell>
          <cell r="B230">
            <v>3.382</v>
          </cell>
          <cell r="C230">
            <v>0</v>
          </cell>
          <cell r="D230">
            <v>3.382</v>
          </cell>
        </row>
        <row r="230">
          <cell r="F230">
            <v>41913</v>
          </cell>
          <cell r="G230">
            <v>24.2800000000001</v>
          </cell>
          <cell r="H230">
            <v>0</v>
          </cell>
          <cell r="I230">
            <v>24.2800000000001</v>
          </cell>
        </row>
        <row r="230">
          <cell r="P230">
            <v>41913</v>
          </cell>
          <cell r="Q230">
            <v>-0.55</v>
          </cell>
          <cell r="R230">
            <v>2.832</v>
          </cell>
          <cell r="S230">
            <v>3.62519151325579</v>
          </cell>
          <cell r="T230">
            <v>2.832</v>
          </cell>
          <cell r="U230">
            <v>3.62519151325579</v>
          </cell>
          <cell r="V230">
            <v>0</v>
          </cell>
        </row>
        <row r="230">
          <cell r="X230">
            <v>41913</v>
          </cell>
          <cell r="Y230">
            <v>22.919386745733</v>
          </cell>
          <cell r="Z230">
            <v>0</v>
          </cell>
          <cell r="AA230">
            <v>22.919386745733</v>
          </cell>
        </row>
        <row r="231">
          <cell r="A231">
            <v>41944</v>
          </cell>
          <cell r="B231">
            <v>3.463</v>
          </cell>
          <cell r="C231">
            <v>0</v>
          </cell>
          <cell r="D231">
            <v>3.463</v>
          </cell>
        </row>
        <row r="231">
          <cell r="F231">
            <v>41944</v>
          </cell>
          <cell r="G231">
            <v>24.3300000000001</v>
          </cell>
          <cell r="H231">
            <v>0</v>
          </cell>
          <cell r="I231">
            <v>24.3300000000001</v>
          </cell>
        </row>
        <row r="231">
          <cell r="P231">
            <v>41944</v>
          </cell>
          <cell r="Q231">
            <v>-0.55</v>
          </cell>
          <cell r="R231">
            <v>2.913</v>
          </cell>
          <cell r="S231">
            <v>3.726107580403</v>
          </cell>
          <cell r="T231">
            <v>2.913</v>
          </cell>
          <cell r="U231">
            <v>3.726107580403</v>
          </cell>
          <cell r="V231">
            <v>0</v>
          </cell>
        </row>
        <row r="231">
          <cell r="X231">
            <v>41944</v>
          </cell>
          <cell r="Y231">
            <v>23.1203610452226</v>
          </cell>
          <cell r="Z231">
            <v>0</v>
          </cell>
          <cell r="AA231">
            <v>23.1203610452226</v>
          </cell>
        </row>
        <row r="232">
          <cell r="A232">
            <v>41974</v>
          </cell>
          <cell r="B232">
            <v>3.556</v>
          </cell>
          <cell r="C232">
            <v>0</v>
          </cell>
          <cell r="D232">
            <v>3.556</v>
          </cell>
        </row>
        <row r="232">
          <cell r="F232">
            <v>41974</v>
          </cell>
          <cell r="G232">
            <v>24.3800000000001</v>
          </cell>
          <cell r="H232">
            <v>0</v>
          </cell>
          <cell r="I232">
            <v>24.3800000000001</v>
          </cell>
        </row>
        <row r="232">
          <cell r="P232">
            <v>41974</v>
          </cell>
          <cell r="Q232">
            <v>-0.55</v>
          </cell>
          <cell r="R232">
            <v>3.006</v>
          </cell>
          <cell r="S232">
            <v>3.84230117676989</v>
          </cell>
          <cell r="T232">
            <v>3.006</v>
          </cell>
          <cell r="U232">
            <v>3.84230117676989</v>
          </cell>
          <cell r="V232">
            <v>0</v>
          </cell>
        </row>
        <row r="232">
          <cell r="X232">
            <v>41974</v>
          </cell>
          <cell r="Y232">
            <v>23.1842376575212</v>
          </cell>
          <cell r="Z232">
            <v>0</v>
          </cell>
          <cell r="AA232">
            <v>23.1842376575212</v>
          </cell>
        </row>
        <row r="233">
          <cell r="A233">
            <v>42005</v>
          </cell>
          <cell r="B233">
            <v>3.5965</v>
          </cell>
          <cell r="C233">
            <v>0</v>
          </cell>
          <cell r="D233">
            <v>3.5965</v>
          </cell>
        </row>
        <row r="233">
          <cell r="F233">
            <v>42005</v>
          </cell>
          <cell r="G233">
            <v>24.4300000000001</v>
          </cell>
          <cell r="H233">
            <v>0</v>
          </cell>
          <cell r="I233">
            <v>24.4300000000001</v>
          </cell>
        </row>
        <row r="233">
          <cell r="P233">
            <v>42005</v>
          </cell>
          <cell r="Q233">
            <v>-0.55</v>
          </cell>
          <cell r="R233">
            <v>3.0465</v>
          </cell>
          <cell r="S233">
            <v>3.89117375106685</v>
          </cell>
          <cell r="T233">
            <v>3.0465</v>
          </cell>
          <cell r="U233">
            <v>3.89117375106685</v>
          </cell>
          <cell r="V233">
            <v>0</v>
          </cell>
        </row>
        <row r="233">
          <cell r="X233">
            <v>42005</v>
          </cell>
          <cell r="Y233">
            <v>23.2195623424789</v>
          </cell>
          <cell r="Z233">
            <v>0</v>
          </cell>
          <cell r="AA233">
            <v>23.2195623424789</v>
          </cell>
        </row>
        <row r="234">
          <cell r="A234">
            <v>42036</v>
          </cell>
          <cell r="B234">
            <v>3.5315</v>
          </cell>
          <cell r="C234">
            <v>0</v>
          </cell>
          <cell r="D234">
            <v>3.5315</v>
          </cell>
        </row>
        <row r="234">
          <cell r="F234">
            <v>42036</v>
          </cell>
          <cell r="G234">
            <v>24.4800000000001</v>
          </cell>
          <cell r="H234">
            <v>0</v>
          </cell>
          <cell r="I234">
            <v>24.4800000000001</v>
          </cell>
        </row>
        <row r="234">
          <cell r="P234">
            <v>42036</v>
          </cell>
          <cell r="Q234">
            <v>-0.55</v>
          </cell>
          <cell r="R234">
            <v>2.9815</v>
          </cell>
          <cell r="S234">
            <v>3.80531991497701</v>
          </cell>
          <cell r="T234">
            <v>2.9815</v>
          </cell>
          <cell r="U234">
            <v>3.80531991497701</v>
          </cell>
          <cell r="V234">
            <v>0</v>
          </cell>
        </row>
        <row r="234">
          <cell r="X234">
            <v>42036</v>
          </cell>
          <cell r="Y234">
            <v>23.280514714601</v>
          </cell>
          <cell r="Z234">
            <v>0</v>
          </cell>
          <cell r="AA234">
            <v>23.280514714601</v>
          </cell>
        </row>
        <row r="235">
          <cell r="A235">
            <v>42064</v>
          </cell>
          <cell r="B235">
            <v>3.4525</v>
          </cell>
          <cell r="C235">
            <v>0</v>
          </cell>
          <cell r="D235">
            <v>3.4525</v>
          </cell>
        </row>
        <row r="235">
          <cell r="F235">
            <v>42064</v>
          </cell>
          <cell r="G235">
            <v>24.5300000000001</v>
          </cell>
          <cell r="H235">
            <v>0</v>
          </cell>
          <cell r="I235">
            <v>24.5300000000001</v>
          </cell>
        </row>
        <row r="235">
          <cell r="P235">
            <v>42064</v>
          </cell>
          <cell r="Q235">
            <v>-0.55</v>
          </cell>
          <cell r="R235">
            <v>2.9025</v>
          </cell>
          <cell r="S235">
            <v>3.70200237071141</v>
          </cell>
          <cell r="T235">
            <v>2.9025</v>
          </cell>
          <cell r="U235">
            <v>3.70200237071141</v>
          </cell>
          <cell r="V235">
            <v>0</v>
          </cell>
        </row>
        <row r="235">
          <cell r="X235">
            <v>42064</v>
          </cell>
          <cell r="Y235">
            <v>23.3680722973827</v>
          </cell>
          <cell r="Z235">
            <v>0</v>
          </cell>
          <cell r="AA235">
            <v>23.3680722973827</v>
          </cell>
        </row>
        <row r="236">
          <cell r="A236">
            <v>42095</v>
          </cell>
          <cell r="B236">
            <v>3.3885</v>
          </cell>
          <cell r="C236">
            <v>0</v>
          </cell>
          <cell r="D236">
            <v>3.3885</v>
          </cell>
        </row>
        <row r="236">
          <cell r="F236">
            <v>42095</v>
          </cell>
          <cell r="G236">
            <v>24.5800000000001</v>
          </cell>
          <cell r="H236">
            <v>0</v>
          </cell>
          <cell r="I236">
            <v>24.5800000000001</v>
          </cell>
        </row>
        <row r="236">
          <cell r="P236">
            <v>42095</v>
          </cell>
          <cell r="Q236">
            <v>-0.55</v>
          </cell>
          <cell r="R236">
            <v>2.8385</v>
          </cell>
          <cell r="S236">
            <v>3.617714592634</v>
          </cell>
          <cell r="T236">
            <v>2.8385</v>
          </cell>
          <cell r="U236">
            <v>3.617714592634</v>
          </cell>
          <cell r="V236">
            <v>0</v>
          </cell>
        </row>
        <row r="236">
          <cell r="X236">
            <v>42095</v>
          </cell>
          <cell r="Y236">
            <v>23.3799277026175</v>
          </cell>
          <cell r="Z236">
            <v>0</v>
          </cell>
          <cell r="AA236">
            <v>23.3799277026175</v>
          </cell>
        </row>
        <row r="237">
          <cell r="A237">
            <v>42125</v>
          </cell>
          <cell r="B237">
            <v>3.4005</v>
          </cell>
          <cell r="C237">
            <v>0</v>
          </cell>
          <cell r="D237">
            <v>3.4005</v>
          </cell>
        </row>
        <row r="237">
          <cell r="F237">
            <v>42125</v>
          </cell>
          <cell r="G237">
            <v>24.6300000000001</v>
          </cell>
          <cell r="H237">
            <v>0</v>
          </cell>
          <cell r="I237">
            <v>24.6300000000001</v>
          </cell>
        </row>
        <row r="237">
          <cell r="P237">
            <v>42125</v>
          </cell>
          <cell r="Q237">
            <v>-0.55</v>
          </cell>
          <cell r="R237">
            <v>2.8505</v>
          </cell>
          <cell r="S237">
            <v>3.63145132916602</v>
          </cell>
          <cell r="T237">
            <v>2.8505</v>
          </cell>
          <cell r="U237">
            <v>3.63145132916602</v>
          </cell>
          <cell r="V237">
            <v>0</v>
          </cell>
        </row>
        <row r="237">
          <cell r="X237">
            <v>42125</v>
          </cell>
          <cell r="Y237">
            <v>23.4669769144856</v>
          </cell>
          <cell r="Z237">
            <v>0</v>
          </cell>
          <cell r="AA237">
            <v>23.4669769144856</v>
          </cell>
        </row>
        <row r="238">
          <cell r="A238">
            <v>42156</v>
          </cell>
          <cell r="B238">
            <v>3.4215</v>
          </cell>
          <cell r="C238">
            <v>0</v>
          </cell>
          <cell r="D238">
            <v>3.4215</v>
          </cell>
        </row>
        <row r="238">
          <cell r="F238">
            <v>42156</v>
          </cell>
          <cell r="G238">
            <v>24.6800000000001</v>
          </cell>
          <cell r="H238">
            <v>0</v>
          </cell>
          <cell r="I238">
            <v>24.6800000000001</v>
          </cell>
        </row>
        <row r="238">
          <cell r="P238">
            <v>42156</v>
          </cell>
          <cell r="Q238">
            <v>-0.55</v>
          </cell>
          <cell r="R238">
            <v>2.8715</v>
          </cell>
          <cell r="S238">
            <v>3.65659559019326</v>
          </cell>
          <cell r="T238">
            <v>2.8715</v>
          </cell>
          <cell r="U238">
            <v>3.65659559019326</v>
          </cell>
          <cell r="V238">
            <v>0</v>
          </cell>
        </row>
        <row r="238">
          <cell r="X238">
            <v>42156</v>
          </cell>
          <cell r="Y238">
            <v>23.2647692379288</v>
          </cell>
          <cell r="Z238">
            <v>0</v>
          </cell>
          <cell r="AA238">
            <v>23.2647692379288</v>
          </cell>
        </row>
        <row r="239">
          <cell r="A239">
            <v>42186</v>
          </cell>
          <cell r="B239">
            <v>3.4325</v>
          </cell>
          <cell r="C239">
            <v>0</v>
          </cell>
          <cell r="D239">
            <v>3.4325</v>
          </cell>
        </row>
        <row r="239">
          <cell r="F239">
            <v>42186</v>
          </cell>
          <cell r="G239">
            <v>24.7300000000001</v>
          </cell>
          <cell r="H239">
            <v>0</v>
          </cell>
          <cell r="I239">
            <v>24.7300000000001</v>
          </cell>
        </row>
        <row r="239">
          <cell r="P239">
            <v>42186</v>
          </cell>
          <cell r="Q239">
            <v>-0.55</v>
          </cell>
          <cell r="R239">
            <v>2.8825</v>
          </cell>
          <cell r="S239">
            <v>3.66905169164588</v>
          </cell>
          <cell r="T239">
            <v>2.8825</v>
          </cell>
          <cell r="U239">
            <v>3.66905169164588</v>
          </cell>
          <cell r="V239">
            <v>0</v>
          </cell>
        </row>
        <row r="239">
          <cell r="X239">
            <v>42186</v>
          </cell>
          <cell r="Y239">
            <v>23.5328006927921</v>
          </cell>
          <cell r="Z239">
            <v>0</v>
          </cell>
          <cell r="AA239">
            <v>23.5328006927921</v>
          </cell>
        </row>
        <row r="240">
          <cell r="A240">
            <v>42217</v>
          </cell>
          <cell r="B240">
            <v>3.4415</v>
          </cell>
          <cell r="C240">
            <v>0</v>
          </cell>
          <cell r="D240">
            <v>3.4415</v>
          </cell>
        </row>
        <row r="240">
          <cell r="F240">
            <v>42217</v>
          </cell>
          <cell r="G240">
            <v>24.7800000000001</v>
          </cell>
          <cell r="H240">
            <v>0</v>
          </cell>
          <cell r="I240">
            <v>24.7800000000001</v>
          </cell>
        </row>
        <row r="240">
          <cell r="P240">
            <v>42217</v>
          </cell>
          <cell r="Q240">
            <v>-0.55</v>
          </cell>
          <cell r="R240">
            <v>2.8915</v>
          </cell>
          <cell r="S240">
            <v>3.67891158842913</v>
          </cell>
          <cell r="T240">
            <v>2.8915</v>
          </cell>
          <cell r="U240">
            <v>3.67891158842913</v>
          </cell>
          <cell r="V240">
            <v>0</v>
          </cell>
        </row>
        <row r="240">
          <cell r="X240">
            <v>42217</v>
          </cell>
          <cell r="Y240">
            <v>23.3890827560067</v>
          </cell>
          <cell r="Z240">
            <v>0</v>
          </cell>
          <cell r="AA240">
            <v>23.3890827560067</v>
          </cell>
        </row>
        <row r="241">
          <cell r="A241">
            <v>42248</v>
          </cell>
          <cell r="B241">
            <v>3.4365</v>
          </cell>
          <cell r="C241">
            <v>0</v>
          </cell>
          <cell r="D241">
            <v>3.4365</v>
          </cell>
        </row>
        <row r="241">
          <cell r="F241">
            <v>42248</v>
          </cell>
          <cell r="G241">
            <v>24.8300000000001</v>
          </cell>
          <cell r="H241">
            <v>0</v>
          </cell>
          <cell r="I241">
            <v>24.8300000000001</v>
          </cell>
        </row>
        <row r="241">
          <cell r="P241">
            <v>42248</v>
          </cell>
          <cell r="Q241">
            <v>-0.55</v>
          </cell>
          <cell r="R241">
            <v>2.8865</v>
          </cell>
          <cell r="S241">
            <v>3.67096914574114</v>
          </cell>
          <cell r="T241">
            <v>2.8865</v>
          </cell>
          <cell r="U241">
            <v>3.67096914574114</v>
          </cell>
          <cell r="V241">
            <v>0</v>
          </cell>
        </row>
        <row r="241">
          <cell r="X241">
            <v>42248</v>
          </cell>
          <cell r="Y241">
            <v>23.6431132646104</v>
          </cell>
          <cell r="Z241">
            <v>0</v>
          </cell>
          <cell r="AA241">
            <v>23.6431132646104</v>
          </cell>
        </row>
        <row r="242">
          <cell r="A242">
            <v>42278</v>
          </cell>
          <cell r="B242">
            <v>3.4515</v>
          </cell>
          <cell r="C242">
            <v>0</v>
          </cell>
          <cell r="D242">
            <v>3.4515</v>
          </cell>
        </row>
        <row r="242">
          <cell r="F242">
            <v>42278</v>
          </cell>
          <cell r="G242">
            <v>24.8800000000001</v>
          </cell>
          <cell r="H242">
            <v>0</v>
          </cell>
          <cell r="I242">
            <v>24.8800000000001</v>
          </cell>
        </row>
        <row r="242">
          <cell r="P242">
            <v>42278</v>
          </cell>
          <cell r="Q242">
            <v>-0.55</v>
          </cell>
          <cell r="R242">
            <v>2.9015</v>
          </cell>
          <cell r="S242">
            <v>3.68851971719273</v>
          </cell>
          <cell r="T242">
            <v>2.9015</v>
          </cell>
          <cell r="U242">
            <v>3.68851971719273</v>
          </cell>
          <cell r="V242">
            <v>0</v>
          </cell>
        </row>
        <row r="242">
          <cell r="X242">
            <v>42278</v>
          </cell>
          <cell r="Y242">
            <v>23.5221788503544</v>
          </cell>
          <cell r="Z242">
            <v>0</v>
          </cell>
          <cell r="AA242">
            <v>23.5221788503544</v>
          </cell>
        </row>
        <row r="243">
          <cell r="A243">
            <v>42309</v>
          </cell>
          <cell r="B243">
            <v>3.5275</v>
          </cell>
          <cell r="C243">
            <v>0</v>
          </cell>
          <cell r="D243">
            <v>3.5275</v>
          </cell>
        </row>
        <row r="243">
          <cell r="F243">
            <v>42309</v>
          </cell>
          <cell r="G243">
            <v>24.9300000000001</v>
          </cell>
          <cell r="H243">
            <v>0</v>
          </cell>
          <cell r="I243">
            <v>24.9300000000001</v>
          </cell>
        </row>
        <row r="243">
          <cell r="P243">
            <v>42309</v>
          </cell>
          <cell r="Q243">
            <v>-0.55</v>
          </cell>
          <cell r="R243">
            <v>2.9775</v>
          </cell>
          <cell r="S243">
            <v>3.78352871660916</v>
          </cell>
          <cell r="T243">
            <v>2.9775</v>
          </cell>
          <cell r="U243">
            <v>3.78352871660916</v>
          </cell>
          <cell r="V243">
            <v>0</v>
          </cell>
        </row>
        <row r="243">
          <cell r="X243">
            <v>42309</v>
          </cell>
          <cell r="Y243">
            <v>23.7222009580382</v>
          </cell>
          <cell r="Z243">
            <v>0</v>
          </cell>
          <cell r="AA243">
            <v>23.7222009580382</v>
          </cell>
        </row>
        <row r="244">
          <cell r="A244">
            <v>42339</v>
          </cell>
          <cell r="B244">
            <v>3.6175</v>
          </cell>
          <cell r="C244">
            <v>0</v>
          </cell>
          <cell r="D244">
            <v>3.6175</v>
          </cell>
        </row>
        <row r="244">
          <cell r="F244">
            <v>42339</v>
          </cell>
          <cell r="G244">
            <v>24.9800000000001</v>
          </cell>
          <cell r="H244">
            <v>0</v>
          </cell>
          <cell r="I244">
            <v>24.9800000000001</v>
          </cell>
        </row>
        <row r="244">
          <cell r="P244">
            <v>42339</v>
          </cell>
          <cell r="Q244">
            <v>-0.55</v>
          </cell>
          <cell r="R244">
            <v>3.0675</v>
          </cell>
          <cell r="S244">
            <v>3.89630389064291</v>
          </cell>
          <cell r="T244">
            <v>3.0675</v>
          </cell>
          <cell r="U244">
            <v>3.89630389064291</v>
          </cell>
          <cell r="V244">
            <v>0</v>
          </cell>
        </row>
        <row r="244">
          <cell r="X244">
            <v>42339</v>
          </cell>
          <cell r="Y244">
            <v>23.7824825349683</v>
          </cell>
          <cell r="Z244">
            <v>0</v>
          </cell>
          <cell r="AA244">
            <v>23.7824825349683</v>
          </cell>
        </row>
        <row r="245">
          <cell r="A245">
            <v>42370</v>
          </cell>
          <cell r="B245">
            <v>3.656</v>
          </cell>
          <cell r="C245">
            <v>0</v>
          </cell>
          <cell r="D245">
            <v>3.656</v>
          </cell>
        </row>
        <row r="245">
          <cell r="F245">
            <v>42370</v>
          </cell>
          <cell r="G245">
            <v>25.0300000000001</v>
          </cell>
          <cell r="H245">
            <v>0</v>
          </cell>
          <cell r="I245">
            <v>25.0300000000001</v>
          </cell>
        </row>
        <row r="245">
          <cell r="P245">
            <v>42370</v>
          </cell>
          <cell r="Q245">
            <v>-0.55</v>
          </cell>
          <cell r="R245">
            <v>3.106</v>
          </cell>
          <cell r="S245">
            <v>3.94355719475928</v>
          </cell>
          <cell r="T245">
            <v>3.106</v>
          </cell>
          <cell r="U245">
            <v>3.94355719475928</v>
          </cell>
          <cell r="V245">
            <v>0</v>
          </cell>
        </row>
        <row r="245">
          <cell r="X245">
            <v>42370</v>
          </cell>
          <cell r="Y245">
            <v>23.8181886045744</v>
          </cell>
          <cell r="Z245">
            <v>0</v>
          </cell>
          <cell r="AA245">
            <v>23.8181886045744</v>
          </cell>
        </row>
        <row r="246">
          <cell r="A246">
            <v>42401</v>
          </cell>
          <cell r="B246">
            <v>3.595</v>
          </cell>
          <cell r="C246">
            <v>0</v>
          </cell>
          <cell r="D246">
            <v>3.595</v>
          </cell>
        </row>
        <row r="246">
          <cell r="F246">
            <v>42401</v>
          </cell>
          <cell r="G246">
            <v>25.0800000000001</v>
          </cell>
          <cell r="H246">
            <v>0</v>
          </cell>
          <cell r="I246">
            <v>25.0800000000001</v>
          </cell>
        </row>
        <row r="246">
          <cell r="P246">
            <v>42401</v>
          </cell>
          <cell r="Q246">
            <v>-0.55</v>
          </cell>
          <cell r="R246">
            <v>3.045</v>
          </cell>
          <cell r="S246">
            <v>3.86450442941882</v>
          </cell>
          <cell r="T246">
            <v>3.045</v>
          </cell>
          <cell r="U246">
            <v>3.86450442941882</v>
          </cell>
          <cell r="V246">
            <v>0</v>
          </cell>
        </row>
        <row r="246">
          <cell r="X246">
            <v>42401</v>
          </cell>
          <cell r="Y246">
            <v>23.8858261628548</v>
          </cell>
          <cell r="Z246">
            <v>0</v>
          </cell>
          <cell r="AA246">
            <v>23.8858261628548</v>
          </cell>
        </row>
        <row r="247">
          <cell r="A247">
            <v>42430</v>
          </cell>
          <cell r="B247">
            <v>3.519</v>
          </cell>
          <cell r="C247">
            <v>0</v>
          </cell>
          <cell r="D247">
            <v>3.519</v>
          </cell>
        </row>
        <row r="247">
          <cell r="P247">
            <v>42430</v>
          </cell>
          <cell r="Q247">
            <v>-0.55</v>
          </cell>
          <cell r="R247">
            <v>2.969</v>
          </cell>
          <cell r="S247">
            <v>3.76659913287464</v>
          </cell>
          <cell r="T247">
            <v>2.969</v>
          </cell>
          <cell r="U247">
            <v>3.76659913287464</v>
          </cell>
          <cell r="V247">
            <v>0</v>
          </cell>
        </row>
        <row r="247">
          <cell r="X247">
            <v>42430</v>
          </cell>
          <cell r="Y247">
            <v>23.9643240485735</v>
          </cell>
          <cell r="Z247">
            <v>0</v>
          </cell>
          <cell r="AA247">
            <v>23.9643240485735</v>
          </cell>
        </row>
        <row r="248">
          <cell r="A248">
            <v>42461</v>
          </cell>
          <cell r="B248">
            <v>3.458</v>
          </cell>
          <cell r="C248">
            <v>0</v>
          </cell>
          <cell r="D248">
            <v>3.458</v>
          </cell>
        </row>
        <row r="248">
          <cell r="P248">
            <v>42461</v>
          </cell>
          <cell r="Q248">
            <v>-0.55</v>
          </cell>
          <cell r="R248">
            <v>2.908</v>
          </cell>
          <cell r="S248">
            <v>3.68770433554639</v>
          </cell>
          <cell r="T248">
            <v>2.908</v>
          </cell>
          <cell r="U248">
            <v>3.68770433554639</v>
          </cell>
          <cell r="V248">
            <v>0</v>
          </cell>
        </row>
        <row r="248">
          <cell r="X248">
            <v>42461</v>
          </cell>
          <cell r="Y248">
            <v>23.9862054103879</v>
          </cell>
          <cell r="Z248">
            <v>0</v>
          </cell>
          <cell r="AA248">
            <v>23.9862054103879</v>
          </cell>
        </row>
        <row r="249">
          <cell r="A249">
            <v>42491</v>
          </cell>
          <cell r="B249">
            <v>3.471</v>
          </cell>
          <cell r="C249">
            <v>0</v>
          </cell>
          <cell r="D249">
            <v>3.471</v>
          </cell>
        </row>
        <row r="249">
          <cell r="P249">
            <v>42491</v>
          </cell>
          <cell r="Q249">
            <v>-0.55</v>
          </cell>
          <cell r="R249">
            <v>2.921</v>
          </cell>
          <cell r="S249">
            <v>3.70273621902469</v>
          </cell>
          <cell r="T249">
            <v>2.921</v>
          </cell>
          <cell r="U249">
            <v>3.70273621902469</v>
          </cell>
          <cell r="V249">
            <v>0</v>
          </cell>
        </row>
        <row r="249">
          <cell r="X249">
            <v>42491</v>
          </cell>
          <cell r="Y249">
            <v>24.0655727612402</v>
          </cell>
          <cell r="Z249">
            <v>0</v>
          </cell>
          <cell r="AA249">
            <v>24.0655727612402</v>
          </cell>
        </row>
        <row r="250">
          <cell r="A250">
            <v>42522</v>
          </cell>
          <cell r="B250">
            <v>3.493</v>
          </cell>
          <cell r="C250">
            <v>0</v>
          </cell>
          <cell r="D250">
            <v>3.493</v>
          </cell>
        </row>
        <row r="250">
          <cell r="P250">
            <v>42522</v>
          </cell>
          <cell r="Q250">
            <v>-0.55</v>
          </cell>
          <cell r="R250">
            <v>2.943</v>
          </cell>
          <cell r="S250">
            <v>3.72912274327013</v>
          </cell>
          <cell r="T250">
            <v>2.943</v>
          </cell>
          <cell r="U250">
            <v>3.72912274327013</v>
          </cell>
          <cell r="V250">
            <v>0</v>
          </cell>
        </row>
        <row r="250">
          <cell r="X250">
            <v>42522</v>
          </cell>
          <cell r="Y250">
            <v>23.8547974897818</v>
          </cell>
          <cell r="Z250">
            <v>0</v>
          </cell>
          <cell r="AA250">
            <v>23.8547974897818</v>
          </cell>
        </row>
        <row r="251">
          <cell r="A251">
            <v>42552</v>
          </cell>
          <cell r="B251">
            <v>3.504</v>
          </cell>
          <cell r="C251">
            <v>0</v>
          </cell>
          <cell r="D251">
            <v>3.504</v>
          </cell>
        </row>
        <row r="251">
          <cell r="P251">
            <v>42552</v>
          </cell>
          <cell r="Q251">
            <v>-0.55</v>
          </cell>
          <cell r="R251">
            <v>2.954</v>
          </cell>
          <cell r="S251">
            <v>3.74161464676905</v>
          </cell>
          <cell r="T251">
            <v>2.954</v>
          </cell>
          <cell r="U251">
            <v>3.74161464676905</v>
          </cell>
          <cell r="V251">
            <v>0</v>
          </cell>
        </row>
        <row r="251">
          <cell r="X251">
            <v>42552</v>
          </cell>
          <cell r="Y251">
            <v>24.129085425182</v>
          </cell>
          <cell r="Z251">
            <v>0</v>
          </cell>
          <cell r="AA251">
            <v>24.129085425182</v>
          </cell>
        </row>
        <row r="252">
          <cell r="A252">
            <v>42583</v>
          </cell>
          <cell r="B252">
            <v>3.513</v>
          </cell>
          <cell r="C252">
            <v>0</v>
          </cell>
          <cell r="D252">
            <v>3.513</v>
          </cell>
        </row>
        <row r="252">
          <cell r="P252">
            <v>42583</v>
          </cell>
          <cell r="Q252">
            <v>-0.55</v>
          </cell>
          <cell r="R252">
            <v>2.963</v>
          </cell>
          <cell r="S252">
            <v>3.75152744623284</v>
          </cell>
          <cell r="T252">
            <v>2.963</v>
          </cell>
          <cell r="U252">
            <v>3.75152744623284</v>
          </cell>
          <cell r="V252">
            <v>0</v>
          </cell>
        </row>
        <row r="252">
          <cell r="X252">
            <v>42583</v>
          </cell>
          <cell r="Y252">
            <v>23.9963454790151</v>
          </cell>
          <cell r="Z252">
            <v>0</v>
          </cell>
          <cell r="AA252">
            <v>23.9963454790151</v>
          </cell>
        </row>
        <row r="253">
          <cell r="A253">
            <v>42614</v>
          </cell>
          <cell r="B253">
            <v>3.507</v>
          </cell>
          <cell r="C253">
            <v>0</v>
          </cell>
          <cell r="D253">
            <v>3.507</v>
          </cell>
        </row>
        <row r="253">
          <cell r="P253">
            <v>42614</v>
          </cell>
          <cell r="Q253">
            <v>-0.55</v>
          </cell>
          <cell r="R253">
            <v>2.957</v>
          </cell>
          <cell r="S253">
            <v>3.74245933298494</v>
          </cell>
          <cell r="T253">
            <v>2.957</v>
          </cell>
          <cell r="U253">
            <v>3.74245933298494</v>
          </cell>
          <cell r="V253">
            <v>0</v>
          </cell>
        </row>
        <row r="253">
          <cell r="X253">
            <v>42614</v>
          </cell>
          <cell r="Y253">
            <v>24.2526495645319</v>
          </cell>
          <cell r="Z253">
            <v>0</v>
          </cell>
          <cell r="AA253">
            <v>24.2526495645319</v>
          </cell>
        </row>
        <row r="254">
          <cell r="A254">
            <v>42644</v>
          </cell>
          <cell r="B254">
            <v>3.521</v>
          </cell>
          <cell r="C254">
            <v>0</v>
          </cell>
          <cell r="D254">
            <v>3.521</v>
          </cell>
        </row>
        <row r="254">
          <cell r="P254">
            <v>42644</v>
          </cell>
          <cell r="Q254">
            <v>-0.55</v>
          </cell>
          <cell r="R254">
            <v>2.971</v>
          </cell>
          <cell r="S254">
            <v>3.75875937819215</v>
          </cell>
          <cell r="T254">
            <v>2.971</v>
          </cell>
          <cell r="U254">
            <v>3.75875937819215</v>
          </cell>
          <cell r="V254">
            <v>0</v>
          </cell>
        </row>
        <row r="254">
          <cell r="X254">
            <v>42644</v>
          </cell>
          <cell r="Y254">
            <v>24.1249849503603</v>
          </cell>
          <cell r="Z254">
            <v>0</v>
          </cell>
          <cell r="AA254">
            <v>24.1249849503603</v>
          </cell>
        </row>
        <row r="255">
          <cell r="A255">
            <v>42675</v>
          </cell>
          <cell r="B255">
            <v>3.592</v>
          </cell>
          <cell r="C255">
            <v>0</v>
          </cell>
          <cell r="D255">
            <v>3.592</v>
          </cell>
        </row>
        <row r="255">
          <cell r="P255">
            <v>42675</v>
          </cell>
          <cell r="Q255">
            <v>-0.55</v>
          </cell>
          <cell r="R255">
            <v>3.042</v>
          </cell>
          <cell r="S255">
            <v>3.84709652377549</v>
          </cell>
          <cell r="T255">
            <v>3.042</v>
          </cell>
          <cell r="U255">
            <v>3.84709652377549</v>
          </cell>
          <cell r="V255">
            <v>0</v>
          </cell>
        </row>
        <row r="255">
          <cell r="X255">
            <v>42675</v>
          </cell>
          <cell r="Y255">
            <v>24.3198625413666</v>
          </cell>
          <cell r="Z255">
            <v>0</v>
          </cell>
          <cell r="AA255">
            <v>24.3198625413666</v>
          </cell>
        </row>
        <row r="256">
          <cell r="A256">
            <v>42705</v>
          </cell>
          <cell r="B256">
            <v>3.679</v>
          </cell>
          <cell r="C256">
            <v>0</v>
          </cell>
          <cell r="D256">
            <v>3.679</v>
          </cell>
        </row>
        <row r="256">
          <cell r="P256">
            <v>42705</v>
          </cell>
          <cell r="Q256">
            <v>-0.55</v>
          </cell>
          <cell r="R256">
            <v>3.129</v>
          </cell>
          <cell r="S256">
            <v>3.95565282584487</v>
          </cell>
          <cell r="T256">
            <v>3.129</v>
          </cell>
          <cell r="U256">
            <v>3.95565282584487</v>
          </cell>
          <cell r="V256">
            <v>0</v>
          </cell>
        </row>
        <row r="256">
          <cell r="X256">
            <v>42705</v>
          </cell>
          <cell r="Y256">
            <v>24.384206780576</v>
          </cell>
          <cell r="Z256">
            <v>0</v>
          </cell>
          <cell r="AA256">
            <v>24.384206780576</v>
          </cell>
        </row>
        <row r="257">
          <cell r="A257">
            <v>42736</v>
          </cell>
          <cell r="B257">
            <v>3.7155</v>
          </cell>
          <cell r="C257">
            <v>0</v>
          </cell>
          <cell r="D257">
            <v>3.7155</v>
          </cell>
        </row>
        <row r="257">
          <cell r="P257">
            <v>42736</v>
          </cell>
          <cell r="Q257">
            <v>-0.55</v>
          </cell>
          <cell r="R257">
            <v>3.1655</v>
          </cell>
          <cell r="S257">
            <v>4.00027303451468</v>
          </cell>
          <cell r="T257">
            <v>3.1655</v>
          </cell>
          <cell r="U257">
            <v>4.00027303451468</v>
          </cell>
          <cell r="V257">
            <v>0</v>
          </cell>
        </row>
        <row r="257">
          <cell r="X257">
            <v>42736</v>
          </cell>
          <cell r="Y257">
            <v>24.4224776828535</v>
          </cell>
          <cell r="Z257">
            <v>0</v>
          </cell>
          <cell r="AA257">
            <v>24.4224776828535</v>
          </cell>
        </row>
        <row r="258">
          <cell r="A258">
            <v>42767</v>
          </cell>
          <cell r="B258">
            <v>3.6585</v>
          </cell>
          <cell r="C258">
            <v>0</v>
          </cell>
          <cell r="D258">
            <v>3.6585</v>
          </cell>
        </row>
        <row r="258">
          <cell r="P258">
            <v>42767</v>
          </cell>
          <cell r="Q258">
            <v>-0.55</v>
          </cell>
          <cell r="R258">
            <v>3.1085</v>
          </cell>
          <cell r="S258">
            <v>3.92675927680799</v>
          </cell>
          <cell r="T258">
            <v>3.1085</v>
          </cell>
          <cell r="U258">
            <v>3.92675927680799</v>
          </cell>
          <cell r="V258">
            <v>0</v>
          </cell>
        </row>
        <row r="258">
          <cell r="X258">
            <v>42767</v>
          </cell>
          <cell r="Y258">
            <v>24.4822519309556</v>
          </cell>
          <cell r="Z258">
            <v>0</v>
          </cell>
          <cell r="AA258">
            <v>24.4822519309556</v>
          </cell>
        </row>
        <row r="259">
          <cell r="A259">
            <v>42795</v>
          </cell>
          <cell r="B259">
            <v>3.5855</v>
          </cell>
          <cell r="C259">
            <v>0</v>
          </cell>
          <cell r="D259">
            <v>3.5855</v>
          </cell>
        </row>
        <row r="259">
          <cell r="P259">
            <v>42795</v>
          </cell>
          <cell r="Q259">
            <v>-0.55</v>
          </cell>
          <cell r="R259">
            <v>3.0355</v>
          </cell>
          <cell r="S259">
            <v>3.83324678863105</v>
          </cell>
          <cell r="T259">
            <v>3.0355</v>
          </cell>
          <cell r="U259">
            <v>3.83324678863105</v>
          </cell>
          <cell r="V259">
            <v>0</v>
          </cell>
        </row>
        <row r="259">
          <cell r="X259">
            <v>42795</v>
          </cell>
          <cell r="Y259">
            <v>24.5650400575372</v>
          </cell>
          <cell r="Z259">
            <v>0</v>
          </cell>
          <cell r="AA259">
            <v>24.5650400575372</v>
          </cell>
        </row>
        <row r="260">
          <cell r="A260">
            <v>42826</v>
          </cell>
          <cell r="B260">
            <v>3.5275</v>
          </cell>
          <cell r="C260">
            <v>0</v>
          </cell>
          <cell r="D260">
            <v>3.5275</v>
          </cell>
        </row>
        <row r="260">
          <cell r="P260">
            <v>42826</v>
          </cell>
          <cell r="Q260">
            <v>-0.55</v>
          </cell>
          <cell r="R260">
            <v>2.9775</v>
          </cell>
          <cell r="S260">
            <v>3.75860793244441</v>
          </cell>
          <cell r="T260">
            <v>2.9775</v>
          </cell>
          <cell r="U260">
            <v>3.75860793244441</v>
          </cell>
          <cell r="V260">
            <v>0</v>
          </cell>
        </row>
        <row r="260">
          <cell r="X260">
            <v>42826</v>
          </cell>
          <cell r="Y260">
            <v>24.587959942463</v>
          </cell>
          <cell r="Z260">
            <v>0</v>
          </cell>
          <cell r="AA260">
            <v>24.587959942463</v>
          </cell>
        </row>
        <row r="261">
          <cell r="A261">
            <v>42856</v>
          </cell>
          <cell r="B261">
            <v>3.5415</v>
          </cell>
          <cell r="C261">
            <v>0</v>
          </cell>
          <cell r="D261">
            <v>3.5415</v>
          </cell>
        </row>
        <row r="261">
          <cell r="P261">
            <v>42856</v>
          </cell>
          <cell r="Q261">
            <v>-0.55</v>
          </cell>
          <cell r="R261">
            <v>2.9915</v>
          </cell>
          <cell r="S261">
            <v>3.77493510786129</v>
          </cell>
          <cell r="T261">
            <v>2.9915</v>
          </cell>
          <cell r="U261">
            <v>3.77493510786129</v>
          </cell>
          <cell r="V261">
            <v>0</v>
          </cell>
        </row>
        <row r="261">
          <cell r="X261">
            <v>42856</v>
          </cell>
          <cell r="Y261">
            <v>24.6642231211825</v>
          </cell>
          <cell r="Z261">
            <v>0</v>
          </cell>
          <cell r="AA261">
            <v>24.6642231211825</v>
          </cell>
        </row>
        <row r="262">
          <cell r="A262">
            <v>42887</v>
          </cell>
          <cell r="B262">
            <v>3.5645</v>
          </cell>
          <cell r="C262">
            <v>0</v>
          </cell>
          <cell r="D262">
            <v>3.5645</v>
          </cell>
        </row>
        <row r="262">
          <cell r="P262">
            <v>42887</v>
          </cell>
          <cell r="Q262">
            <v>-0.55</v>
          </cell>
          <cell r="R262">
            <v>3.0145</v>
          </cell>
          <cell r="S262">
            <v>3.80256980645477</v>
          </cell>
          <cell r="T262">
            <v>3.0145</v>
          </cell>
          <cell r="U262">
            <v>3.80256980645477</v>
          </cell>
          <cell r="V262">
            <v>0</v>
          </cell>
        </row>
        <row r="262">
          <cell r="X262">
            <v>42887</v>
          </cell>
          <cell r="Y262">
            <v>24.4427768788177</v>
          </cell>
          <cell r="Z262">
            <v>0</v>
          </cell>
          <cell r="AA262">
            <v>24.4427768788177</v>
          </cell>
        </row>
        <row r="263">
          <cell r="A263">
            <v>42917</v>
          </cell>
          <cell r="B263">
            <v>3.5755</v>
          </cell>
          <cell r="C263">
            <v>0</v>
          </cell>
          <cell r="D263">
            <v>3.5755</v>
          </cell>
        </row>
        <row r="263">
          <cell r="P263">
            <v>42917</v>
          </cell>
          <cell r="Q263">
            <v>-0.55</v>
          </cell>
          <cell r="R263">
            <v>3.0255</v>
          </cell>
          <cell r="S263">
            <v>3.8151086958357</v>
          </cell>
          <cell r="T263">
            <v>3.0255</v>
          </cell>
          <cell r="U263">
            <v>3.8151086958357</v>
          </cell>
          <cell r="V263">
            <v>0</v>
          </cell>
        </row>
        <row r="263">
          <cell r="X263">
            <v>42917</v>
          </cell>
          <cell r="Y263">
            <v>24.7313639393712</v>
          </cell>
          <cell r="Z263">
            <v>0</v>
          </cell>
          <cell r="AA263">
            <v>24.7313639393712</v>
          </cell>
        </row>
        <row r="264">
          <cell r="A264">
            <v>42948</v>
          </cell>
          <cell r="B264">
            <v>3.5845</v>
          </cell>
          <cell r="C264">
            <v>0</v>
          </cell>
          <cell r="D264">
            <v>3.5845</v>
          </cell>
        </row>
        <row r="264">
          <cell r="P264">
            <v>42948</v>
          </cell>
          <cell r="Q264">
            <v>-0.55</v>
          </cell>
          <cell r="R264">
            <v>3.0345</v>
          </cell>
          <cell r="S264">
            <v>3.82508452070633</v>
          </cell>
          <cell r="T264">
            <v>3.0345</v>
          </cell>
          <cell r="U264">
            <v>3.82508452070633</v>
          </cell>
          <cell r="V264">
            <v>0</v>
          </cell>
        </row>
        <row r="264">
          <cell r="X264">
            <v>42948</v>
          </cell>
          <cell r="Y264">
            <v>24.5944467171909</v>
          </cell>
          <cell r="Z264">
            <v>0</v>
          </cell>
          <cell r="AA264">
            <v>24.5944467171909</v>
          </cell>
        </row>
        <row r="265">
          <cell r="A265">
            <v>42979</v>
          </cell>
          <cell r="B265">
            <v>3.5775</v>
          </cell>
          <cell r="C265">
            <v>0</v>
          </cell>
          <cell r="D265">
            <v>3.5775</v>
          </cell>
        </row>
        <row r="265">
          <cell r="P265">
            <v>42979</v>
          </cell>
          <cell r="Q265">
            <v>-0.55</v>
          </cell>
          <cell r="R265">
            <v>3.0275</v>
          </cell>
          <cell r="S265">
            <v>3.81490352329202</v>
          </cell>
          <cell r="T265">
            <v>3.0275</v>
          </cell>
          <cell r="U265">
            <v>3.81490352329202</v>
          </cell>
          <cell r="V265">
            <v>0</v>
          </cell>
        </row>
        <row r="265">
          <cell r="X265">
            <v>42979</v>
          </cell>
          <cell r="Y265">
            <v>24.8543757116449</v>
          </cell>
          <cell r="Z265">
            <v>0</v>
          </cell>
          <cell r="AA265">
            <v>24.8543757116449</v>
          </cell>
        </row>
        <row r="266">
          <cell r="A266">
            <v>43009</v>
          </cell>
          <cell r="B266">
            <v>3.5905</v>
          </cell>
          <cell r="C266">
            <v>0</v>
          </cell>
          <cell r="D266">
            <v>3.5905</v>
          </cell>
        </row>
        <row r="266">
          <cell r="P266">
            <v>43009</v>
          </cell>
          <cell r="Q266">
            <v>-0.55</v>
          </cell>
          <cell r="R266">
            <v>3.0405</v>
          </cell>
          <cell r="S266">
            <v>3.82997751346037</v>
          </cell>
          <cell r="T266">
            <v>3.0405</v>
          </cell>
          <cell r="U266">
            <v>3.82997751346037</v>
          </cell>
          <cell r="V266">
            <v>0</v>
          </cell>
        </row>
        <row r="266">
          <cell r="X266">
            <v>43009</v>
          </cell>
          <cell r="Y266">
            <v>24.7275032987349</v>
          </cell>
          <cell r="Z266">
            <v>0</v>
          </cell>
          <cell r="AA266">
            <v>24.7275032987349</v>
          </cell>
        </row>
        <row r="267">
          <cell r="A267">
            <v>43040</v>
          </cell>
          <cell r="B267">
            <v>3.6565</v>
          </cell>
          <cell r="C267">
            <v>0</v>
          </cell>
          <cell r="D267">
            <v>3.6565</v>
          </cell>
        </row>
        <row r="267">
          <cell r="P267">
            <v>43040</v>
          </cell>
          <cell r="Q267">
            <v>-0.55</v>
          </cell>
          <cell r="R267">
            <v>3.1065</v>
          </cell>
          <cell r="S267">
            <v>3.91174736944124</v>
          </cell>
          <cell r="T267">
            <v>3.1065</v>
          </cell>
          <cell r="U267">
            <v>3.91174736944124</v>
          </cell>
          <cell r="V267">
            <v>0</v>
          </cell>
        </row>
        <row r="267">
          <cell r="X267">
            <v>43040</v>
          </cell>
          <cell r="Y267">
            <v>24.9227333647866</v>
          </cell>
          <cell r="Z267">
            <v>0</v>
          </cell>
          <cell r="AA267">
            <v>24.9227333647866</v>
          </cell>
        </row>
        <row r="268">
          <cell r="A268">
            <v>43070</v>
          </cell>
          <cell r="B268">
            <v>3.7405</v>
          </cell>
          <cell r="C268">
            <v>0</v>
          </cell>
          <cell r="D268">
            <v>3.7405</v>
          </cell>
        </row>
        <row r="268">
          <cell r="P268">
            <v>43070</v>
          </cell>
          <cell r="Q268">
            <v>-0.55</v>
          </cell>
          <cell r="R268">
            <v>3.1905</v>
          </cell>
          <cell r="S268">
            <v>4.0161749495458</v>
          </cell>
          <cell r="T268">
            <v>3.1905</v>
          </cell>
          <cell r="U268">
            <v>4.0161749495458</v>
          </cell>
          <cell r="V268">
            <v>0</v>
          </cell>
        </row>
        <row r="268">
          <cell r="X268">
            <v>43070</v>
          </cell>
          <cell r="Y268">
            <v>24.9778721960113</v>
          </cell>
          <cell r="Z268">
            <v>0</v>
          </cell>
          <cell r="AA268">
            <v>24.9778721960113</v>
          </cell>
        </row>
        <row r="269">
          <cell r="A269">
            <v>43101</v>
          </cell>
          <cell r="B269">
            <v>3.775</v>
          </cell>
          <cell r="C269">
            <v>0</v>
          </cell>
          <cell r="D269">
            <v>3.775</v>
          </cell>
        </row>
        <row r="269">
          <cell r="P269">
            <v>43101</v>
          </cell>
          <cell r="Q269">
            <v>-0.55</v>
          </cell>
          <cell r="R269">
            <v>3.225</v>
          </cell>
          <cell r="S269">
            <v>4.05821011651125</v>
          </cell>
          <cell r="T269">
            <v>3.225</v>
          </cell>
          <cell r="U269">
            <v>4.05821011651125</v>
          </cell>
          <cell r="V269">
            <v>0</v>
          </cell>
        </row>
        <row r="269">
          <cell r="X269">
            <v>43101</v>
          </cell>
          <cell r="Y269">
            <v>25.0277565033241</v>
          </cell>
          <cell r="Z269">
            <v>0</v>
          </cell>
          <cell r="AA269">
            <v>25.0277565033241</v>
          </cell>
        </row>
        <row r="270">
          <cell r="A270">
            <v>43132</v>
          </cell>
          <cell r="B270">
            <v>3.722</v>
          </cell>
          <cell r="C270">
            <v>0</v>
          </cell>
          <cell r="D270">
            <v>3.722</v>
          </cell>
        </row>
        <row r="270">
          <cell r="P270">
            <v>43132</v>
          </cell>
          <cell r="Q270">
            <v>-0.55</v>
          </cell>
          <cell r="R270">
            <v>3.172</v>
          </cell>
          <cell r="S270">
            <v>3.99015992898713</v>
          </cell>
          <cell r="T270">
            <v>3.172</v>
          </cell>
          <cell r="U270">
            <v>3.99015992898713</v>
          </cell>
          <cell r="V270">
            <v>0</v>
          </cell>
        </row>
        <row r="270">
          <cell r="X270">
            <v>43132</v>
          </cell>
          <cell r="Y270">
            <v>25.0760434966761</v>
          </cell>
          <cell r="Z270">
            <v>0</v>
          </cell>
          <cell r="AA270">
            <v>25.0760434966761</v>
          </cell>
        </row>
        <row r="271">
          <cell r="A271">
            <v>43160</v>
          </cell>
          <cell r="B271">
            <v>3.652</v>
          </cell>
          <cell r="C271">
            <v>0</v>
          </cell>
          <cell r="D271">
            <v>3.652</v>
          </cell>
        </row>
        <row r="271">
          <cell r="P271">
            <v>43160</v>
          </cell>
          <cell r="Q271">
            <v>-0.55</v>
          </cell>
          <cell r="R271">
            <v>3.102</v>
          </cell>
          <cell r="S271">
            <v>3.90091698603248</v>
          </cell>
          <cell r="T271">
            <v>3.102</v>
          </cell>
          <cell r="U271">
            <v>3.90091698603248</v>
          </cell>
          <cell r="V271">
            <v>0</v>
          </cell>
        </row>
        <row r="271">
          <cell r="X271">
            <v>43160</v>
          </cell>
          <cell r="Y271">
            <v>25.1668160407629</v>
          </cell>
          <cell r="Z271">
            <v>0</v>
          </cell>
          <cell r="AA271">
            <v>25.1668160407629</v>
          </cell>
        </row>
        <row r="272">
          <cell r="A272">
            <v>43191</v>
          </cell>
          <cell r="B272">
            <v>3.597</v>
          </cell>
          <cell r="C272">
            <v>0</v>
          </cell>
          <cell r="D272">
            <v>3.597</v>
          </cell>
        </row>
        <row r="272">
          <cell r="P272">
            <v>43191</v>
          </cell>
          <cell r="Q272">
            <v>-0.55</v>
          </cell>
          <cell r="R272">
            <v>3.047</v>
          </cell>
          <cell r="S272">
            <v>3.83047211921106</v>
          </cell>
          <cell r="T272">
            <v>3.047</v>
          </cell>
          <cell r="U272">
            <v>3.83047211921106</v>
          </cell>
          <cell r="V272">
            <v>0</v>
          </cell>
        </row>
        <row r="272">
          <cell r="X272">
            <v>43191</v>
          </cell>
          <cell r="Y272">
            <v>25.1861839592373</v>
          </cell>
          <cell r="Z272">
            <v>0</v>
          </cell>
          <cell r="AA272">
            <v>25.1861839592373</v>
          </cell>
        </row>
        <row r="273">
          <cell r="A273">
            <v>43221</v>
          </cell>
          <cell r="B273">
            <v>3.612</v>
          </cell>
          <cell r="C273">
            <v>0</v>
          </cell>
          <cell r="D273">
            <v>3.612</v>
          </cell>
        </row>
        <row r="273">
          <cell r="P273">
            <v>43221</v>
          </cell>
          <cell r="Q273">
            <v>-0.55</v>
          </cell>
          <cell r="R273">
            <v>3.062</v>
          </cell>
          <cell r="S273">
            <v>3.84809659890906</v>
          </cell>
          <cell r="T273">
            <v>3.062</v>
          </cell>
          <cell r="U273">
            <v>3.84809659890906</v>
          </cell>
          <cell r="V273">
            <v>0</v>
          </cell>
        </row>
        <row r="273">
          <cell r="X273">
            <v>43221</v>
          </cell>
          <cell r="Y273">
            <v>25.2659300339691</v>
          </cell>
          <cell r="Z273">
            <v>0</v>
          </cell>
          <cell r="AA273">
            <v>25.2659300339691</v>
          </cell>
        </row>
        <row r="274">
          <cell r="A274">
            <v>43252</v>
          </cell>
          <cell r="B274">
            <v>3.636</v>
          </cell>
          <cell r="C274">
            <v>0</v>
          </cell>
          <cell r="D274">
            <v>3.636</v>
          </cell>
        </row>
        <row r="274">
          <cell r="P274">
            <v>43252</v>
          </cell>
          <cell r="Q274">
            <v>-0.55</v>
          </cell>
          <cell r="R274">
            <v>3.086</v>
          </cell>
          <cell r="S274">
            <v>3.87698703552306</v>
          </cell>
          <cell r="T274">
            <v>3.086</v>
          </cell>
          <cell r="U274">
            <v>3.87698703552306</v>
          </cell>
          <cell r="V274">
            <v>0</v>
          </cell>
        </row>
        <row r="274">
          <cell r="X274">
            <v>43252</v>
          </cell>
          <cell r="Y274">
            <v>25.0499272418465</v>
          </cell>
          <cell r="Z274">
            <v>0</v>
          </cell>
          <cell r="AA274">
            <v>25.0499272418465</v>
          </cell>
        </row>
        <row r="275">
          <cell r="A275">
            <v>43282</v>
          </cell>
          <cell r="B275">
            <v>3.647</v>
          </cell>
          <cell r="C275">
            <v>0</v>
          </cell>
          <cell r="D275">
            <v>3.647</v>
          </cell>
        </row>
        <row r="275">
          <cell r="P275">
            <v>43282</v>
          </cell>
          <cell r="Q275">
            <v>-0.55</v>
          </cell>
          <cell r="R275">
            <v>3.097</v>
          </cell>
          <cell r="S275">
            <v>3.88958426004069</v>
          </cell>
          <cell r="T275">
            <v>3.097</v>
          </cell>
          <cell r="U275">
            <v>3.88958426004069</v>
          </cell>
          <cell r="V275">
            <v>0</v>
          </cell>
        </row>
        <row r="275">
          <cell r="X275">
            <v>43282</v>
          </cell>
          <cell r="Y275">
            <v>25.3297098139644</v>
          </cell>
          <cell r="Z275">
            <v>0</v>
          </cell>
          <cell r="AA275">
            <v>25.3297098139644</v>
          </cell>
        </row>
        <row r="276">
          <cell r="A276">
            <v>43313</v>
          </cell>
          <cell r="B276">
            <v>3.656</v>
          </cell>
          <cell r="C276">
            <v>0</v>
          </cell>
          <cell r="D276">
            <v>3.656</v>
          </cell>
        </row>
        <row r="276">
          <cell r="P276">
            <v>43313</v>
          </cell>
          <cell r="Q276">
            <v>-0.55</v>
          </cell>
          <cell r="R276">
            <v>3.106</v>
          </cell>
          <cell r="S276">
            <v>3.89963346875106</v>
          </cell>
          <cell r="T276">
            <v>3.106</v>
          </cell>
          <cell r="U276">
            <v>3.89963346875106</v>
          </cell>
          <cell r="V276">
            <v>0</v>
          </cell>
        </row>
        <row r="276">
          <cell r="X276">
            <v>43313</v>
          </cell>
          <cell r="Y276">
            <v>25.1874001691235</v>
          </cell>
          <cell r="Z276">
            <v>0</v>
          </cell>
          <cell r="AA276">
            <v>25.1874001691235</v>
          </cell>
        </row>
        <row r="277">
          <cell r="A277">
            <v>43344</v>
          </cell>
          <cell r="B277">
            <v>3.648</v>
          </cell>
          <cell r="C277">
            <v>0</v>
          </cell>
          <cell r="D277">
            <v>3.648</v>
          </cell>
        </row>
        <row r="277">
          <cell r="P277">
            <v>43344</v>
          </cell>
          <cell r="Q277">
            <v>-0.55</v>
          </cell>
          <cell r="R277">
            <v>3.098</v>
          </cell>
          <cell r="S277">
            <v>3.88835123560452</v>
          </cell>
          <cell r="T277">
            <v>3.098</v>
          </cell>
          <cell r="U277">
            <v>3.88835123560452</v>
          </cell>
          <cell r="V277">
            <v>0</v>
          </cell>
        </row>
        <row r="277">
          <cell r="X277">
            <v>43344</v>
          </cell>
          <cell r="Y277">
            <v>25.4484054146195</v>
          </cell>
          <cell r="Z277">
            <v>0</v>
          </cell>
          <cell r="AA277">
            <v>25.4484054146195</v>
          </cell>
        </row>
        <row r="278">
          <cell r="A278">
            <v>43374</v>
          </cell>
          <cell r="B278">
            <v>3.66</v>
          </cell>
          <cell r="C278">
            <v>0</v>
          </cell>
          <cell r="D278">
            <v>3.66</v>
          </cell>
        </row>
        <row r="278">
          <cell r="P278">
            <v>43374</v>
          </cell>
          <cell r="Q278">
            <v>-0.55</v>
          </cell>
          <cell r="R278">
            <v>3.11</v>
          </cell>
          <cell r="S278">
            <v>3.90222199346938</v>
          </cell>
          <cell r="T278">
            <v>3.11</v>
          </cell>
          <cell r="U278">
            <v>3.90222199346938</v>
          </cell>
          <cell r="V278">
            <v>0</v>
          </cell>
        </row>
        <row r="278">
          <cell r="X278">
            <v>43374</v>
          </cell>
          <cell r="Y278">
            <v>25.3320958349082</v>
          </cell>
          <cell r="Z278">
            <v>0</v>
          </cell>
          <cell r="AA278">
            <v>25.3320958349082</v>
          </cell>
        </row>
        <row r="279">
          <cell r="A279">
            <v>43405</v>
          </cell>
          <cell r="B279">
            <v>3.721</v>
          </cell>
          <cell r="C279">
            <v>0</v>
          </cell>
          <cell r="D279">
            <v>3.721</v>
          </cell>
        </row>
        <row r="279">
          <cell r="P279">
            <v>43405</v>
          </cell>
          <cell r="Q279">
            <v>-0.55</v>
          </cell>
          <cell r="R279">
            <v>3.171</v>
          </cell>
          <cell r="S279">
            <v>3.97751909575656</v>
          </cell>
          <cell r="T279">
            <v>3.171</v>
          </cell>
          <cell r="U279">
            <v>3.97751909575656</v>
          </cell>
          <cell r="V279">
            <v>0</v>
          </cell>
        </row>
        <row r="279">
          <cell r="X279">
            <v>43405</v>
          </cell>
          <cell r="Y279">
            <v>25.524104165092</v>
          </cell>
          <cell r="Z279">
            <v>0</v>
          </cell>
          <cell r="AA279">
            <v>25.524104165092</v>
          </cell>
        </row>
        <row r="280">
          <cell r="A280">
            <v>43435</v>
          </cell>
          <cell r="B280">
            <v>3.802</v>
          </cell>
          <cell r="C280">
            <v>0</v>
          </cell>
          <cell r="D280">
            <v>3.802</v>
          </cell>
        </row>
        <row r="280">
          <cell r="P280">
            <v>43435</v>
          </cell>
          <cell r="Q280">
            <v>-0.55</v>
          </cell>
          <cell r="R280">
            <v>3.252</v>
          </cell>
          <cell r="S280">
            <v>4.07790121225813</v>
          </cell>
          <cell r="T280">
            <v>3.252</v>
          </cell>
          <cell r="U280">
            <v>4.07790121225813</v>
          </cell>
          <cell r="V280">
            <v>0</v>
          </cell>
        </row>
        <row r="280">
          <cell r="X280">
            <v>43435</v>
          </cell>
          <cell r="Y280">
            <v>25.5775121806987</v>
          </cell>
          <cell r="Z280">
            <v>0</v>
          </cell>
          <cell r="AA280">
            <v>25.5775121806987</v>
          </cell>
        </row>
        <row r="281">
          <cell r="A281">
            <v>43466</v>
          </cell>
          <cell r="B281">
            <v>3.8345</v>
          </cell>
          <cell r="C281">
            <v>0</v>
          </cell>
          <cell r="D281">
            <v>3.8345</v>
          </cell>
        </row>
        <row r="281">
          <cell r="P281">
            <v>43466</v>
          </cell>
          <cell r="Q281">
            <v>-0.55</v>
          </cell>
          <cell r="R281">
            <v>3.2845</v>
          </cell>
          <cell r="S281">
            <v>4.11739553420963</v>
          </cell>
          <cell r="T281">
            <v>3.2845</v>
          </cell>
          <cell r="U281">
            <v>4.11739553420963</v>
          </cell>
          <cell r="V281">
            <v>0</v>
          </cell>
        </row>
        <row r="281">
          <cell r="X281">
            <v>43466</v>
          </cell>
          <cell r="Y281">
            <v>25.6280565160846</v>
          </cell>
          <cell r="Z281">
            <v>0</v>
          </cell>
          <cell r="AA281">
            <v>25.6280565160846</v>
          </cell>
        </row>
        <row r="282">
          <cell r="A282">
            <v>43497</v>
          </cell>
          <cell r="B282">
            <v>3.7855</v>
          </cell>
          <cell r="C282">
            <v>0</v>
          </cell>
          <cell r="D282">
            <v>3.7855</v>
          </cell>
        </row>
        <row r="282">
          <cell r="P282">
            <v>43497</v>
          </cell>
          <cell r="Q282">
            <v>-0.55</v>
          </cell>
          <cell r="R282">
            <v>3.2355</v>
          </cell>
          <cell r="S282">
            <v>4.05474235848813</v>
          </cell>
          <cell r="T282">
            <v>3.2355</v>
          </cell>
          <cell r="U282">
            <v>4.05474235848813</v>
          </cell>
          <cell r="V282">
            <v>0</v>
          </cell>
        </row>
        <row r="282">
          <cell r="X282">
            <v>43497</v>
          </cell>
          <cell r="Y282">
            <v>25.6757434839156</v>
          </cell>
          <cell r="Z282">
            <v>0</v>
          </cell>
          <cell r="AA282">
            <v>25.6757434839156</v>
          </cell>
        </row>
        <row r="283">
          <cell r="A283">
            <v>43525</v>
          </cell>
          <cell r="B283">
            <v>3.7185</v>
          </cell>
          <cell r="C283">
            <v>0</v>
          </cell>
          <cell r="D283">
            <v>3.7185</v>
          </cell>
        </row>
        <row r="283">
          <cell r="P283">
            <v>43525</v>
          </cell>
          <cell r="Q283">
            <v>-0.55</v>
          </cell>
          <cell r="R283">
            <v>3.1685</v>
          </cell>
          <cell r="S283">
            <v>3.96970299246318</v>
          </cell>
          <cell r="T283">
            <v>3.1685</v>
          </cell>
          <cell r="U283">
            <v>3.96970299246318</v>
          </cell>
          <cell r="V283">
            <v>0</v>
          </cell>
        </row>
        <row r="283">
          <cell r="X283">
            <v>43525</v>
          </cell>
          <cell r="Y283">
            <v>25.7708698957509</v>
          </cell>
          <cell r="Z283">
            <v>0</v>
          </cell>
          <cell r="AA283">
            <v>25.7708698957509</v>
          </cell>
        </row>
        <row r="284">
          <cell r="A284">
            <v>43556</v>
          </cell>
          <cell r="B284">
            <v>3.6665</v>
          </cell>
          <cell r="C284">
            <v>0</v>
          </cell>
          <cell r="D284">
            <v>3.6665</v>
          </cell>
        </row>
        <row r="284">
          <cell r="P284">
            <v>43556</v>
          </cell>
          <cell r="Q284">
            <v>-0.55</v>
          </cell>
          <cell r="R284">
            <v>3.1165</v>
          </cell>
          <cell r="S284">
            <v>3.90339582753499</v>
          </cell>
          <cell r="T284">
            <v>3.1165</v>
          </cell>
          <cell r="U284">
            <v>3.90339582753499</v>
          </cell>
          <cell r="V284">
            <v>0</v>
          </cell>
        </row>
        <row r="284">
          <cell r="X284">
            <v>43556</v>
          </cell>
          <cell r="Y284">
            <v>25.7821301042493</v>
          </cell>
          <cell r="Z284">
            <v>0</v>
          </cell>
          <cell r="AA284">
            <v>25.7821301042493</v>
          </cell>
        </row>
        <row r="285">
          <cell r="A285">
            <v>43586</v>
          </cell>
          <cell r="B285">
            <v>3.6825</v>
          </cell>
          <cell r="C285">
            <v>0</v>
          </cell>
          <cell r="D285">
            <v>3.6825</v>
          </cell>
        </row>
        <row r="285">
          <cell r="P285">
            <v>43586</v>
          </cell>
          <cell r="Q285">
            <v>-0.55</v>
          </cell>
          <cell r="R285">
            <v>3.1325</v>
          </cell>
          <cell r="S285">
            <v>3.92232132437189</v>
          </cell>
          <cell r="T285">
            <v>3.1325</v>
          </cell>
          <cell r="U285">
            <v>3.92232132437189</v>
          </cell>
          <cell r="V285">
            <v>0</v>
          </cell>
        </row>
        <row r="285">
          <cell r="X285">
            <v>43586</v>
          </cell>
          <cell r="Y285">
            <v>25.8700180870463</v>
          </cell>
          <cell r="Z285">
            <v>0</v>
          </cell>
          <cell r="AA285">
            <v>25.8700180870463</v>
          </cell>
        </row>
        <row r="286">
          <cell r="A286">
            <v>43617</v>
          </cell>
          <cell r="B286">
            <v>3.7075</v>
          </cell>
          <cell r="C286">
            <v>0</v>
          </cell>
          <cell r="D286">
            <v>3.7075</v>
          </cell>
        </row>
        <row r="286">
          <cell r="P286">
            <v>43617</v>
          </cell>
          <cell r="Q286">
            <v>-0.55</v>
          </cell>
          <cell r="R286">
            <v>3.1575</v>
          </cell>
          <cell r="S286">
            <v>3.95247670308694</v>
          </cell>
          <cell r="T286">
            <v>3.1575</v>
          </cell>
          <cell r="U286">
            <v>3.95247670308694</v>
          </cell>
          <cell r="V286">
            <v>0</v>
          </cell>
        </row>
        <row r="286">
          <cell r="X286">
            <v>43617</v>
          </cell>
          <cell r="Y286">
            <v>25.6580682607949</v>
          </cell>
          <cell r="Z286">
            <v>0</v>
          </cell>
          <cell r="AA286">
            <v>25.6580682607949</v>
          </cell>
        </row>
        <row r="287">
          <cell r="A287">
            <v>43647</v>
          </cell>
          <cell r="B287">
            <v>3.7185</v>
          </cell>
          <cell r="C287">
            <v>0</v>
          </cell>
          <cell r="D287">
            <v>3.7185</v>
          </cell>
        </row>
        <row r="287">
          <cell r="P287">
            <v>43647</v>
          </cell>
          <cell r="Q287">
            <v>-0.55</v>
          </cell>
          <cell r="R287">
            <v>3.1685</v>
          </cell>
          <cell r="S287">
            <v>3.96514361342001</v>
          </cell>
          <cell r="T287">
            <v>3.1685</v>
          </cell>
          <cell r="U287">
            <v>3.96514361342001</v>
          </cell>
          <cell r="V287">
            <v>0</v>
          </cell>
        </row>
        <row r="287">
          <cell r="X287">
            <v>43647</v>
          </cell>
          <cell r="Y287">
            <v>25.9234474916964</v>
          </cell>
          <cell r="Z287">
            <v>0</v>
          </cell>
          <cell r="AA287">
            <v>25.9234474916964</v>
          </cell>
        </row>
        <row r="288">
          <cell r="A288">
            <v>43678</v>
          </cell>
          <cell r="B288">
            <v>3.7275</v>
          </cell>
          <cell r="C288">
            <v>0</v>
          </cell>
          <cell r="D288">
            <v>3.7275</v>
          </cell>
        </row>
        <row r="288">
          <cell r="P288">
            <v>43678</v>
          </cell>
          <cell r="Q288">
            <v>-0.55</v>
          </cell>
          <cell r="R288">
            <v>3.1775</v>
          </cell>
          <cell r="S288">
            <v>3.97527658421106</v>
          </cell>
          <cell r="T288">
            <v>3.1775</v>
          </cell>
          <cell r="U288">
            <v>3.97527658421106</v>
          </cell>
          <cell r="V288">
            <v>0</v>
          </cell>
        </row>
        <row r="288">
          <cell r="X288">
            <v>43678</v>
          </cell>
          <cell r="Y288">
            <v>25.7835525083038</v>
          </cell>
          <cell r="Z288">
            <v>0</v>
          </cell>
          <cell r="AA288">
            <v>25.7835525083038</v>
          </cell>
        </row>
        <row r="289">
          <cell r="A289">
            <v>43709</v>
          </cell>
          <cell r="B289">
            <v>3.7185</v>
          </cell>
          <cell r="C289">
            <v>0</v>
          </cell>
          <cell r="D289">
            <v>3.7185</v>
          </cell>
        </row>
        <row r="289">
          <cell r="P289">
            <v>43709</v>
          </cell>
          <cell r="Q289">
            <v>-0.55</v>
          </cell>
          <cell r="R289">
            <v>3.1685</v>
          </cell>
          <cell r="S289">
            <v>3.96290317720604</v>
          </cell>
          <cell r="T289">
            <v>3.1685</v>
          </cell>
          <cell r="U289">
            <v>3.96290317720604</v>
          </cell>
          <cell r="V289">
            <v>0</v>
          </cell>
        </row>
        <row r="289">
          <cell r="X289">
            <v>43709</v>
          </cell>
          <cell r="Y289">
            <v>26.0449197488574</v>
          </cell>
          <cell r="Z289">
            <v>0</v>
          </cell>
          <cell r="AA289">
            <v>26.0449197488574</v>
          </cell>
        </row>
        <row r="290">
          <cell r="A290">
            <v>43739</v>
          </cell>
          <cell r="B290">
            <v>3.7295</v>
          </cell>
          <cell r="C290">
            <v>0</v>
          </cell>
          <cell r="D290">
            <v>3.7295</v>
          </cell>
        </row>
        <row r="290">
          <cell r="P290">
            <v>43739</v>
          </cell>
          <cell r="Q290">
            <v>-0.55</v>
          </cell>
          <cell r="R290">
            <v>3.1795</v>
          </cell>
          <cell r="S290">
            <v>3.9755918071518</v>
          </cell>
          <cell r="T290">
            <v>3.1795</v>
          </cell>
          <cell r="U290">
            <v>3.9755918071518</v>
          </cell>
          <cell r="V290">
            <v>0</v>
          </cell>
        </row>
        <row r="290">
          <cell r="X290">
            <v>43739</v>
          </cell>
          <cell r="Y290">
            <v>25.9282502092857</v>
          </cell>
          <cell r="Z290">
            <v>0</v>
          </cell>
          <cell r="AA290">
            <v>25.9282502092857</v>
          </cell>
        </row>
        <row r="291">
          <cell r="A291">
            <v>43770</v>
          </cell>
          <cell r="B291">
            <v>3.7855</v>
          </cell>
          <cell r="C291">
            <v>0</v>
          </cell>
          <cell r="D291">
            <v>3.7855</v>
          </cell>
        </row>
        <row r="291">
          <cell r="P291">
            <v>43770</v>
          </cell>
          <cell r="Q291">
            <v>-0.55</v>
          </cell>
          <cell r="R291">
            <v>3.2355</v>
          </cell>
          <cell r="S291">
            <v>4.04450178656508</v>
          </cell>
          <cell r="T291">
            <v>3.2355</v>
          </cell>
          <cell r="U291">
            <v>4.04450178656508</v>
          </cell>
          <cell r="V291">
            <v>0</v>
          </cell>
        </row>
        <row r="291">
          <cell r="X291">
            <v>43770</v>
          </cell>
          <cell r="Y291">
            <v>26.1175089006496</v>
          </cell>
          <cell r="Z291">
            <v>0</v>
          </cell>
          <cell r="AA291">
            <v>26.1175089006496</v>
          </cell>
        </row>
        <row r="292">
          <cell r="A292">
            <v>43800</v>
          </cell>
          <cell r="B292">
            <v>3.8635</v>
          </cell>
          <cell r="C292">
            <v>0</v>
          </cell>
          <cell r="D292">
            <v>3.8635</v>
          </cell>
        </row>
        <row r="292">
          <cell r="P292">
            <v>43800</v>
          </cell>
          <cell r="Q292">
            <v>-0.55</v>
          </cell>
          <cell r="R292">
            <v>3.3135</v>
          </cell>
          <cell r="S292">
            <v>4.14091611918085</v>
          </cell>
          <cell r="T292">
            <v>3.3135</v>
          </cell>
          <cell r="U292">
            <v>4.14091611918085</v>
          </cell>
          <cell r="V292">
            <v>0</v>
          </cell>
        </row>
        <row r="292">
          <cell r="X292">
            <v>43800</v>
          </cell>
          <cell r="Y292">
            <v>26.1864316148851</v>
          </cell>
          <cell r="Z292">
            <v>0</v>
          </cell>
          <cell r="AA292">
            <v>26.1864316148851</v>
          </cell>
        </row>
        <row r="293">
          <cell r="A293">
            <v>43831</v>
          </cell>
          <cell r="B293">
            <v>3.894</v>
          </cell>
          <cell r="C293">
            <v>0</v>
          </cell>
          <cell r="D293">
            <v>3.894</v>
          </cell>
        </row>
        <row r="293">
          <cell r="P293">
            <v>43831</v>
          </cell>
          <cell r="Q293">
            <v>-0.55</v>
          </cell>
          <cell r="R293">
            <v>3.344</v>
          </cell>
          <cell r="S293">
            <v>4.17791026551695</v>
          </cell>
          <cell r="T293">
            <v>3.344</v>
          </cell>
          <cell r="U293">
            <v>4.17791026551695</v>
          </cell>
          <cell r="V293">
            <v>0</v>
          </cell>
        </row>
        <row r="293">
          <cell r="X293">
            <v>43831</v>
          </cell>
          <cell r="Y293">
            <v>26.2191439864683</v>
          </cell>
          <cell r="Z293">
            <v>0</v>
          </cell>
          <cell r="AA293">
            <v>26.2191439864683</v>
          </cell>
        </row>
        <row r="294">
          <cell r="A294">
            <v>43862</v>
          </cell>
          <cell r="B294">
            <v>3.849</v>
          </cell>
          <cell r="C294">
            <v>0</v>
          </cell>
          <cell r="D294">
            <v>3.849</v>
          </cell>
        </row>
        <row r="294">
          <cell r="P294">
            <v>43862</v>
          </cell>
          <cell r="Q294">
            <v>-0.55</v>
          </cell>
          <cell r="R294">
            <v>3.299</v>
          </cell>
          <cell r="S294">
            <v>4.12059482706053</v>
          </cell>
          <cell r="T294">
            <v>3.299</v>
          </cell>
          <cell r="U294">
            <v>4.12059482706053</v>
          </cell>
          <cell r="V294">
            <v>0</v>
          </cell>
        </row>
        <row r="294">
          <cell r="X294">
            <v>43862</v>
          </cell>
          <cell r="Y294">
            <v>26.2803145577563</v>
          </cell>
          <cell r="Z294">
            <v>0</v>
          </cell>
          <cell r="AA294">
            <v>26.2803145577563</v>
          </cell>
        </row>
        <row r="295">
          <cell r="A295">
            <v>43891</v>
          </cell>
          <cell r="B295">
            <v>3.785</v>
          </cell>
          <cell r="C295">
            <v>0</v>
          </cell>
          <cell r="D295">
            <v>3.785</v>
          </cell>
        </row>
        <row r="295">
          <cell r="P295">
            <v>43891</v>
          </cell>
          <cell r="Q295">
            <v>-0.55</v>
          </cell>
          <cell r="R295">
            <v>3.235</v>
          </cell>
          <cell r="S295">
            <v>4.039664733951</v>
          </cell>
          <cell r="T295">
            <v>3.235</v>
          </cell>
          <cell r="U295">
            <v>4.039664733951</v>
          </cell>
          <cell r="V295">
            <v>0</v>
          </cell>
        </row>
        <row r="295">
          <cell r="X295">
            <v>43891</v>
          </cell>
          <cell r="Y295">
            <v>26.2803145577563</v>
          </cell>
          <cell r="Z295">
            <v>0</v>
          </cell>
          <cell r="AA295">
            <v>26.2803145577563</v>
          </cell>
        </row>
        <row r="296">
          <cell r="A296">
            <v>43922</v>
          </cell>
          <cell r="B296">
            <v>3.736</v>
          </cell>
          <cell r="C296">
            <v>0</v>
          </cell>
          <cell r="D296">
            <v>3.736</v>
          </cell>
        </row>
        <row r="296">
          <cell r="P296">
            <v>43922</v>
          </cell>
          <cell r="Q296">
            <v>-0.55</v>
          </cell>
          <cell r="R296">
            <v>3.186</v>
          </cell>
          <cell r="S296">
            <v>3.97736474845734</v>
          </cell>
          <cell r="T296">
            <v>3.186</v>
          </cell>
          <cell r="U296">
            <v>3.97736474845734</v>
          </cell>
          <cell r="V296">
            <v>0</v>
          </cell>
        </row>
        <row r="296">
          <cell r="X296">
            <v>43922</v>
          </cell>
          <cell r="Y296">
            <v>26.2803145577563</v>
          </cell>
          <cell r="Z296">
            <v>0</v>
          </cell>
          <cell r="AA296">
            <v>26.2803145577563</v>
          </cell>
        </row>
        <row r="297">
          <cell r="A297">
            <v>43952</v>
          </cell>
          <cell r="B297">
            <v>3.753</v>
          </cell>
          <cell r="C297">
            <v>0</v>
          </cell>
          <cell r="D297">
            <v>3.753</v>
          </cell>
        </row>
        <row r="297">
          <cell r="P297">
            <v>43952</v>
          </cell>
          <cell r="Q297">
            <v>-0.55</v>
          </cell>
          <cell r="R297">
            <v>3.203</v>
          </cell>
          <cell r="S297">
            <v>3.99509232471478</v>
          </cell>
          <cell r="T297">
            <v>3.203</v>
          </cell>
          <cell r="U297">
            <v>3.99509232471478</v>
          </cell>
          <cell r="V297">
            <v>0</v>
          </cell>
        </row>
        <row r="297">
          <cell r="X297">
            <v>43952</v>
          </cell>
          <cell r="Y297">
            <v>26.2803145577563</v>
          </cell>
          <cell r="Z297">
            <v>0</v>
          </cell>
          <cell r="AA297">
            <v>26.2803145577563</v>
          </cell>
        </row>
        <row r="298">
          <cell r="A298">
            <v>43983</v>
          </cell>
          <cell r="B298">
            <v>3.779</v>
          </cell>
          <cell r="C298">
            <v>0</v>
          </cell>
          <cell r="D298">
            <v>3.779</v>
          </cell>
        </row>
        <row r="298">
          <cell r="P298">
            <v>43983</v>
          </cell>
          <cell r="Q298">
            <v>-0.55</v>
          </cell>
          <cell r="R298">
            <v>3.229</v>
          </cell>
          <cell r="S298">
            <v>4.02386265520264</v>
          </cell>
          <cell r="T298">
            <v>3.229</v>
          </cell>
          <cell r="U298">
            <v>4.02386265520264</v>
          </cell>
          <cell r="V298">
            <v>0</v>
          </cell>
        </row>
        <row r="298">
          <cell r="X298">
            <v>43983</v>
          </cell>
          <cell r="Y298">
            <v>26.2803145577563</v>
          </cell>
          <cell r="Z298">
            <v>0</v>
          </cell>
          <cell r="AA298">
            <v>26.2803145577563</v>
          </cell>
        </row>
        <row r="299">
          <cell r="A299">
            <v>44013</v>
          </cell>
          <cell r="B299">
            <v>3.79</v>
          </cell>
          <cell r="C299">
            <v>0</v>
          </cell>
          <cell r="D299">
            <v>3.79</v>
          </cell>
        </row>
        <row r="299">
          <cell r="P299">
            <v>44013</v>
          </cell>
          <cell r="Q299">
            <v>-0.55</v>
          </cell>
          <cell r="R299">
            <v>3.24</v>
          </cell>
          <cell r="S299">
            <v>4.03401128321232</v>
          </cell>
          <cell r="T299">
            <v>3.24</v>
          </cell>
          <cell r="U299">
            <v>4.03401128321232</v>
          </cell>
          <cell r="V299">
            <v>0</v>
          </cell>
        </row>
        <row r="299">
          <cell r="X299">
            <v>44013</v>
          </cell>
          <cell r="Y299">
            <v>26.2803145577563</v>
          </cell>
          <cell r="Z299">
            <v>0</v>
          </cell>
          <cell r="AA299">
            <v>26.2803145577563</v>
          </cell>
        </row>
        <row r="300">
          <cell r="A300">
            <v>44044</v>
          </cell>
          <cell r="B300">
            <v>3.799</v>
          </cell>
          <cell r="C300">
            <v>0</v>
          </cell>
          <cell r="D300">
            <v>3.799</v>
          </cell>
        </row>
        <row r="300">
          <cell r="P300">
            <v>44044</v>
          </cell>
          <cell r="Q300">
            <v>-0.55</v>
          </cell>
          <cell r="R300">
            <v>3.249</v>
          </cell>
          <cell r="S300">
            <v>4.04152289329522</v>
          </cell>
          <cell r="T300">
            <v>3.249</v>
          </cell>
          <cell r="U300">
            <v>4.04152289329522</v>
          </cell>
          <cell r="V300">
            <v>0</v>
          </cell>
        </row>
        <row r="300">
          <cell r="X300">
            <v>44044</v>
          </cell>
          <cell r="Y300">
            <v>26.2803145577563</v>
          </cell>
          <cell r="Z300">
            <v>0</v>
          </cell>
          <cell r="AA300">
            <v>26.2803145577563</v>
          </cell>
        </row>
        <row r="301">
          <cell r="A301">
            <v>44075</v>
          </cell>
          <cell r="B301">
            <v>3.789</v>
          </cell>
          <cell r="C301">
            <v>0</v>
          </cell>
          <cell r="D301">
            <v>3.789</v>
          </cell>
        </row>
        <row r="301">
          <cell r="P301">
            <v>44075</v>
          </cell>
          <cell r="Q301">
            <v>-0.55</v>
          </cell>
          <cell r="R301">
            <v>3.239</v>
          </cell>
          <cell r="S301">
            <v>4.02539499822001</v>
          </cell>
          <cell r="T301">
            <v>3.239</v>
          </cell>
          <cell r="U301">
            <v>4.02539499822001</v>
          </cell>
          <cell r="V301">
            <v>0</v>
          </cell>
        </row>
        <row r="301">
          <cell r="X301">
            <v>44075</v>
          </cell>
          <cell r="Y301">
            <v>26.2803145577563</v>
          </cell>
          <cell r="Z301">
            <v>0</v>
          </cell>
          <cell r="AA301">
            <v>26.2803145577563</v>
          </cell>
        </row>
        <row r="302">
          <cell r="A302">
            <v>44105</v>
          </cell>
          <cell r="B302">
            <v>3.799</v>
          </cell>
          <cell r="C302">
            <v>0</v>
          </cell>
          <cell r="D302">
            <v>3.799</v>
          </cell>
        </row>
        <row r="302">
          <cell r="P302">
            <v>44105</v>
          </cell>
          <cell r="Q302">
            <v>-0.55</v>
          </cell>
          <cell r="R302">
            <v>3.249</v>
          </cell>
          <cell r="S302">
            <v>4.03423653257491</v>
          </cell>
          <cell r="T302">
            <v>3.249</v>
          </cell>
          <cell r="U302">
            <v>4.03423653257491</v>
          </cell>
          <cell r="V302">
            <v>0</v>
          </cell>
        </row>
        <row r="302">
          <cell r="X302">
            <v>44105</v>
          </cell>
          <cell r="Y302">
            <v>26.2803145577563</v>
          </cell>
          <cell r="Z302">
            <v>0</v>
          </cell>
          <cell r="AA302">
            <v>26.2803145577563</v>
          </cell>
        </row>
        <row r="303">
          <cell r="A303">
            <v>44136</v>
          </cell>
          <cell r="B303">
            <v>3.85</v>
          </cell>
          <cell r="C303">
            <v>0</v>
          </cell>
          <cell r="D303">
            <v>3.85</v>
          </cell>
        </row>
        <row r="303">
          <cell r="P303">
            <v>44136</v>
          </cell>
          <cell r="Q303">
            <v>-0.55</v>
          </cell>
          <cell r="R303">
            <v>3.3</v>
          </cell>
          <cell r="S303">
            <v>4.0937924459058</v>
          </cell>
          <cell r="T303">
            <v>3.3</v>
          </cell>
          <cell r="U303">
            <v>4.0937924459058</v>
          </cell>
          <cell r="V303">
            <v>0</v>
          </cell>
        </row>
        <row r="303">
          <cell r="X303">
            <v>44136</v>
          </cell>
          <cell r="Y303">
            <v>26.2803145577563</v>
          </cell>
          <cell r="Z303">
            <v>0</v>
          </cell>
          <cell r="AA303">
            <v>26.2803145577563</v>
          </cell>
        </row>
        <row r="304">
          <cell r="A304">
            <v>44166</v>
          </cell>
          <cell r="B304">
            <v>3.925</v>
          </cell>
          <cell r="C304">
            <v>0</v>
          </cell>
          <cell r="D304">
            <v>3.925</v>
          </cell>
        </row>
        <row r="304">
          <cell r="P304">
            <v>44166</v>
          </cell>
          <cell r="Q304">
            <v>-0.55</v>
          </cell>
          <cell r="R304">
            <v>3.375</v>
          </cell>
          <cell r="S304">
            <v>4.1830959344715</v>
          </cell>
          <cell r="T304">
            <v>3.375</v>
          </cell>
          <cell r="U304">
            <v>4.1830959344715</v>
          </cell>
          <cell r="V304">
            <v>0</v>
          </cell>
        </row>
        <row r="304">
          <cell r="X304">
            <v>44166</v>
          </cell>
          <cell r="Y304">
            <v>26.2803145577563</v>
          </cell>
          <cell r="Z304">
            <v>0</v>
          </cell>
          <cell r="AA304">
            <v>26.2803145577563</v>
          </cell>
        </row>
        <row r="305">
          <cell r="A305">
            <v>44197</v>
          </cell>
          <cell r="B305">
            <v>3.9535</v>
          </cell>
          <cell r="C305">
            <v>0</v>
          </cell>
          <cell r="D305">
            <v>3.9535</v>
          </cell>
        </row>
        <row r="305">
          <cell r="P305">
            <v>44197</v>
          </cell>
          <cell r="Q305">
            <v>-0.55</v>
          </cell>
          <cell r="R305">
            <v>3.4035</v>
          </cell>
          <cell r="S305">
            <v>4.21451930437983</v>
          </cell>
          <cell r="T305">
            <v>3.4035</v>
          </cell>
          <cell r="U305">
            <v>4.21451930437983</v>
          </cell>
          <cell r="V305">
            <v>0</v>
          </cell>
        </row>
        <row r="305">
          <cell r="X305">
            <v>44197</v>
          </cell>
          <cell r="Y305">
            <v>26.2803145577563</v>
          </cell>
          <cell r="Z305">
            <v>0</v>
          </cell>
          <cell r="AA305">
            <v>26.2803145577563</v>
          </cell>
        </row>
        <row r="306">
          <cell r="A306">
            <v>44228</v>
          </cell>
          <cell r="B306">
            <v>3.9125</v>
          </cell>
          <cell r="C306">
            <v>0</v>
          </cell>
          <cell r="D306">
            <v>3.9125</v>
          </cell>
        </row>
        <row r="306">
          <cell r="P306">
            <v>44228</v>
          </cell>
          <cell r="Q306">
            <v>-0.55</v>
          </cell>
          <cell r="R306">
            <v>3.3625</v>
          </cell>
          <cell r="S306">
            <v>4.15988974057659</v>
          </cell>
          <cell r="T306">
            <v>3.3625</v>
          </cell>
          <cell r="U306">
            <v>4.15988974057659</v>
          </cell>
          <cell r="V306">
            <v>0</v>
          </cell>
        </row>
        <row r="306">
          <cell r="X306">
            <v>44228</v>
          </cell>
          <cell r="Y306">
            <v>26.2803145577563</v>
          </cell>
          <cell r="Z306">
            <v>0</v>
          </cell>
          <cell r="AA306">
            <v>26.2803145577563</v>
          </cell>
        </row>
        <row r="307">
          <cell r="A307">
            <v>44256</v>
          </cell>
          <cell r="B307">
            <v>3.8515</v>
          </cell>
          <cell r="C307">
            <v>0</v>
          </cell>
          <cell r="D307">
            <v>3.8515</v>
          </cell>
        </row>
        <row r="307">
          <cell r="P307">
            <v>44256</v>
          </cell>
          <cell r="Q307">
            <v>-0.55</v>
          </cell>
          <cell r="R307">
            <v>3.3015</v>
          </cell>
          <cell r="S307">
            <v>4.08099601694792</v>
          </cell>
          <cell r="T307">
            <v>3.3015</v>
          </cell>
          <cell r="U307">
            <v>4.08099601694792</v>
          </cell>
          <cell r="V307">
            <v>0</v>
          </cell>
        </row>
        <row r="307">
          <cell r="X307">
            <v>44256</v>
          </cell>
          <cell r="Y307">
            <v>26.2803145577563</v>
          </cell>
          <cell r="Z307">
            <v>0</v>
          </cell>
          <cell r="AA307">
            <v>26.2803145577563</v>
          </cell>
        </row>
        <row r="308">
          <cell r="A308">
            <v>44287</v>
          </cell>
          <cell r="B308">
            <v>3.8055</v>
          </cell>
          <cell r="C308">
            <v>0</v>
          </cell>
          <cell r="D308">
            <v>3.8055</v>
          </cell>
        </row>
        <row r="308">
          <cell r="P308">
            <v>44287</v>
          </cell>
          <cell r="Q308">
            <v>-0.55</v>
          </cell>
          <cell r="R308">
            <v>3.2555</v>
          </cell>
          <cell r="S308">
            <v>4.02038717841191</v>
          </cell>
          <cell r="T308">
            <v>3.2555</v>
          </cell>
          <cell r="U308">
            <v>4.02038717841191</v>
          </cell>
          <cell r="V308">
            <v>0</v>
          </cell>
        </row>
        <row r="308">
          <cell r="X308">
            <v>44287</v>
          </cell>
          <cell r="Y308">
            <v>26.2803145577563</v>
          </cell>
          <cell r="Z308">
            <v>0</v>
          </cell>
          <cell r="AA308">
            <v>26.2803145577563</v>
          </cell>
        </row>
        <row r="309">
          <cell r="A309">
            <v>44317</v>
          </cell>
          <cell r="B309">
            <v>3.8235</v>
          </cell>
          <cell r="C309">
            <v>0</v>
          </cell>
          <cell r="D309">
            <v>3.8235</v>
          </cell>
        </row>
        <row r="309">
          <cell r="P309">
            <v>44317</v>
          </cell>
          <cell r="Q309">
            <v>-0.55</v>
          </cell>
          <cell r="R309">
            <v>3.2735</v>
          </cell>
          <cell r="S309">
            <v>4.03896348837724</v>
          </cell>
          <cell r="T309">
            <v>3.2735</v>
          </cell>
          <cell r="U309">
            <v>4.03896348837724</v>
          </cell>
          <cell r="V309">
            <v>0</v>
          </cell>
        </row>
        <row r="309">
          <cell r="X309">
            <v>44317</v>
          </cell>
          <cell r="Y309">
            <v>26.2803145577563</v>
          </cell>
          <cell r="Z309">
            <v>0</v>
          </cell>
          <cell r="AA309">
            <v>26.2803145577563</v>
          </cell>
        </row>
        <row r="310">
          <cell r="A310">
            <v>44348</v>
          </cell>
          <cell r="B310">
            <v>3.8505</v>
          </cell>
          <cell r="C310">
            <v>0</v>
          </cell>
          <cell r="D310">
            <v>3.8505</v>
          </cell>
        </row>
        <row r="310">
          <cell r="P310">
            <v>44348</v>
          </cell>
          <cell r="Q310">
            <v>-0.55</v>
          </cell>
          <cell r="R310">
            <v>3.3005</v>
          </cell>
          <cell r="S310">
            <v>4.06846552520432</v>
          </cell>
          <cell r="T310">
            <v>3.3005</v>
          </cell>
          <cell r="U310">
            <v>4.06846552520432</v>
          </cell>
          <cell r="V310">
            <v>0</v>
          </cell>
        </row>
        <row r="310">
          <cell r="X310">
            <v>44348</v>
          </cell>
          <cell r="Y310">
            <v>26.2803145577563</v>
          </cell>
          <cell r="Z310">
            <v>0</v>
          </cell>
          <cell r="AA310">
            <v>26.2803145577563</v>
          </cell>
        </row>
        <row r="311">
          <cell r="A311">
            <v>44378</v>
          </cell>
          <cell r="B311">
            <v>3.8615</v>
          </cell>
          <cell r="C311">
            <v>0</v>
          </cell>
          <cell r="D311">
            <v>3.8615</v>
          </cell>
        </row>
        <row r="311">
          <cell r="P311">
            <v>44378</v>
          </cell>
          <cell r="Q311">
            <v>-0.55</v>
          </cell>
          <cell r="R311">
            <v>3.3115</v>
          </cell>
          <cell r="S311">
            <v>4.07831850558867</v>
          </cell>
          <cell r="T311">
            <v>3.3115</v>
          </cell>
          <cell r="U311">
            <v>4.07831850558867</v>
          </cell>
          <cell r="V311">
            <v>0</v>
          </cell>
        </row>
        <row r="311">
          <cell r="X311">
            <v>44378</v>
          </cell>
          <cell r="Y311">
            <v>26.2803145577563</v>
          </cell>
          <cell r="Z311">
            <v>0</v>
          </cell>
          <cell r="AA311">
            <v>26.2803145577563</v>
          </cell>
        </row>
        <row r="312">
          <cell r="A312">
            <v>44409</v>
          </cell>
          <cell r="B312">
            <v>3.8705</v>
          </cell>
          <cell r="C312">
            <v>0</v>
          </cell>
          <cell r="D312">
            <v>3.8705</v>
          </cell>
        </row>
        <row r="312">
          <cell r="P312">
            <v>44409</v>
          </cell>
          <cell r="Q312">
            <v>-0.55</v>
          </cell>
          <cell r="R312">
            <v>3.3205</v>
          </cell>
          <cell r="S312">
            <v>4.08555627819103</v>
          </cell>
          <cell r="T312">
            <v>3.3205</v>
          </cell>
          <cell r="U312">
            <v>4.08555627819103</v>
          </cell>
          <cell r="V312">
            <v>0</v>
          </cell>
        </row>
        <row r="312">
          <cell r="X312">
            <v>44409</v>
          </cell>
          <cell r="Y312">
            <v>26.2803145577563</v>
          </cell>
          <cell r="Z312">
            <v>0</v>
          </cell>
          <cell r="AA312">
            <v>26.2803145577563</v>
          </cell>
        </row>
        <row r="313">
          <cell r="A313">
            <v>44440</v>
          </cell>
          <cell r="B313">
            <v>3.8595</v>
          </cell>
          <cell r="C313">
            <v>0</v>
          </cell>
          <cell r="D313">
            <v>3.8595</v>
          </cell>
        </row>
        <row r="313">
          <cell r="P313">
            <v>44440</v>
          </cell>
          <cell r="Q313">
            <v>-0.55</v>
          </cell>
          <cell r="R313">
            <v>3.3095</v>
          </cell>
          <cell r="S313">
            <v>4.06818242485155</v>
          </cell>
          <cell r="T313">
            <v>3.3095</v>
          </cell>
          <cell r="U313">
            <v>4.06818242485155</v>
          </cell>
          <cell r="V313">
            <v>0</v>
          </cell>
        </row>
        <row r="313">
          <cell r="X313">
            <v>44440</v>
          </cell>
          <cell r="Y313">
            <v>26.2803145577563</v>
          </cell>
          <cell r="Z313">
            <v>0</v>
          </cell>
          <cell r="AA313">
            <v>26.2803145577563</v>
          </cell>
        </row>
        <row r="314">
          <cell r="A314">
            <v>44470</v>
          </cell>
          <cell r="B314">
            <v>3.8685</v>
          </cell>
          <cell r="C314">
            <v>0</v>
          </cell>
          <cell r="D314">
            <v>3.8685</v>
          </cell>
        </row>
        <row r="314">
          <cell r="P314">
            <v>44470</v>
          </cell>
          <cell r="Q314">
            <v>-0.55</v>
          </cell>
          <cell r="R314">
            <v>3.3185</v>
          </cell>
          <cell r="S314">
            <v>4.07551438050567</v>
          </cell>
          <cell r="T314">
            <v>3.3185</v>
          </cell>
          <cell r="U314">
            <v>4.07551438050567</v>
          </cell>
          <cell r="V314">
            <v>0</v>
          </cell>
        </row>
        <row r="314">
          <cell r="X314">
            <v>44470</v>
          </cell>
          <cell r="Y314">
            <v>26.2803145577563</v>
          </cell>
          <cell r="Z314">
            <v>0</v>
          </cell>
          <cell r="AA314">
            <v>26.2803145577563</v>
          </cell>
        </row>
        <row r="315">
          <cell r="A315">
            <v>44501</v>
          </cell>
          <cell r="B315">
            <v>3.9145</v>
          </cell>
          <cell r="C315">
            <v>0</v>
          </cell>
          <cell r="D315">
            <v>3.9145</v>
          </cell>
        </row>
        <row r="315">
          <cell r="P315">
            <v>44501</v>
          </cell>
          <cell r="Q315">
            <v>-0.55</v>
          </cell>
          <cell r="R315">
            <v>3.3645</v>
          </cell>
          <cell r="S315">
            <v>4.12809299721451</v>
          </cell>
          <cell r="T315">
            <v>3.3645</v>
          </cell>
          <cell r="U315">
            <v>4.12809299721451</v>
          </cell>
          <cell r="V315">
            <v>0</v>
          </cell>
        </row>
        <row r="315">
          <cell r="X315">
            <v>44501</v>
          </cell>
          <cell r="Y315">
            <v>26.2803145577563</v>
          </cell>
          <cell r="Z315">
            <v>0</v>
          </cell>
          <cell r="AA315">
            <v>26.2803145577563</v>
          </cell>
        </row>
        <row r="316">
          <cell r="A316">
            <v>44531</v>
          </cell>
          <cell r="B316">
            <v>3.9865</v>
          </cell>
          <cell r="C316">
            <v>0</v>
          </cell>
          <cell r="D316">
            <v>3.9865</v>
          </cell>
        </row>
        <row r="316">
          <cell r="P316">
            <v>44531</v>
          </cell>
          <cell r="Q316">
            <v>-0.55</v>
          </cell>
          <cell r="R316">
            <v>3.4365</v>
          </cell>
          <cell r="S316">
            <v>4.21255842292486</v>
          </cell>
          <cell r="T316">
            <v>3.4365</v>
          </cell>
          <cell r="U316">
            <v>4.21255842292486</v>
          </cell>
          <cell r="V316">
            <v>0</v>
          </cell>
        </row>
        <row r="316">
          <cell r="X316">
            <v>44531</v>
          </cell>
          <cell r="Y316">
            <v>26.2803145577563</v>
          </cell>
          <cell r="Z316">
            <v>0</v>
          </cell>
          <cell r="AA316">
            <v>26.2803145577563</v>
          </cell>
        </row>
        <row r="317">
          <cell r="A317">
            <v>44562</v>
          </cell>
          <cell r="B317">
            <v>4.013</v>
          </cell>
          <cell r="C317">
            <v>0</v>
          </cell>
          <cell r="D317">
            <v>4.013</v>
          </cell>
        </row>
        <row r="317">
          <cell r="P317">
            <v>44562</v>
          </cell>
          <cell r="Q317">
            <v>-0.55</v>
          </cell>
          <cell r="R317">
            <v>3.463</v>
          </cell>
          <cell r="S317">
            <v>4.24100146962082</v>
          </cell>
          <cell r="T317">
            <v>3.463</v>
          </cell>
          <cell r="U317">
            <v>4.24100146962082</v>
          </cell>
          <cell r="V317">
            <v>0</v>
          </cell>
        </row>
        <row r="317">
          <cell r="X317">
            <v>44562</v>
          </cell>
          <cell r="Y317">
            <v>26.2803145577563</v>
          </cell>
          <cell r="Z317">
            <v>0</v>
          </cell>
          <cell r="AA317">
            <v>26.2803145577563</v>
          </cell>
        </row>
        <row r="318">
          <cell r="A318">
            <v>44593</v>
          </cell>
          <cell r="B318">
            <v>3.976</v>
          </cell>
          <cell r="C318">
            <v>0</v>
          </cell>
          <cell r="D318">
            <v>3.976</v>
          </cell>
        </row>
        <row r="318">
          <cell r="P318">
            <v>44593</v>
          </cell>
          <cell r="Q318">
            <v>-0.55</v>
          </cell>
          <cell r="R318">
            <v>3.426</v>
          </cell>
          <cell r="S318">
            <v>4.19168483741267</v>
          </cell>
          <cell r="T318">
            <v>3.426</v>
          </cell>
          <cell r="U318">
            <v>4.19168483741267</v>
          </cell>
          <cell r="V318">
            <v>0</v>
          </cell>
        </row>
        <row r="318">
          <cell r="X318">
            <v>44593</v>
          </cell>
          <cell r="Y318">
            <v>26.2803145577563</v>
          </cell>
          <cell r="Z318">
            <v>0</v>
          </cell>
          <cell r="AA318">
            <v>26.2803145577563</v>
          </cell>
        </row>
        <row r="319">
          <cell r="A319">
            <v>44621</v>
          </cell>
          <cell r="B319">
            <v>3.918</v>
          </cell>
          <cell r="C319">
            <v>0</v>
          </cell>
          <cell r="D319">
            <v>3.918</v>
          </cell>
        </row>
        <row r="319">
          <cell r="P319">
            <v>44621</v>
          </cell>
          <cell r="Q319">
            <v>-0.55</v>
          </cell>
          <cell r="R319">
            <v>3.368</v>
          </cell>
          <cell r="S319">
            <v>4.11716182905667</v>
          </cell>
          <cell r="T319">
            <v>3.368</v>
          </cell>
          <cell r="U319">
            <v>4.11716182905667</v>
          </cell>
          <cell r="V319">
            <v>0</v>
          </cell>
        </row>
        <row r="319">
          <cell r="X319">
            <v>44621</v>
          </cell>
          <cell r="Y319">
            <v>26.2803145577563</v>
          </cell>
          <cell r="Z319">
            <v>0</v>
          </cell>
          <cell r="AA319">
            <v>26.2803145577563</v>
          </cell>
        </row>
        <row r="320">
          <cell r="A320">
            <v>44652</v>
          </cell>
          <cell r="B320">
            <v>3.875</v>
          </cell>
          <cell r="C320">
            <v>0</v>
          </cell>
          <cell r="D320">
            <v>3.875</v>
          </cell>
        </row>
        <row r="320">
          <cell r="P320">
            <v>44652</v>
          </cell>
          <cell r="Q320">
            <v>-0.55</v>
          </cell>
          <cell r="R320">
            <v>3.325</v>
          </cell>
          <cell r="S320">
            <v>4.06070006057573</v>
          </cell>
          <cell r="T320">
            <v>3.325</v>
          </cell>
          <cell r="U320">
            <v>4.06070006057573</v>
          </cell>
          <cell r="V320">
            <v>0</v>
          </cell>
        </row>
        <row r="320">
          <cell r="X320">
            <v>44652</v>
          </cell>
          <cell r="Y320">
            <v>26.2803145577563</v>
          </cell>
          <cell r="Z320">
            <v>0</v>
          </cell>
          <cell r="AA320">
            <v>26.2803145577563</v>
          </cell>
        </row>
        <row r="321">
          <cell r="A321">
            <v>44682</v>
          </cell>
          <cell r="B321">
            <v>3.894</v>
          </cell>
          <cell r="C321">
            <v>0</v>
          </cell>
          <cell r="D321">
            <v>3.894</v>
          </cell>
        </row>
        <row r="321">
          <cell r="P321">
            <v>44682</v>
          </cell>
          <cell r="Q321">
            <v>-0.55</v>
          </cell>
          <cell r="R321">
            <v>3.344</v>
          </cell>
          <cell r="S321">
            <v>4.08010570205797</v>
          </cell>
          <cell r="T321">
            <v>3.344</v>
          </cell>
          <cell r="U321">
            <v>4.08010570205797</v>
          </cell>
          <cell r="V321">
            <v>0</v>
          </cell>
        </row>
        <row r="321">
          <cell r="X321">
            <v>44682</v>
          </cell>
          <cell r="Y321">
            <v>26.2803145577563</v>
          </cell>
          <cell r="Z321">
            <v>0</v>
          </cell>
          <cell r="AA321">
            <v>26.2803145577563</v>
          </cell>
        </row>
        <row r="322">
          <cell r="A322">
            <v>44713</v>
          </cell>
          <cell r="B322">
            <v>3.922</v>
          </cell>
          <cell r="C322">
            <v>0</v>
          </cell>
          <cell r="D322">
            <v>3.922</v>
          </cell>
        </row>
        <row r="322">
          <cell r="P322">
            <v>44713</v>
          </cell>
          <cell r="Q322">
            <v>-0.55</v>
          </cell>
          <cell r="R322">
            <v>3.372</v>
          </cell>
          <cell r="S322">
            <v>4.11030575900527</v>
          </cell>
          <cell r="T322">
            <v>3.372</v>
          </cell>
          <cell r="U322">
            <v>4.11030575900527</v>
          </cell>
          <cell r="V322">
            <v>0</v>
          </cell>
        </row>
        <row r="322">
          <cell r="X322">
            <v>44713</v>
          </cell>
          <cell r="Y322">
            <v>26.2803145577563</v>
          </cell>
          <cell r="Z322">
            <v>0</v>
          </cell>
          <cell r="AA322">
            <v>26.2803145577563</v>
          </cell>
        </row>
        <row r="323">
          <cell r="A323">
            <v>44743</v>
          </cell>
          <cell r="B323">
            <v>3.933</v>
          </cell>
          <cell r="C323">
            <v>0</v>
          </cell>
          <cell r="D323">
            <v>3.933</v>
          </cell>
        </row>
        <row r="323">
          <cell r="P323">
            <v>44743</v>
          </cell>
          <cell r="Q323">
            <v>-0.55</v>
          </cell>
          <cell r="R323">
            <v>3.383</v>
          </cell>
          <cell r="S323">
            <v>4.11986058000983</v>
          </cell>
          <cell r="T323">
            <v>3.383</v>
          </cell>
          <cell r="U323">
            <v>4.11986058000983</v>
          </cell>
          <cell r="V323">
            <v>0</v>
          </cell>
        </row>
        <row r="323">
          <cell r="X323">
            <v>44743</v>
          </cell>
          <cell r="Y323">
            <v>26.2803145577563</v>
          </cell>
          <cell r="Z323">
            <v>0</v>
          </cell>
          <cell r="AA323">
            <v>26.2803145577563</v>
          </cell>
        </row>
        <row r="324">
          <cell r="A324">
            <v>44774</v>
          </cell>
          <cell r="B324">
            <v>3.942</v>
          </cell>
          <cell r="C324">
            <v>0</v>
          </cell>
          <cell r="D324">
            <v>3.942</v>
          </cell>
        </row>
        <row r="324">
          <cell r="P324">
            <v>44774</v>
          </cell>
          <cell r="Q324">
            <v>-0.55</v>
          </cell>
          <cell r="R324">
            <v>3.392</v>
          </cell>
          <cell r="S324">
            <v>4.12682253701255</v>
          </cell>
          <cell r="T324">
            <v>3.392</v>
          </cell>
          <cell r="U324">
            <v>4.12682253701255</v>
          </cell>
          <cell r="V324">
            <v>0</v>
          </cell>
        </row>
        <row r="324">
          <cell r="X324">
            <v>44774</v>
          </cell>
          <cell r="Y324">
            <v>26.2803145577563</v>
          </cell>
          <cell r="Z324">
            <v>0</v>
          </cell>
          <cell r="AA324">
            <v>26.2803145577563</v>
          </cell>
        </row>
        <row r="325">
          <cell r="A325">
            <v>44805</v>
          </cell>
          <cell r="B325">
            <v>3.93</v>
          </cell>
          <cell r="C325">
            <v>0</v>
          </cell>
          <cell r="D325">
            <v>3.93</v>
          </cell>
        </row>
        <row r="325">
          <cell r="P325">
            <v>44805</v>
          </cell>
          <cell r="Q325">
            <v>-0.55</v>
          </cell>
          <cell r="R325">
            <v>3.38</v>
          </cell>
          <cell r="S325">
            <v>4.1082330081936</v>
          </cell>
          <cell r="T325">
            <v>3.38</v>
          </cell>
          <cell r="U325">
            <v>4.1082330081936</v>
          </cell>
          <cell r="V325">
            <v>0</v>
          </cell>
        </row>
        <row r="325">
          <cell r="X325">
            <v>44805</v>
          </cell>
          <cell r="Y325">
            <v>26.2803145577563</v>
          </cell>
          <cell r="Z325">
            <v>0</v>
          </cell>
          <cell r="AA325">
            <v>26.2803145577563</v>
          </cell>
        </row>
        <row r="326">
          <cell r="A326">
            <v>44835</v>
          </cell>
          <cell r="B326">
            <v>3.938</v>
          </cell>
          <cell r="C326">
            <v>0</v>
          </cell>
          <cell r="D326">
            <v>3.938</v>
          </cell>
        </row>
        <row r="326">
          <cell r="P326">
            <v>44835</v>
          </cell>
          <cell r="Q326">
            <v>-0.55</v>
          </cell>
          <cell r="R326">
            <v>3.388</v>
          </cell>
          <cell r="S326">
            <v>4.11408085891357</v>
          </cell>
          <cell r="T326">
            <v>3.388</v>
          </cell>
          <cell r="U326">
            <v>4.11408085891357</v>
          </cell>
          <cell r="V326">
            <v>0</v>
          </cell>
        </row>
        <row r="326">
          <cell r="X326">
            <v>44835</v>
          </cell>
          <cell r="Y326">
            <v>26.2803145577563</v>
          </cell>
          <cell r="Z326">
            <v>0</v>
          </cell>
          <cell r="AA326">
            <v>26.2803145577563</v>
          </cell>
        </row>
        <row r="327">
          <cell r="A327">
            <v>44866</v>
          </cell>
          <cell r="B327">
            <v>3.979</v>
          </cell>
          <cell r="C327">
            <v>0</v>
          </cell>
          <cell r="D327">
            <v>3.979</v>
          </cell>
        </row>
        <row r="327">
          <cell r="P327">
            <v>44866</v>
          </cell>
          <cell r="Q327">
            <v>-0.55</v>
          </cell>
          <cell r="R327">
            <v>3.429</v>
          </cell>
          <cell r="S327">
            <v>4.15980846505896</v>
          </cell>
          <cell r="T327">
            <v>3.429</v>
          </cell>
          <cell r="U327">
            <v>4.15980846505896</v>
          </cell>
          <cell r="V327">
            <v>0</v>
          </cell>
        </row>
        <row r="327">
          <cell r="X327">
            <v>44866</v>
          </cell>
          <cell r="Y327">
            <v>26.2803145577563</v>
          </cell>
          <cell r="Z327">
            <v>0</v>
          </cell>
          <cell r="AA327">
            <v>26.2803145577563</v>
          </cell>
        </row>
        <row r="328">
          <cell r="A328">
            <v>44896</v>
          </cell>
          <cell r="B328">
            <v>4.048</v>
          </cell>
          <cell r="C328">
            <v>0</v>
          </cell>
          <cell r="D328">
            <v>4.048</v>
          </cell>
        </row>
        <row r="328">
          <cell r="P328">
            <v>44896</v>
          </cell>
          <cell r="Q328">
            <v>-0.55</v>
          </cell>
          <cell r="R328">
            <v>3.498</v>
          </cell>
          <cell r="S328">
            <v>4.23950140001494</v>
          </cell>
          <cell r="T328">
            <v>3.498</v>
          </cell>
          <cell r="U328">
            <v>4.23950140001494</v>
          </cell>
          <cell r="V328">
            <v>0</v>
          </cell>
        </row>
        <row r="328">
          <cell r="X328">
            <v>44896</v>
          </cell>
          <cell r="Y328">
            <v>26.2803145577563</v>
          </cell>
          <cell r="Z328">
            <v>0</v>
          </cell>
          <cell r="AA328">
            <v>26.2803145577563</v>
          </cell>
        </row>
        <row r="329">
          <cell r="A329">
            <v>44927</v>
          </cell>
          <cell r="B329">
            <v>4.0725</v>
          </cell>
          <cell r="C329">
            <v>0</v>
          </cell>
          <cell r="D329">
            <v>4.0725</v>
          </cell>
        </row>
        <row r="329">
          <cell r="P329">
            <v>44927</v>
          </cell>
          <cell r="Q329">
            <v>-0.55</v>
          </cell>
          <cell r="R329">
            <v>3.5225</v>
          </cell>
          <cell r="S329">
            <v>4.26501357423265</v>
          </cell>
          <cell r="T329">
            <v>3.5225</v>
          </cell>
          <cell r="U329">
            <v>4.26501357423265</v>
          </cell>
          <cell r="V329">
            <v>0</v>
          </cell>
        </row>
        <row r="329">
          <cell r="X329">
            <v>44927</v>
          </cell>
          <cell r="Y329">
            <v>26.2803145577563</v>
          </cell>
          <cell r="Z329">
            <v>0</v>
          </cell>
          <cell r="AA329">
            <v>26.2803145577563</v>
          </cell>
        </row>
        <row r="330">
          <cell r="A330">
            <v>44958</v>
          </cell>
          <cell r="B330">
            <v>4.0395</v>
          </cell>
          <cell r="C330">
            <v>0</v>
          </cell>
          <cell r="D330">
            <v>4.0395</v>
          </cell>
        </row>
        <row r="330">
          <cell r="P330">
            <v>44958</v>
          </cell>
          <cell r="Q330">
            <v>-0.55</v>
          </cell>
          <cell r="R330">
            <v>3.4895</v>
          </cell>
          <cell r="S330">
            <v>4.22090954778075</v>
          </cell>
          <cell r="T330">
            <v>3.4895</v>
          </cell>
          <cell r="U330">
            <v>4.22090954778075</v>
          </cell>
          <cell r="V330">
            <v>0</v>
          </cell>
        </row>
        <row r="330">
          <cell r="X330">
            <v>44958</v>
          </cell>
          <cell r="Y330">
            <v>26.2803145577563</v>
          </cell>
          <cell r="Z330">
            <v>0</v>
          </cell>
          <cell r="AA330">
            <v>26.2803145577563</v>
          </cell>
        </row>
        <row r="331">
          <cell r="A331">
            <v>44986</v>
          </cell>
          <cell r="B331">
            <v>3.9845</v>
          </cell>
          <cell r="C331">
            <v>0</v>
          </cell>
          <cell r="D331">
            <v>3.9845</v>
          </cell>
        </row>
        <row r="331">
          <cell r="P331">
            <v>44986</v>
          </cell>
          <cell r="Q331">
            <v>-0.55</v>
          </cell>
          <cell r="R331">
            <v>3.4345</v>
          </cell>
          <cell r="S331">
            <v>4.15068908146596</v>
          </cell>
          <cell r="T331">
            <v>3.4345</v>
          </cell>
          <cell r="U331">
            <v>4.15068908146596</v>
          </cell>
          <cell r="V331">
            <v>0</v>
          </cell>
        </row>
        <row r="331">
          <cell r="X331">
            <v>44986</v>
          </cell>
          <cell r="Y331">
            <v>26.2803145577563</v>
          </cell>
          <cell r="Z331">
            <v>0</v>
          </cell>
          <cell r="AA331">
            <v>26.2803145577563</v>
          </cell>
        </row>
        <row r="332">
          <cell r="A332">
            <v>45017</v>
          </cell>
          <cell r="B332">
            <v>3.9445</v>
          </cell>
          <cell r="C332">
            <v>0</v>
          </cell>
          <cell r="D332">
            <v>3.9445</v>
          </cell>
        </row>
        <row r="332">
          <cell r="P332">
            <v>45017</v>
          </cell>
          <cell r="Q332">
            <v>-0.55</v>
          </cell>
          <cell r="R332">
            <v>3.3945</v>
          </cell>
          <cell r="S332">
            <v>4.09830237062474</v>
          </cell>
          <cell r="T332">
            <v>3.3945</v>
          </cell>
          <cell r="U332">
            <v>4.09830237062474</v>
          </cell>
          <cell r="V332">
            <v>0</v>
          </cell>
        </row>
        <row r="332">
          <cell r="X332">
            <v>45017</v>
          </cell>
          <cell r="Y332">
            <v>26.2803145577563</v>
          </cell>
          <cell r="Z332">
            <v>0</v>
          </cell>
          <cell r="AA332">
            <v>26.2803145577563</v>
          </cell>
        </row>
        <row r="333">
          <cell r="A333">
            <v>45047</v>
          </cell>
          <cell r="B333">
            <v>3.9645</v>
          </cell>
          <cell r="C333">
            <v>0</v>
          </cell>
          <cell r="D333">
            <v>3.9645</v>
          </cell>
        </row>
        <row r="333">
          <cell r="P333">
            <v>45047</v>
          </cell>
          <cell r="Q333">
            <v>-0.55</v>
          </cell>
          <cell r="R333">
            <v>3.4145</v>
          </cell>
          <cell r="S333">
            <v>4.11850562405889</v>
          </cell>
          <cell r="T333">
            <v>3.4145</v>
          </cell>
          <cell r="U333">
            <v>4.11850562405889</v>
          </cell>
          <cell r="V333">
            <v>0</v>
          </cell>
        </row>
        <row r="333">
          <cell r="X333">
            <v>45047</v>
          </cell>
          <cell r="Y333">
            <v>26.2803145577563</v>
          </cell>
          <cell r="Z333">
            <v>0</v>
          </cell>
          <cell r="AA333">
            <v>26.2803145577563</v>
          </cell>
        </row>
        <row r="334">
          <cell r="A334">
            <v>45078</v>
          </cell>
          <cell r="B334">
            <v>3.9935</v>
          </cell>
          <cell r="C334">
            <v>0</v>
          </cell>
          <cell r="D334">
            <v>3.9935</v>
          </cell>
        </row>
        <row r="334">
          <cell r="P334">
            <v>45078</v>
          </cell>
          <cell r="Q334">
            <v>-0.55</v>
          </cell>
          <cell r="R334">
            <v>3.4435</v>
          </cell>
          <cell r="S334">
            <v>4.14936984250407</v>
          </cell>
          <cell r="T334">
            <v>3.4435</v>
          </cell>
          <cell r="U334">
            <v>4.14936984250407</v>
          </cell>
          <cell r="V334">
            <v>0</v>
          </cell>
        </row>
        <row r="334">
          <cell r="X334">
            <v>45078</v>
          </cell>
          <cell r="Y334">
            <v>26.2803145577563</v>
          </cell>
          <cell r="Z334">
            <v>0</v>
          </cell>
          <cell r="AA334">
            <v>26.2803145577563</v>
          </cell>
        </row>
        <row r="335">
          <cell r="A335">
            <v>45108</v>
          </cell>
          <cell r="B335">
            <v>4.0045</v>
          </cell>
          <cell r="C335">
            <v>0</v>
          </cell>
          <cell r="D335">
            <v>4.0045</v>
          </cell>
        </row>
        <row r="335">
          <cell r="P335">
            <v>45108</v>
          </cell>
          <cell r="Q335">
            <v>-0.55</v>
          </cell>
          <cell r="R335">
            <v>3.4545</v>
          </cell>
          <cell r="S335">
            <v>4.15862435100455</v>
          </cell>
          <cell r="T335">
            <v>3.4545</v>
          </cell>
          <cell r="U335">
            <v>4.15862435100455</v>
          </cell>
          <cell r="V335">
            <v>0</v>
          </cell>
        </row>
        <row r="335">
          <cell r="X335">
            <v>45108</v>
          </cell>
          <cell r="Y335">
            <v>26.2803145577563</v>
          </cell>
          <cell r="Z335">
            <v>0</v>
          </cell>
          <cell r="AA335">
            <v>26.2803145577563</v>
          </cell>
        </row>
        <row r="336">
          <cell r="A336">
            <v>45139</v>
          </cell>
          <cell r="B336">
            <v>4.0135</v>
          </cell>
          <cell r="C336">
            <v>0</v>
          </cell>
          <cell r="D336">
            <v>4.0135</v>
          </cell>
        </row>
        <row r="336">
          <cell r="P336">
            <v>45139</v>
          </cell>
          <cell r="Q336">
            <v>-0.55</v>
          </cell>
          <cell r="R336">
            <v>3.4635</v>
          </cell>
          <cell r="S336">
            <v>4.16530885761076</v>
          </cell>
          <cell r="T336">
            <v>3.4635</v>
          </cell>
          <cell r="U336">
            <v>4.16530885761076</v>
          </cell>
          <cell r="V336">
            <v>0</v>
          </cell>
        </row>
        <row r="336">
          <cell r="X336">
            <v>45139</v>
          </cell>
          <cell r="Y336">
            <v>26.2803145577563</v>
          </cell>
          <cell r="Z336">
            <v>0</v>
          </cell>
          <cell r="AA336">
            <v>26.2803145577563</v>
          </cell>
        </row>
        <row r="337">
          <cell r="A337">
            <v>45170</v>
          </cell>
          <cell r="B337">
            <v>4.0005</v>
          </cell>
          <cell r="C337">
            <v>0</v>
          </cell>
          <cell r="D337">
            <v>4.0005</v>
          </cell>
        </row>
        <row r="337">
          <cell r="P337">
            <v>45170</v>
          </cell>
          <cell r="Q337">
            <v>-0.55</v>
          </cell>
          <cell r="R337">
            <v>3.4505</v>
          </cell>
          <cell r="S337">
            <v>4.14553475981325</v>
          </cell>
          <cell r="T337">
            <v>3.4505</v>
          </cell>
          <cell r="U337">
            <v>4.14553475981325</v>
          </cell>
          <cell r="V337">
            <v>0</v>
          </cell>
        </row>
        <row r="337">
          <cell r="X337">
            <v>45170</v>
          </cell>
          <cell r="Y337">
            <v>26.2803145577563</v>
          </cell>
          <cell r="Z337">
            <v>0</v>
          </cell>
          <cell r="AA337">
            <v>26.2803145577563</v>
          </cell>
        </row>
        <row r="338">
          <cell r="A338">
            <v>45200</v>
          </cell>
          <cell r="B338">
            <v>4.0075</v>
          </cell>
          <cell r="C338">
            <v>0</v>
          </cell>
          <cell r="D338">
            <v>4.0075</v>
          </cell>
        </row>
        <row r="338">
          <cell r="P338">
            <v>45200</v>
          </cell>
          <cell r="Q338">
            <v>-0.55</v>
          </cell>
          <cell r="R338">
            <v>3.4575</v>
          </cell>
          <cell r="S338">
            <v>4.14992501986463</v>
          </cell>
          <cell r="T338">
            <v>3.4575</v>
          </cell>
          <cell r="U338">
            <v>4.14992501986463</v>
          </cell>
          <cell r="V338">
            <v>0</v>
          </cell>
        </row>
        <row r="338">
          <cell r="X338">
            <v>45200</v>
          </cell>
          <cell r="Y338">
            <v>26.2803145577563</v>
          </cell>
          <cell r="Z338">
            <v>0</v>
          </cell>
          <cell r="AA338">
            <v>26.2803145577563</v>
          </cell>
        </row>
        <row r="339">
          <cell r="A339">
            <v>45231</v>
          </cell>
          <cell r="B339">
            <v>4.0435</v>
          </cell>
          <cell r="C339">
            <v>0</v>
          </cell>
          <cell r="D339">
            <v>4.0435</v>
          </cell>
        </row>
        <row r="339">
          <cell r="P339">
            <v>45231</v>
          </cell>
          <cell r="Q339">
            <v>-0.55</v>
          </cell>
          <cell r="R339">
            <v>3.4935</v>
          </cell>
          <cell r="S339">
            <v>4.18893219105911</v>
          </cell>
          <cell r="T339">
            <v>3.4935</v>
          </cell>
          <cell r="U339">
            <v>4.18893219105911</v>
          </cell>
          <cell r="V339">
            <v>0</v>
          </cell>
        </row>
        <row r="339">
          <cell r="X339">
            <v>45231</v>
          </cell>
          <cell r="Y339">
            <v>26.2803145577563</v>
          </cell>
          <cell r="Z339">
            <v>0</v>
          </cell>
          <cell r="AA339">
            <v>26.2803145577563</v>
          </cell>
        </row>
        <row r="340">
          <cell r="A340">
            <v>45261</v>
          </cell>
          <cell r="B340">
            <v>4.1095</v>
          </cell>
          <cell r="C340">
            <v>0</v>
          </cell>
          <cell r="D340">
            <v>4.1095</v>
          </cell>
        </row>
        <row r="340">
          <cell r="P340">
            <v>45261</v>
          </cell>
          <cell r="Q340">
            <v>-0.55</v>
          </cell>
          <cell r="R340">
            <v>3.5595</v>
          </cell>
          <cell r="S340">
            <v>4.26392135712198</v>
          </cell>
          <cell r="T340">
            <v>3.5595</v>
          </cell>
          <cell r="U340">
            <v>4.26392135712198</v>
          </cell>
          <cell r="V340">
            <v>0</v>
          </cell>
        </row>
        <row r="340">
          <cell r="X340">
            <v>45261</v>
          </cell>
          <cell r="Y340">
            <v>26.2803145577563</v>
          </cell>
          <cell r="Z340">
            <v>0</v>
          </cell>
          <cell r="AA340">
            <v>26.2803145577563</v>
          </cell>
        </row>
        <row r="341">
          <cell r="A341">
            <v>45292</v>
          </cell>
          <cell r="B341">
            <v>4.132</v>
          </cell>
          <cell r="C341">
            <v>0</v>
          </cell>
          <cell r="D341">
            <v>4.132</v>
          </cell>
        </row>
        <row r="341">
          <cell r="P341">
            <v>45292</v>
          </cell>
          <cell r="Q341">
            <v>-0.55</v>
          </cell>
          <cell r="R341">
            <v>3.582</v>
          </cell>
          <cell r="S341">
            <v>4.28655402459977</v>
          </cell>
          <cell r="T341">
            <v>3.582</v>
          </cell>
          <cell r="U341">
            <v>4.28655402459977</v>
          </cell>
          <cell r="V341">
            <v>0</v>
          </cell>
        </row>
        <row r="341">
          <cell r="X341">
            <v>45292</v>
          </cell>
          <cell r="Y341">
            <v>26.2803145577563</v>
          </cell>
          <cell r="Z341">
            <v>0</v>
          </cell>
          <cell r="AA341">
            <v>26.2803145577563</v>
          </cell>
        </row>
        <row r="342">
          <cell r="A342">
            <v>45323</v>
          </cell>
          <cell r="B342">
            <v>4.103</v>
          </cell>
          <cell r="C342">
            <v>0</v>
          </cell>
          <cell r="D342">
            <v>4.103</v>
          </cell>
        </row>
        <row r="342">
          <cell r="P342">
            <v>45323</v>
          </cell>
          <cell r="Q342">
            <v>-0.55</v>
          </cell>
          <cell r="R342">
            <v>3.553</v>
          </cell>
          <cell r="S342">
            <v>4.24755926896362</v>
          </cell>
          <cell r="T342">
            <v>3.553</v>
          </cell>
          <cell r="U342">
            <v>4.24755926896362</v>
          </cell>
          <cell r="V342">
            <v>0</v>
          </cell>
        </row>
        <row r="342">
          <cell r="X342">
            <v>45323</v>
          </cell>
          <cell r="Y342">
            <v>26.2803145577563</v>
          </cell>
          <cell r="Z342">
            <v>0</v>
          </cell>
          <cell r="AA342">
            <v>26.2803145577563</v>
          </cell>
        </row>
        <row r="343">
          <cell r="A343">
            <v>45352</v>
          </cell>
          <cell r="B343">
            <v>4.051</v>
          </cell>
          <cell r="C343">
            <v>0</v>
          </cell>
          <cell r="D343">
            <v>4.051</v>
          </cell>
        </row>
        <row r="343">
          <cell r="P343">
            <v>45352</v>
          </cell>
          <cell r="Q343">
            <v>-0.55</v>
          </cell>
          <cell r="R343">
            <v>3.501</v>
          </cell>
          <cell r="S343">
            <v>4.18143398084005</v>
          </cell>
          <cell r="T343">
            <v>3.501</v>
          </cell>
          <cell r="U343">
            <v>4.18143398084005</v>
          </cell>
          <cell r="V343">
            <v>0</v>
          </cell>
        </row>
        <row r="343">
          <cell r="X343">
            <v>45352</v>
          </cell>
          <cell r="Y343">
            <v>26.2803145577563</v>
          </cell>
          <cell r="Z343">
            <v>0</v>
          </cell>
          <cell r="AA343">
            <v>26.2803145577563</v>
          </cell>
        </row>
        <row r="344">
          <cell r="A344">
            <v>45383</v>
          </cell>
          <cell r="B344">
            <v>4.014</v>
          </cell>
          <cell r="C344">
            <v>0</v>
          </cell>
          <cell r="D344">
            <v>4.014</v>
          </cell>
        </row>
        <row r="344">
          <cell r="P344">
            <v>45383</v>
          </cell>
          <cell r="Q344">
            <v>-0.55</v>
          </cell>
          <cell r="R344">
            <v>3.464</v>
          </cell>
          <cell r="S344">
            <v>4.13304923921145</v>
          </cell>
          <cell r="T344">
            <v>3.464</v>
          </cell>
          <cell r="U344">
            <v>4.13304923921145</v>
          </cell>
          <cell r="V344">
            <v>0</v>
          </cell>
        </row>
        <row r="344">
          <cell r="X344">
            <v>45383</v>
          </cell>
          <cell r="Y344">
            <v>26.2803145577563</v>
          </cell>
          <cell r="Z344">
            <v>0</v>
          </cell>
          <cell r="AA344">
            <v>26.2803145577563</v>
          </cell>
        </row>
        <row r="345">
          <cell r="A345">
            <v>45413</v>
          </cell>
          <cell r="B345">
            <v>4.035</v>
          </cell>
          <cell r="C345">
            <v>0</v>
          </cell>
          <cell r="D345">
            <v>4.035</v>
          </cell>
        </row>
        <row r="345">
          <cell r="P345">
            <v>45413</v>
          </cell>
          <cell r="Q345">
            <v>-0.55</v>
          </cell>
          <cell r="R345">
            <v>3.485</v>
          </cell>
          <cell r="S345">
            <v>4.15401715293828</v>
          </cell>
          <cell r="T345">
            <v>3.485</v>
          </cell>
          <cell r="U345">
            <v>4.15401715293828</v>
          </cell>
          <cell r="V345">
            <v>0</v>
          </cell>
        </row>
        <row r="345">
          <cell r="X345">
            <v>45413</v>
          </cell>
          <cell r="Y345">
            <v>26.2803145577563</v>
          </cell>
          <cell r="Z345">
            <v>0</v>
          </cell>
          <cell r="AA345">
            <v>26.2803145577563</v>
          </cell>
        </row>
        <row r="346">
          <cell r="P346">
            <v>45444</v>
          </cell>
          <cell r="Q346">
            <v>-0.55</v>
          </cell>
          <cell r="R346">
            <v>3.485</v>
          </cell>
          <cell r="S346">
            <v>4.14978749611391</v>
          </cell>
          <cell r="T346">
            <v>3.485</v>
          </cell>
          <cell r="U346">
            <v>4.14978749611391</v>
          </cell>
          <cell r="V346">
            <v>0</v>
          </cell>
        </row>
        <row r="346">
          <cell r="X346">
            <v>45444</v>
          </cell>
          <cell r="Y346">
            <v>26.2803145577563</v>
          </cell>
          <cell r="Z346">
            <v>0</v>
          </cell>
          <cell r="AA346">
            <v>26.2803145577563</v>
          </cell>
        </row>
        <row r="347">
          <cell r="P347">
            <v>45474</v>
          </cell>
          <cell r="Q347">
            <v>-0.55</v>
          </cell>
          <cell r="R347">
            <v>3.485</v>
          </cell>
          <cell r="S347">
            <v>4.14568918756645</v>
          </cell>
          <cell r="T347">
            <v>3.485</v>
          </cell>
          <cell r="U347">
            <v>4.14568918756645</v>
          </cell>
          <cell r="V347">
            <v>0</v>
          </cell>
        </row>
        <row r="347">
          <cell r="X347">
            <v>45474</v>
          </cell>
          <cell r="Y347">
            <v>26.2803145577563</v>
          </cell>
          <cell r="Z347">
            <v>0</v>
          </cell>
          <cell r="AA347">
            <v>26.2803145577563</v>
          </cell>
        </row>
        <row r="348">
          <cell r="P348">
            <v>45505</v>
          </cell>
          <cell r="Q348">
            <v>-0.55</v>
          </cell>
          <cell r="R348">
            <v>3.485</v>
          </cell>
          <cell r="S348">
            <v>4.14144903107832</v>
          </cell>
          <cell r="T348">
            <v>3.485</v>
          </cell>
          <cell r="U348">
            <v>4.14144903107832</v>
          </cell>
          <cell r="V348">
            <v>0</v>
          </cell>
        </row>
        <row r="348">
          <cell r="X348">
            <v>45505</v>
          </cell>
          <cell r="Y348">
            <v>26.2803145577563</v>
          </cell>
          <cell r="Z348">
            <v>0</v>
          </cell>
          <cell r="AA348">
            <v>26.2803145577563</v>
          </cell>
        </row>
        <row r="349">
          <cell r="P349">
            <v>45536</v>
          </cell>
          <cell r="Q349">
            <v>-0.55</v>
          </cell>
          <cell r="R349">
            <v>3.485</v>
          </cell>
          <cell r="S349">
            <v>4.1372035758324</v>
          </cell>
          <cell r="T349">
            <v>3.485</v>
          </cell>
          <cell r="U349">
            <v>4.1372035758324</v>
          </cell>
          <cell r="V349">
            <v>0</v>
          </cell>
        </row>
        <row r="349">
          <cell r="X349">
            <v>45536</v>
          </cell>
          <cell r="Y349">
            <v>26.2803145577563</v>
          </cell>
          <cell r="Z349">
            <v>0</v>
          </cell>
          <cell r="AA349">
            <v>26.2803145577563</v>
          </cell>
        </row>
        <row r="350">
          <cell r="P350">
            <v>45566</v>
          </cell>
          <cell r="Q350">
            <v>-0.55</v>
          </cell>
          <cell r="R350">
            <v>3.485</v>
          </cell>
          <cell r="S350">
            <v>4.1330900492274</v>
          </cell>
          <cell r="T350">
            <v>3.485</v>
          </cell>
          <cell r="U350">
            <v>4.1330900492274</v>
          </cell>
          <cell r="V350">
            <v>0</v>
          </cell>
        </row>
        <row r="350">
          <cell r="X350">
            <v>45566</v>
          </cell>
          <cell r="Y350">
            <v>26.2803145577563</v>
          </cell>
          <cell r="Z350">
            <v>0</v>
          </cell>
          <cell r="AA350">
            <v>26.2803145577563</v>
          </cell>
        </row>
        <row r="351">
          <cell r="P351">
            <v>45597</v>
          </cell>
          <cell r="Q351">
            <v>-0.55</v>
          </cell>
          <cell r="R351">
            <v>3.485</v>
          </cell>
          <cell r="S351">
            <v>4.12883424054135</v>
          </cell>
          <cell r="T351">
            <v>3.485</v>
          </cell>
          <cell r="U351">
            <v>4.12883424054135</v>
          </cell>
          <cell r="V351">
            <v>0</v>
          </cell>
        </row>
        <row r="351">
          <cell r="X351">
            <v>45597</v>
          </cell>
          <cell r="Y351">
            <v>26.2803145577563</v>
          </cell>
          <cell r="Z351">
            <v>0</v>
          </cell>
          <cell r="AA351">
            <v>26.2803145577563</v>
          </cell>
        </row>
        <row r="352">
          <cell r="P352">
            <v>45627</v>
          </cell>
          <cell r="Q352">
            <v>-0.55</v>
          </cell>
          <cell r="R352">
            <v>3.485</v>
          </cell>
          <cell r="S352">
            <v>4.12471074143112</v>
          </cell>
          <cell r="T352">
            <v>3.485</v>
          </cell>
          <cell r="U352">
            <v>4.12471074143112</v>
          </cell>
          <cell r="V352">
            <v>0</v>
          </cell>
        </row>
        <row r="352">
          <cell r="X352">
            <v>45627</v>
          </cell>
          <cell r="Y352">
            <v>26.2803145577563</v>
          </cell>
          <cell r="Z352">
            <v>0</v>
          </cell>
          <cell r="AA352">
            <v>26.2803145577563</v>
          </cell>
        </row>
        <row r="353">
          <cell r="P353">
            <v>45658</v>
          </cell>
          <cell r="Q353">
            <v>-0.55</v>
          </cell>
          <cell r="R353">
            <v>3.485</v>
          </cell>
          <cell r="S353">
            <v>4.12044467636218</v>
          </cell>
          <cell r="T353">
            <v>3.485</v>
          </cell>
          <cell r="U353">
            <v>4.12044467636218</v>
          </cell>
          <cell r="V353">
            <v>0</v>
          </cell>
        </row>
        <row r="353">
          <cell r="X353">
            <v>45658</v>
          </cell>
          <cell r="Y353">
            <v>26.2803145577563</v>
          </cell>
          <cell r="Z353">
            <v>0</v>
          </cell>
          <cell r="AA353">
            <v>26.2803145577563</v>
          </cell>
        </row>
        <row r="354">
          <cell r="P354">
            <v>45689</v>
          </cell>
          <cell r="Q354">
            <v>-0.55</v>
          </cell>
          <cell r="R354">
            <v>3.485</v>
          </cell>
          <cell r="S354">
            <v>4.11617343625992</v>
          </cell>
          <cell r="T354">
            <v>3.485</v>
          </cell>
          <cell r="U354">
            <v>4.11617343625992</v>
          </cell>
          <cell r="V354">
            <v>0</v>
          </cell>
        </row>
        <row r="354">
          <cell r="X354">
            <v>45689</v>
          </cell>
          <cell r="Y354">
            <v>26.2803145577563</v>
          </cell>
          <cell r="Z354">
            <v>0</v>
          </cell>
          <cell r="AA354">
            <v>26.2803145577563</v>
          </cell>
        </row>
        <row r="355">
          <cell r="P355">
            <v>45717</v>
          </cell>
          <cell r="Q355">
            <v>-0.55</v>
          </cell>
          <cell r="R355">
            <v>3.485</v>
          </cell>
          <cell r="S355">
            <v>4.11231111479763</v>
          </cell>
          <cell r="T355">
            <v>3.485</v>
          </cell>
          <cell r="U355">
            <v>4.11231111479763</v>
          </cell>
          <cell r="V355">
            <v>0</v>
          </cell>
        </row>
        <row r="355">
          <cell r="X355">
            <v>45717</v>
          </cell>
          <cell r="Y355">
            <v>26.2803145577563</v>
          </cell>
          <cell r="Z355">
            <v>0</v>
          </cell>
          <cell r="AA355">
            <v>26.2803145577563</v>
          </cell>
        </row>
        <row r="356">
          <cell r="P356">
            <v>45748</v>
          </cell>
          <cell r="Q356">
            <v>-0.55</v>
          </cell>
          <cell r="R356">
            <v>3.485</v>
          </cell>
          <cell r="S356">
            <v>4.10803009479214</v>
          </cell>
          <cell r="T356">
            <v>3.485</v>
          </cell>
          <cell r="U356">
            <v>4.10803009479214</v>
          </cell>
          <cell r="V356">
            <v>0</v>
          </cell>
        </row>
        <row r="356">
          <cell r="X356">
            <v>45748</v>
          </cell>
          <cell r="Y356">
            <v>26.2803145577563</v>
          </cell>
          <cell r="Z356">
            <v>0</v>
          </cell>
          <cell r="AA356">
            <v>26.2803145577563</v>
          </cell>
        </row>
        <row r="357">
          <cell r="P357">
            <v>45778</v>
          </cell>
          <cell r="Q357">
            <v>-0.55</v>
          </cell>
          <cell r="R357">
            <v>3.485</v>
          </cell>
          <cell r="S357">
            <v>4.10388231403154</v>
          </cell>
          <cell r="T357">
            <v>3.485</v>
          </cell>
          <cell r="U357">
            <v>4.10388231403154</v>
          </cell>
          <cell r="V357">
            <v>0</v>
          </cell>
        </row>
        <row r="357">
          <cell r="X357">
            <v>45778</v>
          </cell>
          <cell r="Y357">
            <v>26.2803145577563</v>
          </cell>
          <cell r="Z357">
            <v>0</v>
          </cell>
          <cell r="AA357">
            <v>26.2803145577563</v>
          </cell>
        </row>
        <row r="358">
          <cell r="P358">
            <v>45809</v>
          </cell>
          <cell r="Q358">
            <v>-0.55</v>
          </cell>
          <cell r="R358">
            <v>3.485</v>
          </cell>
          <cell r="S358">
            <v>4.099591278265</v>
          </cell>
          <cell r="T358">
            <v>3.485</v>
          </cell>
          <cell r="U358">
            <v>4.099591278265</v>
          </cell>
          <cell r="V358">
            <v>0</v>
          </cell>
        </row>
        <row r="358">
          <cell r="X358">
            <v>45809</v>
          </cell>
          <cell r="Y358">
            <v>26.2803145577563</v>
          </cell>
          <cell r="Z358">
            <v>0</v>
          </cell>
          <cell r="AA358">
            <v>26.2803145577563</v>
          </cell>
        </row>
        <row r="359">
          <cell r="P359">
            <v>45839</v>
          </cell>
          <cell r="Q359">
            <v>-0.55</v>
          </cell>
          <cell r="R359">
            <v>3.485</v>
          </cell>
          <cell r="S359">
            <v>4.09543385192352</v>
          </cell>
          <cell r="T359">
            <v>3.485</v>
          </cell>
          <cell r="U359">
            <v>4.09543385192352</v>
          </cell>
          <cell r="V359">
            <v>0</v>
          </cell>
        </row>
        <row r="359">
          <cell r="X359">
            <v>45839</v>
          </cell>
          <cell r="Y359">
            <v>26.2803145577563</v>
          </cell>
          <cell r="Z359">
            <v>0</v>
          </cell>
          <cell r="AA359">
            <v>26.2803145577563</v>
          </cell>
        </row>
        <row r="360">
          <cell r="P360">
            <v>45870</v>
          </cell>
          <cell r="Q360">
            <v>-0.55</v>
          </cell>
          <cell r="R360">
            <v>3.485</v>
          </cell>
          <cell r="S360">
            <v>4.09113289773546</v>
          </cell>
          <cell r="T360">
            <v>3.485</v>
          </cell>
          <cell r="U360">
            <v>4.09113289773546</v>
          </cell>
          <cell r="V360">
            <v>0</v>
          </cell>
        </row>
        <row r="360">
          <cell r="X360">
            <v>45870</v>
          </cell>
          <cell r="Y360">
            <v>26.2803145577563</v>
          </cell>
          <cell r="Z360">
            <v>0</v>
          </cell>
          <cell r="AA360">
            <v>26.2803145577563</v>
          </cell>
        </row>
        <row r="361">
          <cell r="P361">
            <v>45901</v>
          </cell>
          <cell r="Q361">
            <v>-0.55</v>
          </cell>
          <cell r="R361">
            <v>3.485</v>
          </cell>
          <cell r="S361">
            <v>4.08682694036291</v>
          </cell>
          <cell r="T361">
            <v>3.485</v>
          </cell>
          <cell r="U361">
            <v>4.08682694036291</v>
          </cell>
          <cell r="V361">
            <v>0</v>
          </cell>
        </row>
        <row r="361">
          <cell r="X361">
            <v>45901</v>
          </cell>
          <cell r="Y361">
            <v>26.2803145577563</v>
          </cell>
          <cell r="Z361">
            <v>0</v>
          </cell>
          <cell r="AA361">
            <v>26.2803145577563</v>
          </cell>
        </row>
        <row r="362">
          <cell r="P362">
            <v>45931</v>
          </cell>
          <cell r="Q362">
            <v>-0.55</v>
          </cell>
          <cell r="R362">
            <v>3.485</v>
          </cell>
          <cell r="S362">
            <v>4.08265514484369</v>
          </cell>
          <cell r="T362">
            <v>3.485</v>
          </cell>
          <cell r="U362">
            <v>4.08265514484369</v>
          </cell>
          <cell r="V362">
            <v>0</v>
          </cell>
        </row>
        <row r="362">
          <cell r="X362">
            <v>45931</v>
          </cell>
          <cell r="Y362">
            <v>26.2803145577563</v>
          </cell>
          <cell r="Z362">
            <v>0</v>
          </cell>
          <cell r="AA362">
            <v>26.2803145577563</v>
          </cell>
        </row>
        <row r="363">
          <cell r="P363">
            <v>45962</v>
          </cell>
          <cell r="Q363">
            <v>-0.55</v>
          </cell>
          <cell r="R363">
            <v>3.485</v>
          </cell>
          <cell r="S363">
            <v>4.07833941598767</v>
          </cell>
          <cell r="T363">
            <v>3.485</v>
          </cell>
          <cell r="U363">
            <v>4.07833941598767</v>
          </cell>
          <cell r="V363">
            <v>0</v>
          </cell>
        </row>
        <row r="363">
          <cell r="X363">
            <v>45962</v>
          </cell>
          <cell r="Y363">
            <v>26.2803145577563</v>
          </cell>
          <cell r="Z363">
            <v>0</v>
          </cell>
          <cell r="AA363">
            <v>26.2803145577563</v>
          </cell>
        </row>
        <row r="364">
          <cell r="P364">
            <v>45992</v>
          </cell>
          <cell r="Q364">
            <v>-0.55</v>
          </cell>
          <cell r="R364">
            <v>3.485</v>
          </cell>
          <cell r="S364">
            <v>4.07415821136922</v>
          </cell>
          <cell r="T364">
            <v>3.485</v>
          </cell>
          <cell r="U364">
            <v>4.07415821136922</v>
          </cell>
          <cell r="V364">
            <v>0</v>
          </cell>
        </row>
        <row r="364">
          <cell r="X364">
            <v>45992</v>
          </cell>
          <cell r="Y364">
            <v>26.2803145577563</v>
          </cell>
          <cell r="Z364">
            <v>0</v>
          </cell>
          <cell r="AA364">
            <v>26.2803145577563</v>
          </cell>
        </row>
        <row r="365">
          <cell r="P365">
            <v>46023</v>
          </cell>
          <cell r="Q365">
            <v>-0.55</v>
          </cell>
          <cell r="R365">
            <v>3.485</v>
          </cell>
          <cell r="S365">
            <v>4.06983280853656</v>
          </cell>
          <cell r="T365">
            <v>3.485</v>
          </cell>
          <cell r="U365">
            <v>4.06983280853656</v>
          </cell>
          <cell r="V365">
            <v>0</v>
          </cell>
        </row>
        <row r="365">
          <cell r="X365">
            <v>46023</v>
          </cell>
          <cell r="Y365">
            <v>26.2803145577563</v>
          </cell>
          <cell r="Z365">
            <v>0</v>
          </cell>
          <cell r="AA365">
            <v>26.2803145577563</v>
          </cell>
        </row>
        <row r="366">
          <cell r="P366">
            <v>46054</v>
          </cell>
          <cell r="Q366">
            <v>-0.55</v>
          </cell>
          <cell r="R366">
            <v>3.485</v>
          </cell>
          <cell r="S366">
            <v>4.06550252680844</v>
          </cell>
          <cell r="T366">
            <v>3.485</v>
          </cell>
          <cell r="U366">
            <v>4.06550252680844</v>
          </cell>
          <cell r="V366">
            <v>0</v>
          </cell>
        </row>
        <row r="366">
          <cell r="X366">
            <v>46054</v>
          </cell>
          <cell r="Y366">
            <v>26.2803145577563</v>
          </cell>
          <cell r="Z366">
            <v>0</v>
          </cell>
          <cell r="AA366">
            <v>26.2803145577563</v>
          </cell>
        </row>
        <row r="367">
          <cell r="P367">
            <v>46082</v>
          </cell>
          <cell r="Q367">
            <v>-0.55</v>
          </cell>
          <cell r="R367">
            <v>3.485</v>
          </cell>
          <cell r="S367">
            <v>4.06158713205462</v>
          </cell>
          <cell r="T367">
            <v>3.485</v>
          </cell>
          <cell r="U367">
            <v>4.06158713205462</v>
          </cell>
          <cell r="V367">
            <v>0</v>
          </cell>
        </row>
        <row r="367">
          <cell r="X367">
            <v>46082</v>
          </cell>
          <cell r="Y367">
            <v>26.2803145577563</v>
          </cell>
          <cell r="Z367">
            <v>0</v>
          </cell>
          <cell r="AA367">
            <v>26.2803145577563</v>
          </cell>
        </row>
        <row r="368">
          <cell r="P368">
            <v>46113</v>
          </cell>
          <cell r="Q368">
            <v>-0.55</v>
          </cell>
          <cell r="R368">
            <v>3.485</v>
          </cell>
          <cell r="S368">
            <v>4.05724763433462</v>
          </cell>
          <cell r="T368">
            <v>3.485</v>
          </cell>
          <cell r="U368">
            <v>4.05724763433462</v>
          </cell>
          <cell r="V368">
            <v>0</v>
          </cell>
        </row>
        <row r="368">
          <cell r="X368">
            <v>46113</v>
          </cell>
          <cell r="Y368">
            <v>26.2803145577563</v>
          </cell>
          <cell r="Z368">
            <v>0</v>
          </cell>
          <cell r="AA368">
            <v>26.2803145577563</v>
          </cell>
        </row>
        <row r="369">
          <cell r="P369">
            <v>46143</v>
          </cell>
          <cell r="Q369">
            <v>-0.55</v>
          </cell>
          <cell r="R369">
            <v>3.485</v>
          </cell>
          <cell r="S369">
            <v>4.05304354449484</v>
          </cell>
          <cell r="T369">
            <v>3.485</v>
          </cell>
          <cell r="U369">
            <v>4.05304354449484</v>
          </cell>
          <cell r="V369">
            <v>0</v>
          </cell>
        </row>
        <row r="369">
          <cell r="X369">
            <v>46143</v>
          </cell>
          <cell r="Y369">
            <v>26.2803145577563</v>
          </cell>
          <cell r="Z369">
            <v>0</v>
          </cell>
          <cell r="AA369">
            <v>26.2803145577563</v>
          </cell>
        </row>
        <row r="370">
          <cell r="P370">
            <v>46174</v>
          </cell>
          <cell r="Q370">
            <v>-0.55</v>
          </cell>
          <cell r="R370">
            <v>3.485</v>
          </cell>
          <cell r="S370">
            <v>4.04869461443414</v>
          </cell>
          <cell r="T370">
            <v>3.485</v>
          </cell>
          <cell r="U370">
            <v>4.04869461443414</v>
          </cell>
          <cell r="V370">
            <v>0</v>
          </cell>
        </row>
        <row r="370">
          <cell r="X370">
            <v>46174</v>
          </cell>
          <cell r="Y370">
            <v>26.2803145577563</v>
          </cell>
          <cell r="Z370">
            <v>0</v>
          </cell>
          <cell r="AA370">
            <v>26.2803145577563</v>
          </cell>
        </row>
        <row r="371">
          <cell r="P371">
            <v>46204</v>
          </cell>
          <cell r="Q371">
            <v>-0.55</v>
          </cell>
          <cell r="R371">
            <v>3.485</v>
          </cell>
          <cell r="S371">
            <v>4.04448144379259</v>
          </cell>
          <cell r="T371">
            <v>3.485</v>
          </cell>
          <cell r="U371">
            <v>4.04448144379259</v>
          </cell>
          <cell r="V371">
            <v>0</v>
          </cell>
        </row>
        <row r="371">
          <cell r="X371">
            <v>46204</v>
          </cell>
          <cell r="Y371">
            <v>26.2803145577563</v>
          </cell>
          <cell r="Z371">
            <v>0</v>
          </cell>
          <cell r="AA371">
            <v>26.2803145577563</v>
          </cell>
        </row>
        <row r="372">
          <cell r="P372">
            <v>46235</v>
          </cell>
          <cell r="Q372">
            <v>-0.55</v>
          </cell>
          <cell r="R372">
            <v>3.485</v>
          </cell>
          <cell r="S372">
            <v>4.04012317909667</v>
          </cell>
          <cell r="T372">
            <v>3.485</v>
          </cell>
          <cell r="U372">
            <v>4.04012317909667</v>
          </cell>
          <cell r="V372">
            <v>0</v>
          </cell>
        </row>
        <row r="372">
          <cell r="X372">
            <v>46235</v>
          </cell>
          <cell r="Y372">
            <v>26.2803145577563</v>
          </cell>
          <cell r="Z372">
            <v>0</v>
          </cell>
          <cell r="AA372">
            <v>26.2803145577563</v>
          </cell>
        </row>
        <row r="373">
          <cell r="P373">
            <v>46266</v>
          </cell>
          <cell r="Q373">
            <v>-0.55</v>
          </cell>
          <cell r="R373">
            <v>3.485</v>
          </cell>
          <cell r="S373">
            <v>4.03576020803022</v>
          </cell>
          <cell r="T373">
            <v>3.485</v>
          </cell>
          <cell r="U373">
            <v>4.03576020803022</v>
          </cell>
          <cell r="V373">
            <v>0</v>
          </cell>
        </row>
        <row r="373">
          <cell r="X373">
            <v>46266</v>
          </cell>
          <cell r="Y373">
            <v>26.2803145577563</v>
          </cell>
          <cell r="Z373">
            <v>0</v>
          </cell>
          <cell r="AA373">
            <v>26.2803145577563</v>
          </cell>
        </row>
        <row r="374">
          <cell r="P374">
            <v>46296</v>
          </cell>
          <cell r="Q374">
            <v>-0.55</v>
          </cell>
          <cell r="R374">
            <v>3.485</v>
          </cell>
          <cell r="S374">
            <v>4.03153352066283</v>
          </cell>
          <cell r="T374">
            <v>3.485</v>
          </cell>
          <cell r="U374">
            <v>4.03153352066283</v>
          </cell>
          <cell r="V374">
            <v>0</v>
          </cell>
        </row>
        <row r="374">
          <cell r="X374">
            <v>46296</v>
          </cell>
          <cell r="Y374">
            <v>26.2803145577563</v>
          </cell>
          <cell r="Z374">
            <v>0</v>
          </cell>
          <cell r="AA374">
            <v>26.2803145577563</v>
          </cell>
        </row>
        <row r="375">
          <cell r="P375">
            <v>46327</v>
          </cell>
          <cell r="Q375">
            <v>-0.55</v>
          </cell>
          <cell r="R375">
            <v>3.485</v>
          </cell>
          <cell r="S375">
            <v>4.02716136242195</v>
          </cell>
          <cell r="T375">
            <v>3.485</v>
          </cell>
          <cell r="U375">
            <v>4.02716136242195</v>
          </cell>
          <cell r="V375">
            <v>0</v>
          </cell>
        </row>
        <row r="375">
          <cell r="X375">
            <v>46327</v>
          </cell>
          <cell r="Y375">
            <v>26.2803145577563</v>
          </cell>
          <cell r="Z375">
            <v>0</v>
          </cell>
          <cell r="AA375">
            <v>26.2803145577563</v>
          </cell>
        </row>
        <row r="376">
          <cell r="P376">
            <v>46357</v>
          </cell>
          <cell r="Q376">
            <v>-0.55</v>
          </cell>
          <cell r="R376">
            <v>3.485</v>
          </cell>
          <cell r="S376">
            <v>4.02292583156387</v>
          </cell>
          <cell r="T376">
            <v>3.485</v>
          </cell>
          <cell r="U376">
            <v>4.02292583156387</v>
          </cell>
          <cell r="V376">
            <v>0</v>
          </cell>
        </row>
        <row r="376">
          <cell r="X376">
            <v>46357</v>
          </cell>
          <cell r="Y376">
            <v>26.2803145577563</v>
          </cell>
          <cell r="Z376">
            <v>0</v>
          </cell>
          <cell r="AA376">
            <v>26.2803145577563</v>
          </cell>
        </row>
        <row r="377">
          <cell r="P377">
            <v>46388</v>
          </cell>
          <cell r="Q377">
            <v>-0.55</v>
          </cell>
          <cell r="R377">
            <v>3.485</v>
          </cell>
          <cell r="S377">
            <v>4.01854458396903</v>
          </cell>
          <cell r="T377">
            <v>3.485</v>
          </cell>
          <cell r="U377">
            <v>4.01854458396903</v>
          </cell>
          <cell r="V377">
            <v>0</v>
          </cell>
        </row>
        <row r="377">
          <cell r="X377">
            <v>46388</v>
          </cell>
          <cell r="Y377">
            <v>26.2803145577563</v>
          </cell>
          <cell r="Z377">
            <v>0</v>
          </cell>
          <cell r="AA377">
            <v>26.2803145577563</v>
          </cell>
        </row>
        <row r="378">
          <cell r="P378">
            <v>46419</v>
          </cell>
          <cell r="Q378">
            <v>-0.55</v>
          </cell>
          <cell r="R378">
            <v>3.485</v>
          </cell>
          <cell r="S378">
            <v>4.01415875469697</v>
          </cell>
          <cell r="T378">
            <v>3.485</v>
          </cell>
          <cell r="U378">
            <v>4.01415875469697</v>
          </cell>
          <cell r="V378">
            <v>0</v>
          </cell>
        </row>
        <row r="378">
          <cell r="X378">
            <v>46419</v>
          </cell>
          <cell r="Y378">
            <v>26.2803145577563</v>
          </cell>
          <cell r="Z378">
            <v>0</v>
          </cell>
          <cell r="AA378">
            <v>26.2803145577563</v>
          </cell>
        </row>
        <row r="379">
          <cell r="P379">
            <v>46447</v>
          </cell>
          <cell r="Q379">
            <v>-0.55</v>
          </cell>
          <cell r="R379">
            <v>3.485</v>
          </cell>
          <cell r="S379">
            <v>4.01019344349706</v>
          </cell>
          <cell r="T379">
            <v>3.485</v>
          </cell>
          <cell r="U379">
            <v>4.01019344349706</v>
          </cell>
          <cell r="V379">
            <v>0</v>
          </cell>
        </row>
        <row r="379">
          <cell r="X379">
            <v>46447</v>
          </cell>
          <cell r="Y379">
            <v>26.2803145577563</v>
          </cell>
          <cell r="Z379">
            <v>0</v>
          </cell>
          <cell r="AA379">
            <v>26.2803145577563</v>
          </cell>
        </row>
        <row r="380">
          <cell r="P380">
            <v>46478</v>
          </cell>
          <cell r="Q380">
            <v>-0.55</v>
          </cell>
          <cell r="R380">
            <v>3.485</v>
          </cell>
          <cell r="S380">
            <v>4.0057989641065</v>
          </cell>
          <cell r="T380">
            <v>3.485</v>
          </cell>
          <cell r="U380">
            <v>4.0057989641065</v>
          </cell>
          <cell r="V380">
            <v>0</v>
          </cell>
        </row>
        <row r="380">
          <cell r="X380">
            <v>46478</v>
          </cell>
          <cell r="Y380">
            <v>26.2803145577563</v>
          </cell>
          <cell r="Z380">
            <v>0</v>
          </cell>
          <cell r="AA380">
            <v>26.2803145577563</v>
          </cell>
        </row>
        <row r="381">
          <cell r="P381">
            <v>46508</v>
          </cell>
          <cell r="Q381">
            <v>-0.55</v>
          </cell>
          <cell r="R381">
            <v>3.485</v>
          </cell>
          <cell r="S381">
            <v>4.00154194938392</v>
          </cell>
          <cell r="T381">
            <v>3.485</v>
          </cell>
          <cell r="U381">
            <v>4.00154194938392</v>
          </cell>
          <cell r="V381">
            <v>0</v>
          </cell>
        </row>
        <row r="381">
          <cell r="X381">
            <v>46508</v>
          </cell>
          <cell r="Y381">
            <v>26.2803145577563</v>
          </cell>
          <cell r="Z381">
            <v>0</v>
          </cell>
          <cell r="AA381">
            <v>26.2803145577563</v>
          </cell>
        </row>
        <row r="382">
          <cell r="P382">
            <v>46539</v>
          </cell>
          <cell r="Q382">
            <v>-0.55</v>
          </cell>
          <cell r="R382">
            <v>3.485</v>
          </cell>
          <cell r="S382">
            <v>3.99713862296539</v>
          </cell>
          <cell r="T382">
            <v>3.485</v>
          </cell>
          <cell r="U382">
            <v>3.99713862296539</v>
          </cell>
          <cell r="V382">
            <v>0</v>
          </cell>
        </row>
        <row r="382">
          <cell r="X382">
            <v>46539</v>
          </cell>
          <cell r="Y382">
            <v>26.2803145577563</v>
          </cell>
          <cell r="Z382">
            <v>0</v>
          </cell>
          <cell r="AA382">
            <v>26.2803145577563</v>
          </cell>
        </row>
        <row r="383">
          <cell r="P383">
            <v>46569</v>
          </cell>
          <cell r="Q383">
            <v>-0.55</v>
          </cell>
          <cell r="R383">
            <v>3.485</v>
          </cell>
          <cell r="S383">
            <v>3.992873093994</v>
          </cell>
          <cell r="T383">
            <v>3.485</v>
          </cell>
          <cell r="U383">
            <v>3.992873093994</v>
          </cell>
          <cell r="V383">
            <v>0</v>
          </cell>
        </row>
        <row r="383">
          <cell r="X383">
            <v>46569</v>
          </cell>
          <cell r="Y383">
            <v>26.2803145577563</v>
          </cell>
          <cell r="Z383">
            <v>0</v>
          </cell>
          <cell r="AA383">
            <v>26.2803145577563</v>
          </cell>
        </row>
        <row r="384">
          <cell r="P384">
            <v>46600</v>
          </cell>
          <cell r="Q384">
            <v>-0.55</v>
          </cell>
          <cell r="R384">
            <v>3.485</v>
          </cell>
          <cell r="S384">
            <v>3.98846101849691</v>
          </cell>
          <cell r="T384">
            <v>3.485</v>
          </cell>
          <cell r="U384">
            <v>3.98846101849691</v>
          </cell>
          <cell r="V384">
            <v>0</v>
          </cell>
        </row>
        <row r="384">
          <cell r="X384">
            <v>46600</v>
          </cell>
          <cell r="Y384">
            <v>26.2803145577563</v>
          </cell>
          <cell r="Z384">
            <v>0</v>
          </cell>
          <cell r="AA384">
            <v>26.2803145577563</v>
          </cell>
        </row>
        <row r="385">
          <cell r="P385">
            <v>46631</v>
          </cell>
          <cell r="Q385">
            <v>-0.55</v>
          </cell>
          <cell r="R385">
            <v>3.485</v>
          </cell>
          <cell r="S385">
            <v>3.9840445342936</v>
          </cell>
          <cell r="T385">
            <v>3.485</v>
          </cell>
          <cell r="U385">
            <v>3.9840445342936</v>
          </cell>
          <cell r="V385">
            <v>0</v>
          </cell>
        </row>
        <row r="385">
          <cell r="X385">
            <v>46631</v>
          </cell>
          <cell r="Y385">
            <v>26.2803145577563</v>
          </cell>
          <cell r="Z385">
            <v>0</v>
          </cell>
          <cell r="AA385">
            <v>26.2803145577563</v>
          </cell>
        </row>
        <row r="386">
          <cell r="P386">
            <v>46661</v>
          </cell>
          <cell r="Q386">
            <v>-0.55</v>
          </cell>
          <cell r="R386">
            <v>3.485</v>
          </cell>
          <cell r="S386">
            <v>3.97976634348082</v>
          </cell>
          <cell r="T386">
            <v>3.485</v>
          </cell>
          <cell r="U386">
            <v>3.97976634348082</v>
          </cell>
          <cell r="V386">
            <v>0</v>
          </cell>
        </row>
        <row r="386">
          <cell r="X386">
            <v>46661</v>
          </cell>
          <cell r="Y386">
            <v>26.2803145577563</v>
          </cell>
          <cell r="Z386">
            <v>0</v>
          </cell>
          <cell r="AA386">
            <v>26.2803145577563</v>
          </cell>
        </row>
        <row r="387">
          <cell r="P387">
            <v>46692</v>
          </cell>
          <cell r="Q387">
            <v>-0.55</v>
          </cell>
          <cell r="R387">
            <v>3.485</v>
          </cell>
          <cell r="S387">
            <v>3.97534125798037</v>
          </cell>
          <cell r="T387">
            <v>3.485</v>
          </cell>
          <cell r="U387">
            <v>3.97534125798037</v>
          </cell>
          <cell r="V387">
            <v>0</v>
          </cell>
        </row>
        <row r="387">
          <cell r="X387">
            <v>46692</v>
          </cell>
          <cell r="Y387">
            <v>26.2803145577563</v>
          </cell>
          <cell r="Z387">
            <v>0</v>
          </cell>
          <cell r="AA387">
            <v>26.2803145577563</v>
          </cell>
        </row>
        <row r="388">
          <cell r="P388">
            <v>46722</v>
          </cell>
          <cell r="Q388">
            <v>-0.55</v>
          </cell>
          <cell r="R388">
            <v>3.485</v>
          </cell>
          <cell r="S388">
            <v>3.97105479075609</v>
          </cell>
          <cell r="T388">
            <v>3.485</v>
          </cell>
          <cell r="U388">
            <v>3.97105479075609</v>
          </cell>
          <cell r="V388">
            <v>0</v>
          </cell>
        </row>
        <row r="388">
          <cell r="X388">
            <v>46722</v>
          </cell>
          <cell r="Y388">
            <v>26.2803145577563</v>
          </cell>
          <cell r="Z388">
            <v>0</v>
          </cell>
          <cell r="AA388">
            <v>26.2803145577563</v>
          </cell>
        </row>
        <row r="389">
          <cell r="P389">
            <v>46753</v>
          </cell>
          <cell r="Q389">
            <v>-0.55</v>
          </cell>
          <cell r="R389">
            <v>3.485</v>
          </cell>
          <cell r="S389">
            <v>3.96662120196717</v>
          </cell>
          <cell r="T389">
            <v>3.485</v>
          </cell>
          <cell r="U389">
            <v>3.96662120196717</v>
          </cell>
          <cell r="V389">
            <v>0</v>
          </cell>
        </row>
        <row r="389">
          <cell r="X389">
            <v>46753</v>
          </cell>
          <cell r="Y389">
            <v>26.2803145577563</v>
          </cell>
          <cell r="Z389">
            <v>0</v>
          </cell>
          <cell r="AA389">
            <v>26.2803145577563</v>
          </cell>
        </row>
        <row r="390">
          <cell r="P390">
            <v>46784</v>
          </cell>
          <cell r="Q390">
            <v>-0.55</v>
          </cell>
          <cell r="R390">
            <v>3.485</v>
          </cell>
          <cell r="S390">
            <v>3.9621833294023</v>
          </cell>
          <cell r="T390">
            <v>3.485</v>
          </cell>
          <cell r="U390">
            <v>3.9621833294023</v>
          </cell>
          <cell r="V390">
            <v>0</v>
          </cell>
        </row>
        <row r="390">
          <cell r="X390">
            <v>46784</v>
          </cell>
          <cell r="Y390">
            <v>26.2803145577563</v>
          </cell>
          <cell r="Z390">
            <v>0</v>
          </cell>
          <cell r="AA390">
            <v>26.2803145577563</v>
          </cell>
        </row>
        <row r="391">
          <cell r="P391">
            <v>46813</v>
          </cell>
          <cell r="Q391">
            <v>-0.55</v>
          </cell>
          <cell r="R391">
            <v>3.485</v>
          </cell>
          <cell r="S391">
            <v>3.95802791549847</v>
          </cell>
          <cell r="T391">
            <v>3.485</v>
          </cell>
          <cell r="U391">
            <v>3.95802791549847</v>
          </cell>
          <cell r="V391">
            <v>0</v>
          </cell>
        </row>
        <row r="391">
          <cell r="X391">
            <v>46813</v>
          </cell>
          <cell r="Y391">
            <v>26.2803145577563</v>
          </cell>
          <cell r="Z391">
            <v>0</v>
          </cell>
          <cell r="AA391">
            <v>26.2803145577563</v>
          </cell>
        </row>
        <row r="392">
          <cell r="P392">
            <v>46844</v>
          </cell>
          <cell r="Q392">
            <v>-0.55</v>
          </cell>
          <cell r="R392">
            <v>3.485</v>
          </cell>
          <cell r="S392">
            <v>3.95358182369005</v>
          </cell>
          <cell r="T392">
            <v>3.485</v>
          </cell>
          <cell r="U392">
            <v>3.95358182369005</v>
          </cell>
          <cell r="V392">
            <v>0</v>
          </cell>
        </row>
        <row r="392">
          <cell r="X392">
            <v>46844</v>
          </cell>
          <cell r="Y392">
            <v>26.2803145577563</v>
          </cell>
          <cell r="Z392">
            <v>0</v>
          </cell>
          <cell r="AA392">
            <v>26.2803145577563</v>
          </cell>
        </row>
        <row r="393">
          <cell r="P393">
            <v>46874</v>
          </cell>
          <cell r="Q393">
            <v>-0.55</v>
          </cell>
          <cell r="R393">
            <v>3.485</v>
          </cell>
          <cell r="S393">
            <v>3.94927514598891</v>
          </cell>
          <cell r="T393">
            <v>3.485</v>
          </cell>
          <cell r="U393">
            <v>3.94927514598891</v>
          </cell>
          <cell r="V393">
            <v>0</v>
          </cell>
        </row>
        <row r="393">
          <cell r="X393">
            <v>46874</v>
          </cell>
          <cell r="Y393">
            <v>26.2803145577563</v>
          </cell>
          <cell r="Z393">
            <v>0</v>
          </cell>
          <cell r="AA393">
            <v>26.2803145577563</v>
          </cell>
        </row>
        <row r="394">
          <cell r="P394">
            <v>46905</v>
          </cell>
          <cell r="Q394">
            <v>-0.55</v>
          </cell>
          <cell r="R394">
            <v>3.485</v>
          </cell>
          <cell r="S394">
            <v>3.94482079520097</v>
          </cell>
          <cell r="T394">
            <v>3.485</v>
          </cell>
          <cell r="U394">
            <v>3.94482079520097</v>
          </cell>
          <cell r="V394">
            <v>0</v>
          </cell>
        </row>
        <row r="394">
          <cell r="X394">
            <v>46905</v>
          </cell>
          <cell r="Y394">
            <v>26.2803145577563</v>
          </cell>
          <cell r="Z394">
            <v>0</v>
          </cell>
          <cell r="AA394">
            <v>26.2803145577563</v>
          </cell>
        </row>
        <row r="395">
          <cell r="P395">
            <v>46935</v>
          </cell>
          <cell r="Q395">
            <v>-0.55</v>
          </cell>
          <cell r="R395">
            <v>3.485</v>
          </cell>
          <cell r="S395">
            <v>3.94050617238637</v>
          </cell>
          <cell r="T395">
            <v>3.485</v>
          </cell>
          <cell r="U395">
            <v>3.94050617238637</v>
          </cell>
          <cell r="V395">
            <v>0</v>
          </cell>
        </row>
        <row r="395">
          <cell r="X395">
            <v>46935</v>
          </cell>
          <cell r="Y395">
            <v>26.2803145577563</v>
          </cell>
          <cell r="Z395">
            <v>0</v>
          </cell>
          <cell r="AA395">
            <v>26.2803145577563</v>
          </cell>
        </row>
        <row r="396">
          <cell r="P396">
            <v>46966</v>
          </cell>
          <cell r="Q396">
            <v>-0.55</v>
          </cell>
          <cell r="R396">
            <v>3.485</v>
          </cell>
          <cell r="S396">
            <v>3.93604366067635</v>
          </cell>
          <cell r="T396">
            <v>3.485</v>
          </cell>
          <cell r="U396">
            <v>3.93604366067635</v>
          </cell>
          <cell r="V396">
            <v>0</v>
          </cell>
        </row>
        <row r="396">
          <cell r="X396">
            <v>46966</v>
          </cell>
          <cell r="Y396">
            <v>26.2803145577563</v>
          </cell>
          <cell r="Z396">
            <v>0</v>
          </cell>
          <cell r="AA396">
            <v>26.2803145577563</v>
          </cell>
        </row>
        <row r="397">
          <cell r="P397">
            <v>46997</v>
          </cell>
          <cell r="Q397">
            <v>-0.55</v>
          </cell>
          <cell r="R397">
            <v>3.485</v>
          </cell>
          <cell r="S397">
            <v>3.93157703919992</v>
          </cell>
          <cell r="T397">
            <v>3.485</v>
          </cell>
          <cell r="U397">
            <v>3.93157703919992</v>
          </cell>
          <cell r="V397">
            <v>0</v>
          </cell>
        </row>
        <row r="397">
          <cell r="X397">
            <v>46997</v>
          </cell>
          <cell r="Y397">
            <v>26.2803145577563</v>
          </cell>
          <cell r="Z397">
            <v>0</v>
          </cell>
          <cell r="AA397">
            <v>26.2803145577563</v>
          </cell>
        </row>
        <row r="398">
          <cell r="P398">
            <v>47027</v>
          </cell>
          <cell r="Q398">
            <v>-0.55</v>
          </cell>
          <cell r="R398">
            <v>3.485</v>
          </cell>
          <cell r="S398">
            <v>3.92725061309458</v>
          </cell>
          <cell r="T398">
            <v>3.485</v>
          </cell>
          <cell r="U398">
            <v>3.92725061309458</v>
          </cell>
          <cell r="V398">
            <v>0</v>
          </cell>
        </row>
        <row r="398">
          <cell r="X398">
            <v>47027</v>
          </cell>
          <cell r="Y398">
            <v>26.2803145577563</v>
          </cell>
          <cell r="Z398">
            <v>0</v>
          </cell>
          <cell r="AA398">
            <v>26.2803145577563</v>
          </cell>
        </row>
        <row r="399">
          <cell r="P399">
            <v>47058</v>
          </cell>
          <cell r="Q399">
            <v>-0.55</v>
          </cell>
          <cell r="R399">
            <v>3.485</v>
          </cell>
          <cell r="S399">
            <v>3.92277597860644</v>
          </cell>
          <cell r="T399">
            <v>3.485</v>
          </cell>
          <cell r="U399">
            <v>3.92277597860644</v>
          </cell>
          <cell r="V399">
            <v>0</v>
          </cell>
        </row>
        <row r="399">
          <cell r="X399">
            <v>47058</v>
          </cell>
          <cell r="Y399">
            <v>26.2803145577563</v>
          </cell>
          <cell r="Z399">
            <v>0</v>
          </cell>
          <cell r="AA399">
            <v>26.2803145577563</v>
          </cell>
        </row>
        <row r="400">
          <cell r="P400">
            <v>47088</v>
          </cell>
          <cell r="Q400">
            <v>-0.55</v>
          </cell>
          <cell r="R400">
            <v>3.485</v>
          </cell>
          <cell r="S400">
            <v>3.91844184543058</v>
          </cell>
          <cell r="T400">
            <v>3.485</v>
          </cell>
          <cell r="U400">
            <v>3.91844184543058</v>
          </cell>
          <cell r="V400">
            <v>0</v>
          </cell>
        </row>
        <row r="400">
          <cell r="X400">
            <v>47088</v>
          </cell>
          <cell r="Y400">
            <v>26.2803145577563</v>
          </cell>
          <cell r="Z400">
            <v>0</v>
          </cell>
          <cell r="AA400">
            <v>26.2803145577563</v>
          </cell>
        </row>
        <row r="401">
          <cell r="P401">
            <v>47119</v>
          </cell>
          <cell r="Q401">
            <v>-0.55</v>
          </cell>
          <cell r="R401">
            <v>3.485</v>
          </cell>
          <cell r="S401">
            <v>3.91395929600908</v>
          </cell>
          <cell r="T401">
            <v>3.485</v>
          </cell>
          <cell r="U401">
            <v>3.91395929600908</v>
          </cell>
          <cell r="V401">
            <v>0</v>
          </cell>
        </row>
        <row r="401">
          <cell r="X401">
            <v>47119</v>
          </cell>
          <cell r="Y401">
            <v>26.2803145577563</v>
          </cell>
          <cell r="Z401">
            <v>0</v>
          </cell>
          <cell r="AA401">
            <v>26.2803145577563</v>
          </cell>
        </row>
        <row r="402">
          <cell r="P402">
            <v>47150</v>
          </cell>
          <cell r="Q402">
            <v>-0.55</v>
          </cell>
          <cell r="R402">
            <v>3.485</v>
          </cell>
          <cell r="S402">
            <v>3.90947276182465</v>
          </cell>
          <cell r="T402">
            <v>3.485</v>
          </cell>
          <cell r="U402">
            <v>3.90947276182465</v>
          </cell>
          <cell r="V402">
            <v>0</v>
          </cell>
        </row>
        <row r="402">
          <cell r="X402">
            <v>47150</v>
          </cell>
          <cell r="Y402">
            <v>26.2803145577563</v>
          </cell>
          <cell r="Z402">
            <v>0</v>
          </cell>
          <cell r="AA402">
            <v>26.2803145577563</v>
          </cell>
        </row>
        <row r="403">
          <cell r="P403">
            <v>47178</v>
          </cell>
          <cell r="Q403">
            <v>-0.55</v>
          </cell>
          <cell r="R403">
            <v>3.485</v>
          </cell>
          <cell r="S403">
            <v>3.90541700444761</v>
          </cell>
          <cell r="T403">
            <v>3.485</v>
          </cell>
          <cell r="U403">
            <v>3.90541700444761</v>
          </cell>
          <cell r="V403">
            <v>0</v>
          </cell>
        </row>
        <row r="403">
          <cell r="X403">
            <v>47178</v>
          </cell>
          <cell r="Y403">
            <v>26.2803145577563</v>
          </cell>
          <cell r="Z403">
            <v>0</v>
          </cell>
          <cell r="AA403">
            <v>26.2803145577563</v>
          </cell>
        </row>
        <row r="404">
          <cell r="P404">
            <v>47209</v>
          </cell>
          <cell r="Q404">
            <v>-0.55</v>
          </cell>
          <cell r="R404">
            <v>3.485</v>
          </cell>
          <cell r="S404">
            <v>3.90092295633832</v>
          </cell>
          <cell r="T404">
            <v>3.485</v>
          </cell>
          <cell r="U404">
            <v>3.90092295633832</v>
          </cell>
          <cell r="V404">
            <v>0</v>
          </cell>
        </row>
        <row r="404">
          <cell r="X404">
            <v>47209</v>
          </cell>
          <cell r="Y404">
            <v>26.2803145577563</v>
          </cell>
          <cell r="Z404">
            <v>0</v>
          </cell>
          <cell r="AA404">
            <v>26.2803145577563</v>
          </cell>
        </row>
        <row r="405">
          <cell r="P405">
            <v>47239</v>
          </cell>
          <cell r="Q405">
            <v>-0.55</v>
          </cell>
          <cell r="R405">
            <v>3.485</v>
          </cell>
          <cell r="S405">
            <v>3.89657015324727</v>
          </cell>
          <cell r="T405">
            <v>3.485</v>
          </cell>
          <cell r="U405">
            <v>3.89657015324727</v>
          </cell>
          <cell r="V405">
            <v>0</v>
          </cell>
        </row>
        <row r="405">
          <cell r="X405">
            <v>47239</v>
          </cell>
          <cell r="Y405">
            <v>26.2803145577563</v>
          </cell>
          <cell r="Z405">
            <v>0</v>
          </cell>
          <cell r="AA405">
            <v>26.2803145577563</v>
          </cell>
        </row>
        <row r="406">
          <cell r="P406">
            <v>47270</v>
          </cell>
          <cell r="Q406">
            <v>-0.55</v>
          </cell>
          <cell r="R406">
            <v>3.485</v>
          </cell>
          <cell r="S406">
            <v>3.89206843295578</v>
          </cell>
          <cell r="T406">
            <v>3.485</v>
          </cell>
          <cell r="U406">
            <v>3.89206843295578</v>
          </cell>
          <cell r="V406">
            <v>0</v>
          </cell>
        </row>
        <row r="406">
          <cell r="X406">
            <v>47270</v>
          </cell>
          <cell r="Y406">
            <v>26.2803145577563</v>
          </cell>
          <cell r="Z406">
            <v>0</v>
          </cell>
          <cell r="AA406">
            <v>26.2803145577563</v>
          </cell>
        </row>
        <row r="407">
          <cell r="P407">
            <v>47300</v>
          </cell>
          <cell r="Q407">
            <v>-0.55</v>
          </cell>
          <cell r="R407">
            <v>3.485</v>
          </cell>
          <cell r="S407">
            <v>3.8877082526146</v>
          </cell>
          <cell r="T407">
            <v>3.485</v>
          </cell>
          <cell r="U407">
            <v>3.8877082526146</v>
          </cell>
          <cell r="V407">
            <v>0</v>
          </cell>
        </row>
        <row r="407">
          <cell r="X407">
            <v>47300</v>
          </cell>
          <cell r="Y407">
            <v>26.2803145577563</v>
          </cell>
          <cell r="Z407">
            <v>0</v>
          </cell>
          <cell r="AA407">
            <v>26.2803145577563</v>
          </cell>
        </row>
        <row r="408">
          <cell r="P408">
            <v>47331</v>
          </cell>
          <cell r="Q408">
            <v>-0.55</v>
          </cell>
          <cell r="R408">
            <v>3.485</v>
          </cell>
          <cell r="S408">
            <v>3.8831989581879</v>
          </cell>
          <cell r="T408">
            <v>3.485</v>
          </cell>
          <cell r="U408">
            <v>3.8831989581879</v>
          </cell>
          <cell r="V408">
            <v>0</v>
          </cell>
        </row>
        <row r="408">
          <cell r="X408">
            <v>47331</v>
          </cell>
          <cell r="Y408">
            <v>26.2803145577563</v>
          </cell>
          <cell r="Z408">
            <v>0</v>
          </cell>
          <cell r="AA408">
            <v>26.2803145577563</v>
          </cell>
        </row>
        <row r="409">
          <cell r="P409">
            <v>47362</v>
          </cell>
          <cell r="Q409">
            <v>-0.55</v>
          </cell>
          <cell r="R409">
            <v>3.485</v>
          </cell>
          <cell r="S409">
            <v>3.87868585218186</v>
          </cell>
          <cell r="T409">
            <v>3.485</v>
          </cell>
          <cell r="U409">
            <v>3.87868585218186</v>
          </cell>
          <cell r="V409">
            <v>0</v>
          </cell>
        </row>
        <row r="409">
          <cell r="X409">
            <v>47362</v>
          </cell>
          <cell r="Y409">
            <v>26.2803145577563</v>
          </cell>
          <cell r="Z409">
            <v>0</v>
          </cell>
          <cell r="AA409">
            <v>26.2803145577563</v>
          </cell>
        </row>
        <row r="410">
          <cell r="P410">
            <v>47392</v>
          </cell>
          <cell r="Q410">
            <v>-0.55</v>
          </cell>
          <cell r="R410">
            <v>3.485</v>
          </cell>
          <cell r="S410">
            <v>3.87431472495384</v>
          </cell>
          <cell r="T410">
            <v>3.485</v>
          </cell>
          <cell r="U410">
            <v>3.87431472495384</v>
          </cell>
          <cell r="V410">
            <v>0</v>
          </cell>
        </row>
        <row r="410">
          <cell r="X410">
            <v>47392</v>
          </cell>
          <cell r="Y410">
            <v>26.2803145577563</v>
          </cell>
          <cell r="Z410">
            <v>0</v>
          </cell>
          <cell r="AA410">
            <v>26.2803145577563</v>
          </cell>
        </row>
        <row r="411">
          <cell r="P411">
            <v>47423</v>
          </cell>
          <cell r="Q411">
            <v>-0.55</v>
          </cell>
          <cell r="R411">
            <v>3.485</v>
          </cell>
          <cell r="S411">
            <v>3.86979419266371</v>
          </cell>
          <cell r="T411">
            <v>3.485</v>
          </cell>
          <cell r="U411">
            <v>3.86979419266371</v>
          </cell>
          <cell r="V411">
            <v>0</v>
          </cell>
        </row>
        <row r="411">
          <cell r="X411">
            <v>47423</v>
          </cell>
          <cell r="Y411">
            <v>26.2803145577563</v>
          </cell>
          <cell r="Z411">
            <v>0</v>
          </cell>
          <cell r="AA411">
            <v>26.2803145577563</v>
          </cell>
        </row>
        <row r="412">
          <cell r="P412">
            <v>47453</v>
          </cell>
          <cell r="Q412">
            <v>-0.55</v>
          </cell>
          <cell r="R412">
            <v>3.485</v>
          </cell>
          <cell r="S412">
            <v>3.86541592613439</v>
          </cell>
          <cell r="T412">
            <v>3.485</v>
          </cell>
          <cell r="U412">
            <v>3.86541592613439</v>
          </cell>
          <cell r="V412">
            <v>0</v>
          </cell>
        </row>
        <row r="412">
          <cell r="X412">
            <v>47453</v>
          </cell>
          <cell r="Y412">
            <v>26.2803145577563</v>
          </cell>
          <cell r="Z412">
            <v>0</v>
          </cell>
          <cell r="AA412">
            <v>26.2803145577563</v>
          </cell>
        </row>
        <row r="413">
          <cell r="P413">
            <v>47484</v>
          </cell>
          <cell r="Q413">
            <v>-0.55</v>
          </cell>
          <cell r="R413">
            <v>3.485</v>
          </cell>
          <cell r="S413">
            <v>3.86088806556536</v>
          </cell>
          <cell r="T413">
            <v>3.485</v>
          </cell>
          <cell r="U413">
            <v>3.86088806556536</v>
          </cell>
          <cell r="V413">
            <v>0</v>
          </cell>
        </row>
        <row r="413">
          <cell r="X413">
            <v>47484</v>
          </cell>
          <cell r="Y413">
            <v>26.2803145577563</v>
          </cell>
          <cell r="Z413">
            <v>0</v>
          </cell>
          <cell r="AA413">
            <v>26.2803145577563</v>
          </cell>
        </row>
        <row r="414">
          <cell r="P414">
            <v>47515</v>
          </cell>
          <cell r="Q414">
            <v>-0.55</v>
          </cell>
          <cell r="R414">
            <v>3.485</v>
          </cell>
          <cell r="S414">
            <v>3.85635651834028</v>
          </cell>
          <cell r="T414">
            <v>3.485</v>
          </cell>
          <cell r="U414">
            <v>3.85635651834028</v>
          </cell>
          <cell r="V414">
            <v>0</v>
          </cell>
        </row>
        <row r="414">
          <cell r="X414">
            <v>47515</v>
          </cell>
          <cell r="Y414">
            <v>26.2803145577563</v>
          </cell>
          <cell r="Z414">
            <v>0</v>
          </cell>
          <cell r="AA414">
            <v>26.2803145577563</v>
          </cell>
        </row>
        <row r="415">
          <cell r="P415">
            <v>47543</v>
          </cell>
          <cell r="Q415">
            <v>-0.55</v>
          </cell>
          <cell r="R415">
            <v>3.485</v>
          </cell>
          <cell r="S415">
            <v>3.8522603602295</v>
          </cell>
          <cell r="T415">
            <v>3.485</v>
          </cell>
          <cell r="U415">
            <v>3.8522603602295</v>
          </cell>
          <cell r="V415">
            <v>0</v>
          </cell>
        </row>
        <row r="415">
          <cell r="X415">
            <v>47543</v>
          </cell>
          <cell r="Y415">
            <v>26.2803145577563</v>
          </cell>
          <cell r="Z415">
            <v>0</v>
          </cell>
          <cell r="AA415">
            <v>26.2803145577563</v>
          </cell>
        </row>
        <row r="416">
          <cell r="P416">
            <v>47574</v>
          </cell>
          <cell r="Q416">
            <v>-0.55</v>
          </cell>
          <cell r="R416">
            <v>3.485</v>
          </cell>
          <cell r="S416">
            <v>3.84791901349719</v>
          </cell>
          <cell r="T416">
            <v>3.485</v>
          </cell>
          <cell r="U416">
            <v>3.84791901349719</v>
          </cell>
          <cell r="V416">
            <v>0</v>
          </cell>
        </row>
        <row r="416">
          <cell r="X416">
            <v>47574</v>
          </cell>
          <cell r="Y416">
            <v>26.2803145577563</v>
          </cell>
          <cell r="Z416">
            <v>0</v>
          </cell>
          <cell r="AA416">
            <v>26.2803145577563</v>
          </cell>
        </row>
        <row r="417">
          <cell r="P417">
            <v>47604</v>
          </cell>
          <cell r="Q417">
            <v>-0.55</v>
          </cell>
          <cell r="R417">
            <v>3.485</v>
          </cell>
          <cell r="S417">
            <v>3.84358255929282</v>
          </cell>
          <cell r="T417">
            <v>3.485</v>
          </cell>
          <cell r="U417">
            <v>3.84358255929282</v>
          </cell>
          <cell r="V417">
            <v>0</v>
          </cell>
        </row>
        <row r="417">
          <cell r="X417">
            <v>47604</v>
          </cell>
          <cell r="Y417">
            <v>26.2803145577563</v>
          </cell>
          <cell r="Z417">
            <v>0</v>
          </cell>
          <cell r="AA417">
            <v>26.2803145577563</v>
          </cell>
        </row>
        <row r="418">
          <cell r="P418">
            <v>47635</v>
          </cell>
          <cell r="Q418">
            <v>-0.55</v>
          </cell>
          <cell r="R418">
            <v>3.485</v>
          </cell>
          <cell r="S418">
            <v>3.83925099210271</v>
          </cell>
          <cell r="T418">
            <v>3.485</v>
          </cell>
          <cell r="U418">
            <v>3.83925099210271</v>
          </cell>
          <cell r="V418">
            <v>0</v>
          </cell>
        </row>
        <row r="418">
          <cell r="X418">
            <v>47635</v>
          </cell>
          <cell r="Y418">
            <v>26.2803145577563</v>
          </cell>
          <cell r="Z418">
            <v>0</v>
          </cell>
          <cell r="AA418">
            <v>26.2803145577563</v>
          </cell>
        </row>
        <row r="419">
          <cell r="P419">
            <v>47665</v>
          </cell>
          <cell r="Q419">
            <v>-0.55</v>
          </cell>
          <cell r="R419">
            <v>3.485</v>
          </cell>
          <cell r="S419">
            <v>3.83492430641938</v>
          </cell>
          <cell r="T419">
            <v>3.485</v>
          </cell>
          <cell r="U419">
            <v>3.83492430641938</v>
          </cell>
          <cell r="V419">
            <v>0</v>
          </cell>
        </row>
        <row r="419">
          <cell r="X419">
            <v>47665</v>
          </cell>
          <cell r="Y419">
            <v>26.2803145577563</v>
          </cell>
          <cell r="Z419">
            <v>0</v>
          </cell>
          <cell r="AA419">
            <v>26.2803145577563</v>
          </cell>
        </row>
        <row r="420">
          <cell r="P420">
            <v>47696</v>
          </cell>
          <cell r="Q420">
            <v>-0.55</v>
          </cell>
          <cell r="R420">
            <v>3.485</v>
          </cell>
          <cell r="S420">
            <v>3.83060249674156</v>
          </cell>
          <cell r="T420">
            <v>3.485</v>
          </cell>
          <cell r="U420">
            <v>3.83060249674156</v>
          </cell>
          <cell r="V420">
            <v>0</v>
          </cell>
        </row>
        <row r="420">
          <cell r="X420">
            <v>47696</v>
          </cell>
          <cell r="Y420">
            <v>26.2803145577563</v>
          </cell>
          <cell r="Z420">
            <v>0</v>
          </cell>
          <cell r="AA420">
            <v>26.2803145577563</v>
          </cell>
        </row>
        <row r="421">
          <cell r="P421">
            <v>47727</v>
          </cell>
          <cell r="Q421">
            <v>-0.55</v>
          </cell>
          <cell r="R421">
            <v>3.485</v>
          </cell>
          <cell r="S421">
            <v>3.82628555757419</v>
          </cell>
          <cell r="T421">
            <v>3.485</v>
          </cell>
          <cell r="U421">
            <v>3.82628555757419</v>
          </cell>
          <cell r="V421">
            <v>0</v>
          </cell>
        </row>
        <row r="421">
          <cell r="X421">
            <v>47727</v>
          </cell>
          <cell r="Y421">
            <v>26.2803145577563</v>
          </cell>
          <cell r="Z421">
            <v>0</v>
          </cell>
          <cell r="AA421">
            <v>26.2803145577563</v>
          </cell>
        </row>
        <row r="422">
          <cell r="P422">
            <v>47757</v>
          </cell>
          <cell r="Q422">
            <v>-0.55</v>
          </cell>
          <cell r="R422">
            <v>3.485</v>
          </cell>
          <cell r="S422">
            <v>3.82197348342839</v>
          </cell>
          <cell r="T422">
            <v>3.485</v>
          </cell>
          <cell r="U422">
            <v>3.82197348342839</v>
          </cell>
          <cell r="V422">
            <v>0</v>
          </cell>
        </row>
        <row r="423">
          <cell r="P423">
            <v>47788</v>
          </cell>
          <cell r="Q423">
            <v>-0.55</v>
          </cell>
          <cell r="R423">
            <v>3.485</v>
          </cell>
          <cell r="S423">
            <v>3.81766626882147</v>
          </cell>
          <cell r="T423">
            <v>3.485</v>
          </cell>
          <cell r="U423">
            <v>3.81766626882147</v>
          </cell>
          <cell r="V423">
            <v>0</v>
          </cell>
        </row>
        <row r="424">
          <cell r="P424">
            <v>47818</v>
          </cell>
          <cell r="Q424">
            <v>-0.55</v>
          </cell>
          <cell r="R424">
            <v>3.485</v>
          </cell>
          <cell r="S424">
            <v>3.81336390827692</v>
          </cell>
          <cell r="T424">
            <v>3.485</v>
          </cell>
          <cell r="U424">
            <v>3.81336390827692</v>
          </cell>
          <cell r="V424">
            <v>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1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2.v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vmlDrawing" Target="../drawings/vmlDrawing3.v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comments" Target="../comments9.xml"/><Relationship Id="rId2" Type="http://schemas.openxmlformats.org/officeDocument/2006/relationships/vmlDrawing" Target="../drawings/vmlDrawing4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7.9921875" defaultRowHeight="12.75" customHeight="true" zeroHeight="false" outlineLevelRow="0" outlineLevelCol="1"/>
  <cols>
    <col collapsed="false" customWidth="true" hidden="false" outlineLevel="0" max="1" min="1" style="1" width="8.14"/>
    <col collapsed="false" customWidth="true" hidden="false" outlineLevel="0" max="2" min="2" style="1" width="41.99"/>
    <col collapsed="false" customWidth="true" hidden="false" outlineLevel="0" max="3" min="3" style="1" width="3.56"/>
    <col collapsed="false" customWidth="true" hidden="false" outlineLevel="0" max="10" min="4" style="1" width="11.56"/>
    <col collapsed="false" customWidth="true" hidden="true" outlineLevel="1" max="11" min="11" style="1" width="20.13"/>
    <col collapsed="false" customWidth="true" hidden="true" outlineLevel="1" max="25" min="12" style="1" width="10.41"/>
    <col collapsed="false" customWidth="false" hidden="true" outlineLevel="1" max="26" min="26" style="1" width="7.99"/>
    <col collapsed="false" customWidth="true" hidden="false" outlineLevel="0" max="27" min="27" style="2" width="15.13"/>
    <col collapsed="false" customWidth="true" hidden="false" outlineLevel="0" max="28" min="28" style="3" width="4.41"/>
    <col collapsed="false" customWidth="false" hidden="false" outlineLevel="0" max="257" min="29" style="1" width="7.99"/>
  </cols>
  <sheetData>
    <row r="1" customFormat="false" ht="18.75" hidden="false" customHeight="false" outlineLevel="0" collapsed="false">
      <c r="A1" s="4" t="s">
        <v>0</v>
      </c>
      <c r="B1" s="5"/>
      <c r="C1" s="6"/>
      <c r="D1" s="6"/>
      <c r="E1" s="6"/>
      <c r="F1" s="7" t="s">
        <v>1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8"/>
      <c r="Z1" s="9"/>
      <c r="AA1" s="10"/>
      <c r="AB1" s="10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8.75" hidden="false" customHeight="false" outlineLevel="0" collapsed="false">
      <c r="A2" s="4"/>
      <c r="B2" s="5"/>
      <c r="C2" s="6"/>
      <c r="D2" s="6"/>
      <c r="E2" s="6"/>
      <c r="F2" s="7" t="s">
        <v>2</v>
      </c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8"/>
      <c r="Z2" s="9"/>
      <c r="AA2" s="10"/>
      <c r="AB2" s="10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</row>
    <row r="3" customFormat="false" ht="13.5" hidden="false" customHeight="false" outlineLevel="0" collapsed="false">
      <c r="A3" s="11"/>
      <c r="B3" s="12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4"/>
      <c r="Z3" s="15"/>
      <c r="AA3" s="10"/>
      <c r="AB3" s="10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  <c r="IW3" s="13"/>
    </row>
    <row r="4" customFormat="false" ht="19.5" hidden="false" customHeight="false" outlineLevel="0" collapsed="false">
      <c r="A4" s="6"/>
      <c r="B4" s="16" t="s">
        <v>3</v>
      </c>
      <c r="C4" s="17"/>
      <c r="D4" s="18" t="n">
        <f aca="false">+RAROC!$J$67/1000</f>
        <v>9.13440074354036</v>
      </c>
      <c r="E4" s="10"/>
      <c r="F4" s="16" t="s">
        <v>4</v>
      </c>
      <c r="G4" s="19"/>
      <c r="H4" s="20"/>
      <c r="I4" s="20"/>
      <c r="J4" s="21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8"/>
      <c r="Z4" s="9"/>
      <c r="AA4" s="10"/>
      <c r="AB4" s="10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</row>
    <row r="5" customFormat="false" ht="12.75" hidden="false" customHeight="false" outlineLevel="0" collapsed="false">
      <c r="A5" s="22"/>
      <c r="B5" s="23"/>
      <c r="C5" s="22"/>
      <c r="D5" s="22"/>
      <c r="E5" s="10"/>
      <c r="F5" s="24" t="s">
        <v>5</v>
      </c>
      <c r="G5" s="25"/>
      <c r="H5" s="26" t="n">
        <f aca="false">SUM('Common Assumpt'!$G$42:$G$43)</f>
        <v>11.4028007279002</v>
      </c>
      <c r="I5" s="27" t="s">
        <v>6</v>
      </c>
      <c r="J5" s="28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9"/>
      <c r="Z5" s="10"/>
      <c r="AA5" s="10"/>
      <c r="AB5" s="10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  <c r="IS5" s="23"/>
      <c r="IT5" s="23"/>
      <c r="IU5" s="23"/>
      <c r="IV5" s="23"/>
      <c r="IW5" s="23"/>
    </row>
    <row r="6" customFormat="false" ht="12.75" hidden="false" customHeight="false" outlineLevel="0" collapsed="false">
      <c r="A6" s="22"/>
      <c r="B6" s="23"/>
      <c r="C6" s="23"/>
      <c r="D6" s="23"/>
      <c r="E6" s="10"/>
      <c r="F6" s="30" t="s">
        <v>7</v>
      </c>
      <c r="G6" s="10"/>
      <c r="H6" s="31" t="n">
        <f aca="false">+'Common Assumpt'!$G$44</f>
        <v>0.0265196692497692</v>
      </c>
      <c r="I6" s="32" t="s">
        <v>8</v>
      </c>
      <c r="J6" s="3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9"/>
      <c r="Z6" s="10"/>
      <c r="AA6" s="10"/>
      <c r="AB6" s="10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  <c r="IN6" s="23"/>
      <c r="IO6" s="23"/>
      <c r="IP6" s="23"/>
      <c r="IQ6" s="23"/>
      <c r="IR6" s="23"/>
      <c r="IS6" s="23"/>
      <c r="IT6" s="23"/>
      <c r="IU6" s="23"/>
      <c r="IV6" s="23"/>
      <c r="IW6" s="23"/>
    </row>
    <row r="7" customFormat="false" ht="12.75" hidden="false" customHeight="false" outlineLevel="0" collapsed="false">
      <c r="A7" s="34"/>
      <c r="B7" s="34"/>
      <c r="C7" s="34"/>
      <c r="D7" s="34"/>
      <c r="E7" s="10"/>
      <c r="F7" s="35" t="s">
        <v>9</v>
      </c>
      <c r="G7" s="10"/>
      <c r="H7" s="36" t="n">
        <v>1</v>
      </c>
      <c r="I7" s="37" t="s">
        <v>6</v>
      </c>
      <c r="J7" s="38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9"/>
      <c r="Z7" s="10"/>
      <c r="AA7" s="10"/>
      <c r="AB7" s="10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  <c r="IT7" s="23"/>
      <c r="IU7" s="23"/>
      <c r="IV7" s="23"/>
      <c r="IW7" s="23"/>
    </row>
    <row r="8" customFormat="false" ht="12.75" hidden="false" customHeight="false" outlineLevel="0" collapsed="false">
      <c r="A8" s="34"/>
      <c r="B8" s="34"/>
      <c r="C8" s="34"/>
      <c r="D8" s="34"/>
      <c r="E8" s="10"/>
      <c r="F8" s="39" t="s">
        <v>10</v>
      </c>
      <c r="G8" s="40" t="s">
        <v>11</v>
      </c>
      <c r="H8" s="41" t="s">
        <v>12</v>
      </c>
      <c r="I8" s="41" t="s">
        <v>11</v>
      </c>
      <c r="J8" s="42" t="s">
        <v>12</v>
      </c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9"/>
      <c r="Z8" s="10"/>
      <c r="AA8" s="10"/>
      <c r="AB8" s="10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  <c r="IT8" s="23"/>
      <c r="IU8" s="23"/>
      <c r="IV8" s="23"/>
      <c r="IW8" s="23"/>
    </row>
    <row r="9" customFormat="false" ht="12.75" hidden="false" customHeight="false" outlineLevel="0" collapsed="false">
      <c r="A9" s="34"/>
      <c r="B9" s="34"/>
      <c r="C9" s="34"/>
      <c r="D9" s="34"/>
      <c r="E9" s="23"/>
      <c r="F9" s="43" t="s">
        <v>13</v>
      </c>
      <c r="G9" s="44" t="s">
        <v>14</v>
      </c>
      <c r="H9" s="45" t="s">
        <v>14</v>
      </c>
      <c r="I9" s="45" t="s">
        <v>15</v>
      </c>
      <c r="J9" s="46" t="s">
        <v>15</v>
      </c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9"/>
      <c r="Z9" s="10"/>
      <c r="AA9" s="10"/>
      <c r="AB9" s="10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  <c r="IR9" s="23"/>
      <c r="IS9" s="23"/>
      <c r="IT9" s="23"/>
      <c r="IU9" s="23"/>
      <c r="IV9" s="23"/>
      <c r="IW9" s="23"/>
    </row>
    <row r="10" customFormat="false" ht="12.75" hidden="false" customHeight="false" outlineLevel="0" collapsed="false">
      <c r="A10" s="34"/>
      <c r="B10" s="34"/>
      <c r="C10" s="34"/>
      <c r="D10" s="34"/>
      <c r="E10" s="23"/>
      <c r="F10" s="47" t="s">
        <v>16</v>
      </c>
      <c r="G10" s="48" t="n">
        <f aca="false">+AVERAGE(Elba!G15:K15)</f>
        <v>15.4</v>
      </c>
      <c r="H10" s="49" t="n">
        <f aca="false">SUM(SUMPRODUCT(Elba!$G$150:$K$150,Elba!$G$151:$K$151))/SUM(Elba!$G$151:$K$151)</f>
        <v>0.461244300830489</v>
      </c>
      <c r="I10" s="50" t="n">
        <v>0</v>
      </c>
      <c r="J10" s="51" t="s">
        <v>17</v>
      </c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0"/>
      <c r="AB10" s="10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3"/>
    </row>
    <row r="11" customFormat="false" ht="12.75" hidden="false" customHeight="false" outlineLevel="0" collapsed="false">
      <c r="A11" s="34"/>
      <c r="B11" s="34"/>
      <c r="C11" s="34"/>
      <c r="D11" s="34"/>
      <c r="E11" s="23"/>
      <c r="F11" s="52" t="s">
        <v>18</v>
      </c>
      <c r="G11" s="53" t="n">
        <f aca="false">+AVERAGE(Elba!G16:K16)</f>
        <v>3.6</v>
      </c>
      <c r="H11" s="54" t="n">
        <f aca="false">SUM(SUMPRODUCT(Elba!$G$153:$K$153,Elba!$G$154:$K$154))/SUM(Elba!$G$154:$K$154)</f>
        <v>0.521737800246122</v>
      </c>
      <c r="I11" s="55" t="n">
        <v>0</v>
      </c>
      <c r="J11" s="56" t="s">
        <v>17</v>
      </c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0"/>
      <c r="AB11" s="10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</row>
    <row r="12" customFormat="false" ht="13.5" hidden="false" customHeight="false" outlineLevel="0" collapsed="false">
      <c r="A12" s="34"/>
      <c r="B12" s="34"/>
      <c r="C12" s="34"/>
      <c r="D12" s="34"/>
      <c r="E12" s="23"/>
      <c r="F12" s="57" t="s">
        <v>19</v>
      </c>
      <c r="G12" s="58" t="n">
        <f aca="false">+SUM(G10:G11)</f>
        <v>19</v>
      </c>
      <c r="H12" s="59" t="n">
        <f aca="false">(H10*G10*ML+H11*G11*NB)/(G10*ML+G11*NB)</f>
        <v>0.477368329056184</v>
      </c>
      <c r="I12" s="60" t="n">
        <f aca="false">+SUM(I10:I11)</f>
        <v>0</v>
      </c>
      <c r="J12" s="61" t="s">
        <v>17</v>
      </c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0"/>
      <c r="AB12" s="10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  <c r="IV12" s="23"/>
      <c r="IW12" s="23"/>
    </row>
    <row r="13" customFormat="false" ht="12.75" hidden="false" customHeight="false" outlineLevel="0" collapsed="false">
      <c r="A13" s="34"/>
      <c r="B13" s="34"/>
      <c r="C13" s="34"/>
      <c r="D13" s="34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0"/>
      <c r="AB13" s="10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  <c r="IV13" s="23"/>
      <c r="IW13" s="23"/>
    </row>
    <row r="14" customFormat="false" ht="12.75" hidden="false" customHeight="false" outlineLevel="0" collapsed="false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0"/>
      <c r="AB14" s="10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  <c r="IV14" s="23"/>
      <c r="IW14" s="23"/>
    </row>
    <row r="15" customFormat="false" ht="12.75" hidden="false" customHeight="false" outlineLevel="0" collapsed="false">
      <c r="A15" s="62" t="s">
        <v>20</v>
      </c>
      <c r="B15" s="63"/>
      <c r="C15" s="63"/>
      <c r="D15" s="64"/>
      <c r="E15" s="65" t="n">
        <f aca="false">+F15-1</f>
        <v>2002</v>
      </c>
      <c r="F15" s="65" t="n">
        <f aca="false">+[1]CF!D8</f>
        <v>2003</v>
      </c>
      <c r="G15" s="65" t="n">
        <f aca="false">+[1]CF!E8</f>
        <v>2004</v>
      </c>
      <c r="H15" s="65" t="n">
        <f aca="false">+[1]CF!F8</f>
        <v>2005</v>
      </c>
      <c r="I15" s="65" t="n">
        <f aca="false">+[1]CF!G8</f>
        <v>2006</v>
      </c>
      <c r="J15" s="65" t="n">
        <f aca="false">+[1]CF!H8</f>
        <v>2007</v>
      </c>
      <c r="K15" s="65" t="n">
        <f aca="false">+[1]CF!I8</f>
        <v>2008</v>
      </c>
      <c r="L15" s="65" t="n">
        <f aca="false">+[1]CF!J8</f>
        <v>2009</v>
      </c>
      <c r="M15" s="65" t="n">
        <f aca="false">+[1]CF!K8</f>
        <v>2010</v>
      </c>
      <c r="N15" s="65" t="n">
        <f aca="false">+[1]CF!L8</f>
        <v>2011</v>
      </c>
      <c r="O15" s="65" t="n">
        <f aca="false">+[1]CF!M8</f>
        <v>2012</v>
      </c>
      <c r="P15" s="65" t="n">
        <f aca="false">+[1]CF!N8</f>
        <v>2013</v>
      </c>
      <c r="Q15" s="65" t="n">
        <f aca="false">+[1]CF!O8</f>
        <v>2014</v>
      </c>
      <c r="R15" s="65" t="n">
        <f aca="false">+[1]CF!P8</f>
        <v>2015</v>
      </c>
      <c r="S15" s="65" t="n">
        <f aca="false">+[1]CF!Q8</f>
        <v>2016</v>
      </c>
      <c r="T15" s="65" t="n">
        <f aca="false">+[1]CF!R8</f>
        <v>2017</v>
      </c>
      <c r="U15" s="65" t="n">
        <f aca="false">+[1]CF!S8</f>
        <v>2018</v>
      </c>
      <c r="V15" s="65" t="n">
        <f aca="false">+[1]CF!T8</f>
        <v>2019</v>
      </c>
      <c r="W15" s="65" t="n">
        <f aca="false">+[1]CF!U8</f>
        <v>2020</v>
      </c>
      <c r="X15" s="65" t="n">
        <f aca="false">+[1]CF!V8</f>
        <v>2021</v>
      </c>
      <c r="Y15" s="66" t="n">
        <f aca="false">+[1]CF!W8</f>
        <v>2022</v>
      </c>
      <c r="Z15" s="67"/>
      <c r="AA15" s="68" t="s">
        <v>21</v>
      </c>
      <c r="AB15" s="10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  <c r="IV15" s="23"/>
      <c r="IW15" s="23"/>
    </row>
    <row r="16" customFormat="false" ht="12.75" hidden="false" customHeight="false" outlineLevel="0" collapsed="false">
      <c r="A16" s="69" t="s">
        <v>22</v>
      </c>
      <c r="B16" s="10"/>
      <c r="C16" s="10"/>
      <c r="D16" s="10"/>
      <c r="E16" s="70" t="n">
        <v>4</v>
      </c>
      <c r="F16" s="70" t="n">
        <f aca="false">(Elba!H$5-Elba!G$5)*12</f>
        <v>12</v>
      </c>
      <c r="G16" s="70" t="n">
        <f aca="false">(Elba!I$5-Elba!H$5)*12</f>
        <v>12</v>
      </c>
      <c r="H16" s="70" t="n">
        <f aca="false">(Elba!J$5-Elba!I$5)*12</f>
        <v>12</v>
      </c>
      <c r="I16" s="70" t="n">
        <f aca="false">(Elba!K$5-Elba!J$5)*12</f>
        <v>12</v>
      </c>
      <c r="J16" s="70" t="n">
        <f aca="false">(Elba!L$5-Elba!K$5)*12</f>
        <v>12</v>
      </c>
      <c r="K16" s="70" t="n">
        <f aca="false">(Elba!M$5-Elba!L$5)*12</f>
        <v>12</v>
      </c>
      <c r="L16" s="70" t="n">
        <f aca="false">(Elba!N$5-Elba!M$5)*12</f>
        <v>12</v>
      </c>
      <c r="M16" s="70" t="n">
        <f aca="false">(Elba!O$5-Elba!N$5)*12</f>
        <v>12</v>
      </c>
      <c r="N16" s="70" t="n">
        <f aca="false">(Elba!P$5-Elba!O$5)*12</f>
        <v>12</v>
      </c>
      <c r="O16" s="70" t="n">
        <f aca="false">(Elba!Q$5-Elba!P$5)*12</f>
        <v>12</v>
      </c>
      <c r="P16" s="70" t="n">
        <f aca="false">(Elba!R$5-Elba!Q$5)*12</f>
        <v>12</v>
      </c>
      <c r="Q16" s="70" t="n">
        <f aca="false">(Elba!S$5-Elba!R$5)*12</f>
        <v>12</v>
      </c>
      <c r="R16" s="70" t="n">
        <f aca="false">(Elba!T$5-Elba!S$5)*12</f>
        <v>12</v>
      </c>
      <c r="S16" s="70" t="n">
        <f aca="false">(Elba!U$5-Elba!T$5)*12</f>
        <v>12</v>
      </c>
      <c r="T16" s="70" t="n">
        <f aca="false">(Elba!V$5-Elba!U$5)*12</f>
        <v>12</v>
      </c>
      <c r="U16" s="70" t="n">
        <f aca="false">(Elba!W$5-Elba!V$5)*12</f>
        <v>12</v>
      </c>
      <c r="V16" s="70" t="n">
        <v>8</v>
      </c>
      <c r="W16" s="70" t="n">
        <f aca="false">(Elba!Y$5-Elba!X$5)*12</f>
        <v>0</v>
      </c>
      <c r="X16" s="70" t="n">
        <f aca="false">(Elba!Z$5-Elba!Y$5)*12</f>
        <v>0</v>
      </c>
      <c r="Y16" s="71" t="n">
        <v>0</v>
      </c>
      <c r="Z16" s="72"/>
      <c r="AA16" s="73"/>
      <c r="AB16" s="10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  <c r="IV16" s="23"/>
      <c r="IW16" s="23"/>
    </row>
    <row r="17" customFormat="false" ht="12.75" hidden="false" customHeight="false" outlineLevel="0" collapsed="false">
      <c r="A17" s="69" t="s">
        <v>23</v>
      </c>
      <c r="B17" s="10"/>
      <c r="C17" s="10"/>
      <c r="D17" s="10"/>
      <c r="E17" s="74" t="n">
        <f aca="false">+E16/12</f>
        <v>0.333333333333333</v>
      </c>
      <c r="F17" s="74" t="n">
        <f aca="false">+F16/12+E17</f>
        <v>1.33333333333333</v>
      </c>
      <c r="G17" s="74" t="n">
        <f aca="false">+G16/12+F17</f>
        <v>2.33333333333333</v>
      </c>
      <c r="H17" s="74" t="n">
        <f aca="false">+H16/12+G17</f>
        <v>3.33333333333333</v>
      </c>
      <c r="I17" s="74" t="n">
        <f aca="false">+I16/12+H17</f>
        <v>4.33333333333333</v>
      </c>
      <c r="J17" s="74" t="n">
        <f aca="false">+J16/12+I17</f>
        <v>5.33333333333333</v>
      </c>
      <c r="K17" s="74" t="n">
        <f aca="false">+K16/12+J17</f>
        <v>6.33333333333333</v>
      </c>
      <c r="L17" s="74" t="n">
        <f aca="false">+L16/12+K17</f>
        <v>7.33333333333333</v>
      </c>
      <c r="M17" s="74" t="n">
        <f aca="false">+M16/12+L17</f>
        <v>8.33333333333333</v>
      </c>
      <c r="N17" s="74" t="n">
        <f aca="false">+N16/12+M17</f>
        <v>9.33333333333333</v>
      </c>
      <c r="O17" s="74" t="n">
        <f aca="false">+O16/12+N17</f>
        <v>10.3333333333333</v>
      </c>
      <c r="P17" s="74" t="n">
        <f aca="false">+P16/12+O17</f>
        <v>11.3333333333333</v>
      </c>
      <c r="Q17" s="74" t="n">
        <f aca="false">+Q16/12+P17</f>
        <v>12.3333333333333</v>
      </c>
      <c r="R17" s="74" t="n">
        <f aca="false">+R16/12+Q17</f>
        <v>13.3333333333333</v>
      </c>
      <c r="S17" s="74" t="n">
        <f aca="false">+S16/12+R17</f>
        <v>14.3333333333333</v>
      </c>
      <c r="T17" s="74" t="n">
        <f aca="false">+T16/12+S17</f>
        <v>15.3333333333333</v>
      </c>
      <c r="U17" s="74" t="n">
        <f aca="false">+U16/12+T17</f>
        <v>16.3333333333333</v>
      </c>
      <c r="V17" s="74" t="n">
        <f aca="false">+V16/12+U17</f>
        <v>17</v>
      </c>
      <c r="W17" s="74" t="n">
        <f aca="false">+W16/12+V17</f>
        <v>17</v>
      </c>
      <c r="X17" s="74" t="n">
        <f aca="false">+X16/12+W17</f>
        <v>17</v>
      </c>
      <c r="Y17" s="75" t="n">
        <f aca="false">+Y16/12+X17</f>
        <v>17</v>
      </c>
      <c r="Z17" s="72"/>
      <c r="AA17" s="73"/>
      <c r="AB17" s="10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  <c r="IU17" s="23"/>
      <c r="IV17" s="23"/>
      <c r="IW17" s="23"/>
    </row>
    <row r="18" customFormat="false" ht="12.75" hidden="false" customHeight="false" outlineLevel="0" collapsed="false">
      <c r="A18" s="76" t="s">
        <v>24</v>
      </c>
      <c r="B18" s="77"/>
      <c r="C18" s="77"/>
      <c r="D18" s="78"/>
      <c r="E18" s="79" t="n">
        <f aca="false">+Elba!G78*$E$17</f>
        <v>11.6052359811833</v>
      </c>
      <c r="F18" s="79" t="n">
        <f aca="false">Elba!G78*(1-$E$17)+Elba!H78*$E$17</f>
        <v>34.1330470034802</v>
      </c>
      <c r="G18" s="79" t="n">
        <f aca="false">Elba!H78*(1-$E$17)+Elba!I78*$E$17</f>
        <v>32.0850641832714</v>
      </c>
      <c r="H18" s="79" t="n">
        <f aca="false">Elba!I78*(1-$E$17)+Elba!J78*$E$17</f>
        <v>30.7197423031322</v>
      </c>
      <c r="I18" s="79" t="n">
        <f aca="false">Elba!J78*(1-$E$17)+Elba!K78*$E$17</f>
        <v>30.0370813630626</v>
      </c>
      <c r="J18" s="79" t="n">
        <f aca="false">Elba!K78*(1-$E$17)+Elba!L78*$E$17</f>
        <v>19.1145063219489</v>
      </c>
      <c r="K18" s="80" t="n">
        <f aca="false">Elba!L78*(1-$E$17)+Elba!M78*$E$17</f>
        <v>0</v>
      </c>
      <c r="L18" s="80" t="n">
        <f aca="false">Elba!M78*(1-$E$17)+Elba!N78*$E$17</f>
        <v>0</v>
      </c>
      <c r="M18" s="80" t="n">
        <f aca="false">Elba!N78*(1-$E$17)+Elba!O78*$E$17</f>
        <v>0</v>
      </c>
      <c r="N18" s="80" t="n">
        <f aca="false">Elba!O78*(1-$E$17)+Elba!P78*$E$17</f>
        <v>0</v>
      </c>
      <c r="O18" s="80" t="n">
        <f aca="false">Elba!P78*(1-$E$17)+Elba!Q78*$E$17</f>
        <v>0</v>
      </c>
      <c r="P18" s="80" t="n">
        <f aca="false">Elba!Q78*(1-$E$17)+Elba!R78*$E$17</f>
        <v>0</v>
      </c>
      <c r="Q18" s="80" t="n">
        <f aca="false">Elba!R78*(1-$E$17)+Elba!S78*$E$17</f>
        <v>0</v>
      </c>
      <c r="R18" s="80" t="n">
        <f aca="false">Elba!S78*(1-$E$17)+Elba!T78*$E$17</f>
        <v>0</v>
      </c>
      <c r="S18" s="80" t="n">
        <f aca="false">Elba!T78*(1-$E$17)+Elba!U78*$E$17</f>
        <v>0</v>
      </c>
      <c r="T18" s="80" t="n">
        <f aca="false">Elba!U78*(1-$E$17)+Elba!V78*$E$17</f>
        <v>0</v>
      </c>
      <c r="U18" s="80" t="n">
        <f aca="false">Elba!V78*(1-$E$17)+Elba!W78*$E$17</f>
        <v>0</v>
      </c>
      <c r="V18" s="80" t="n">
        <f aca="false">Elba!W78*(1-$E$17)+Elba!X78*$E$17</f>
        <v>0</v>
      </c>
      <c r="W18" s="80" t="n">
        <f aca="false">Elba!X78*(1-$E$17)+Elba!Y78*$E$17</f>
        <v>0</v>
      </c>
      <c r="X18" s="80" t="n">
        <f aca="false">Elba!Y78*(1-$E$17)+Elba!Z78*$E$17</f>
        <v>0</v>
      </c>
      <c r="Y18" s="81" t="n">
        <f aca="false">Elba!Z78*(1-$E$17)+Elba!AA78*$E$17</f>
        <v>0</v>
      </c>
      <c r="Z18" s="72"/>
      <c r="AA18" s="82" t="n">
        <f aca="false">+AVERAGE(K18:T18)</f>
        <v>0</v>
      </c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</row>
    <row r="19" customFormat="false" ht="12.75" hidden="false" customHeight="false" outlineLevel="0" collapsed="false">
      <c r="A19" s="83" t="s">
        <v>25</v>
      </c>
      <c r="B19" s="84"/>
      <c r="C19" s="84"/>
      <c r="D19" s="85"/>
      <c r="E19" s="86" t="n">
        <f aca="false">+Elba!G100*$E$17</f>
        <v>4.24494984086858</v>
      </c>
      <c r="F19" s="86" t="n">
        <f aca="false">+Elba!G100*(1-$E$17)+Elba!H100*$E$17</f>
        <v>12.7348495226057</v>
      </c>
      <c r="G19" s="86" t="n">
        <f aca="false">+Elba!H100*(1-$E$17)+Elba!I100*$E$17</f>
        <v>12.7348495226057</v>
      </c>
      <c r="H19" s="86" t="n">
        <f aca="false">+Elba!I100*(1-$E$17)+Elba!J100*$E$17</f>
        <v>11.6736120623886</v>
      </c>
      <c r="I19" s="86" t="n">
        <f aca="false">+Elba!J100*(1-$E$17)+Elba!K100*$E$17</f>
        <v>9.5511371419543</v>
      </c>
      <c r="J19" s="86" t="n">
        <f aca="false">+Elba!K100*(1-$E$17)+Elba!L100*$E$17</f>
        <v>6.36742476130287</v>
      </c>
      <c r="K19" s="87" t="n">
        <f aca="false">+Elba!L100*(1-$E$17)+Elba!M100*$E$17</f>
        <v>0</v>
      </c>
      <c r="L19" s="87" t="n">
        <f aca="false">+Elba!M100*(1-$E$17)+Elba!N100*$E$17</f>
        <v>0</v>
      </c>
      <c r="M19" s="87" t="n">
        <f aca="false">+Elba!N100*(1-$E$17)+Elba!O100*$E$17</f>
        <v>0</v>
      </c>
      <c r="N19" s="87" t="n">
        <f aca="false">+Elba!O100*(1-$E$17)+Elba!P100*$E$17</f>
        <v>0</v>
      </c>
      <c r="O19" s="87" t="n">
        <f aca="false">+Elba!P100*(1-$E$17)+Elba!Q100*$E$17</f>
        <v>0</v>
      </c>
      <c r="P19" s="87" t="n">
        <f aca="false">+Elba!Q100*(1-$E$17)+Elba!R100*$E$17</f>
        <v>0</v>
      </c>
      <c r="Q19" s="87" t="n">
        <f aca="false">+Elba!R100*(1-$E$17)+Elba!S100*$E$17</f>
        <v>0</v>
      </c>
      <c r="R19" s="87" t="n">
        <f aca="false">+Elba!S100*(1-$E$17)+Elba!T100*$E$17</f>
        <v>0</v>
      </c>
      <c r="S19" s="87" t="n">
        <f aca="false">+Elba!T100*(1-$E$17)+Elba!U100*$E$17</f>
        <v>0</v>
      </c>
      <c r="T19" s="87" t="n">
        <f aca="false">+Elba!U100*(1-$E$17)+Elba!V100*$E$17</f>
        <v>0</v>
      </c>
      <c r="U19" s="87" t="n">
        <f aca="false">+Elba!V100*(1-$E$17)+Elba!W100*$E$17</f>
        <v>0</v>
      </c>
      <c r="V19" s="87" t="n">
        <f aca="false">+Elba!W100*(1-$E$17)+Elba!X100*$E$17</f>
        <v>0</v>
      </c>
      <c r="W19" s="87" t="n">
        <f aca="false">+Elba!X100*(1-$E$17)+Elba!Y100*$E$17</f>
        <v>0</v>
      </c>
      <c r="X19" s="87" t="n">
        <f aca="false">+Elba!Y100*(1-$E$17)+Elba!Z100*$E$17</f>
        <v>0</v>
      </c>
      <c r="Y19" s="88" t="n">
        <f aca="false">+Elba!Z100*(1-$E$17)+Elba!AA100*$E$17</f>
        <v>0</v>
      </c>
      <c r="Z19" s="89"/>
      <c r="AA19" s="90" t="n">
        <f aca="false">+AVERAGE(K19:T19)</f>
        <v>0</v>
      </c>
      <c r="AB19" s="10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  <c r="CJ19" s="84"/>
      <c r="CK19" s="84"/>
      <c r="CL19" s="84"/>
      <c r="CM19" s="84"/>
      <c r="CN19" s="84"/>
      <c r="CO19" s="84"/>
      <c r="CP19" s="84"/>
      <c r="CQ19" s="84"/>
      <c r="CR19" s="84"/>
      <c r="CS19" s="84"/>
      <c r="CT19" s="84"/>
      <c r="CU19" s="84"/>
      <c r="CV19" s="84"/>
      <c r="CW19" s="84"/>
      <c r="CX19" s="84"/>
      <c r="CY19" s="84"/>
      <c r="CZ19" s="84"/>
      <c r="DA19" s="84"/>
      <c r="DB19" s="84"/>
      <c r="DC19" s="84"/>
      <c r="DD19" s="84"/>
      <c r="DE19" s="84"/>
      <c r="DF19" s="84"/>
      <c r="DG19" s="84"/>
      <c r="DH19" s="84"/>
      <c r="DI19" s="84"/>
      <c r="DJ19" s="84"/>
      <c r="DK19" s="84"/>
      <c r="DL19" s="84"/>
      <c r="DM19" s="84"/>
      <c r="DN19" s="84"/>
      <c r="DO19" s="84"/>
      <c r="DP19" s="84"/>
      <c r="DQ19" s="84"/>
      <c r="DR19" s="84"/>
      <c r="DS19" s="84"/>
      <c r="DT19" s="84"/>
      <c r="DU19" s="84"/>
      <c r="DV19" s="84"/>
      <c r="DW19" s="84"/>
      <c r="DX19" s="84"/>
      <c r="DY19" s="84"/>
      <c r="DZ19" s="84"/>
      <c r="EA19" s="84"/>
      <c r="EB19" s="84"/>
      <c r="EC19" s="84"/>
      <c r="ED19" s="84"/>
      <c r="EE19" s="84"/>
      <c r="EF19" s="84"/>
      <c r="EG19" s="84"/>
      <c r="EH19" s="84"/>
      <c r="EI19" s="84"/>
      <c r="EJ19" s="84"/>
      <c r="EK19" s="84"/>
      <c r="EL19" s="84"/>
      <c r="EM19" s="84"/>
      <c r="EN19" s="84"/>
      <c r="EO19" s="84"/>
      <c r="EP19" s="84"/>
      <c r="EQ19" s="84"/>
      <c r="ER19" s="84"/>
      <c r="ES19" s="84"/>
      <c r="ET19" s="84"/>
      <c r="EU19" s="84"/>
      <c r="EV19" s="84"/>
      <c r="EW19" s="84"/>
      <c r="EX19" s="84"/>
      <c r="EY19" s="84"/>
      <c r="EZ19" s="84"/>
      <c r="FA19" s="84"/>
      <c r="FB19" s="84"/>
      <c r="FC19" s="84"/>
      <c r="FD19" s="84"/>
      <c r="FE19" s="84"/>
      <c r="FF19" s="84"/>
      <c r="FG19" s="84"/>
      <c r="FH19" s="84"/>
      <c r="FI19" s="84"/>
      <c r="FJ19" s="84"/>
      <c r="FK19" s="84"/>
      <c r="FL19" s="84"/>
      <c r="FM19" s="84"/>
      <c r="FN19" s="84"/>
      <c r="FO19" s="84"/>
      <c r="FP19" s="84"/>
      <c r="FQ19" s="84"/>
      <c r="FR19" s="84"/>
      <c r="FS19" s="84"/>
      <c r="FT19" s="84"/>
      <c r="FU19" s="84"/>
      <c r="FV19" s="84"/>
      <c r="FW19" s="84"/>
      <c r="FX19" s="84"/>
      <c r="FY19" s="84"/>
      <c r="FZ19" s="84"/>
      <c r="GA19" s="84"/>
      <c r="GB19" s="84"/>
      <c r="GC19" s="84"/>
      <c r="GD19" s="84"/>
      <c r="GE19" s="84"/>
      <c r="GF19" s="84"/>
      <c r="GG19" s="84"/>
      <c r="GH19" s="84"/>
      <c r="GI19" s="84"/>
      <c r="GJ19" s="84"/>
      <c r="GK19" s="84"/>
      <c r="GL19" s="84"/>
      <c r="GM19" s="84"/>
      <c r="GN19" s="84"/>
      <c r="GO19" s="84"/>
      <c r="GP19" s="84"/>
      <c r="GQ19" s="84"/>
      <c r="GR19" s="84"/>
      <c r="GS19" s="84"/>
      <c r="GT19" s="84"/>
      <c r="GU19" s="84"/>
      <c r="GV19" s="84"/>
      <c r="GW19" s="84"/>
      <c r="GX19" s="84"/>
      <c r="GY19" s="84"/>
      <c r="GZ19" s="84"/>
      <c r="HA19" s="84"/>
      <c r="HB19" s="84"/>
      <c r="HC19" s="84"/>
      <c r="HD19" s="84"/>
      <c r="HE19" s="84"/>
      <c r="HF19" s="84"/>
      <c r="HG19" s="84"/>
      <c r="HH19" s="84"/>
      <c r="HI19" s="84"/>
      <c r="HJ19" s="84"/>
      <c r="HK19" s="84"/>
      <c r="HL19" s="84"/>
      <c r="HM19" s="84"/>
      <c r="HN19" s="84"/>
      <c r="HO19" s="84"/>
      <c r="HP19" s="84"/>
      <c r="HQ19" s="84"/>
      <c r="HR19" s="84"/>
      <c r="HS19" s="84"/>
      <c r="HT19" s="84"/>
      <c r="HU19" s="84"/>
      <c r="HV19" s="84"/>
      <c r="HW19" s="84"/>
      <c r="HX19" s="84"/>
      <c r="HY19" s="84"/>
      <c r="HZ19" s="84"/>
      <c r="IA19" s="84"/>
      <c r="IB19" s="84"/>
      <c r="IC19" s="84"/>
      <c r="ID19" s="84"/>
      <c r="IE19" s="84"/>
      <c r="IF19" s="84"/>
      <c r="IG19" s="84"/>
      <c r="IH19" s="84"/>
      <c r="II19" s="84"/>
      <c r="IJ19" s="84"/>
      <c r="IK19" s="84"/>
      <c r="IL19" s="84"/>
      <c r="IM19" s="84"/>
      <c r="IN19" s="84"/>
      <c r="IO19" s="84"/>
      <c r="IP19" s="84"/>
      <c r="IQ19" s="84"/>
      <c r="IR19" s="84"/>
      <c r="IS19" s="84"/>
      <c r="IT19" s="84"/>
      <c r="IU19" s="84"/>
      <c r="IV19" s="84"/>
      <c r="IW19" s="84"/>
    </row>
    <row r="20" customFormat="false" ht="12.75" hidden="false" customHeight="false" outlineLevel="0" collapsed="false">
      <c r="A20" s="91" t="s">
        <v>26</v>
      </c>
      <c r="B20" s="92"/>
      <c r="C20" s="92"/>
      <c r="D20" s="92"/>
      <c r="E20" s="93" t="n">
        <f aca="false">+SUM(E18:E19)</f>
        <v>15.8501858220519</v>
      </c>
      <c r="F20" s="93" t="n">
        <f aca="false">+SUM(F18:F19)</f>
        <v>46.867896526086</v>
      </c>
      <c r="G20" s="93" t="n">
        <f aca="false">+SUM(G18:G19)</f>
        <v>44.8199137058772</v>
      </c>
      <c r="H20" s="93" t="n">
        <f aca="false">+SUM(H18:H19)</f>
        <v>42.3933543655208</v>
      </c>
      <c r="I20" s="93" t="n">
        <f aca="false">+SUM(I18:I19)</f>
        <v>39.5882185050169</v>
      </c>
      <c r="J20" s="93" t="n">
        <f aca="false">+SUM(J18:J19)</f>
        <v>25.4819310832518</v>
      </c>
      <c r="K20" s="94" t="n">
        <f aca="false">+SUM(K18:K19)</f>
        <v>0</v>
      </c>
      <c r="L20" s="94" t="n">
        <f aca="false">+SUM(L18:L19)</f>
        <v>0</v>
      </c>
      <c r="M20" s="94" t="n">
        <f aca="false">+SUM(M18:M19)</f>
        <v>0</v>
      </c>
      <c r="N20" s="94" t="n">
        <f aca="false">+SUM(N18:N19)</f>
        <v>0</v>
      </c>
      <c r="O20" s="94" t="n">
        <f aca="false">+SUM(O18:O19)</f>
        <v>0</v>
      </c>
      <c r="P20" s="94" t="n">
        <f aca="false">+SUM(P18:P19)</f>
        <v>0</v>
      </c>
      <c r="Q20" s="94" t="n">
        <f aca="false">+SUM(Q18:Q19)</f>
        <v>0</v>
      </c>
      <c r="R20" s="94" t="n">
        <f aca="false">+SUM(R18:R19)</f>
        <v>0</v>
      </c>
      <c r="S20" s="94" t="n">
        <f aca="false">+SUM(S18:S19)</f>
        <v>0</v>
      </c>
      <c r="T20" s="94" t="n">
        <f aca="false">+SUM(T18:T19)</f>
        <v>0</v>
      </c>
      <c r="U20" s="94" t="n">
        <f aca="false">+SUM(U18:U19)</f>
        <v>0</v>
      </c>
      <c r="V20" s="94" t="n">
        <f aca="false">+SUM(V18:V19)</f>
        <v>0</v>
      </c>
      <c r="W20" s="94" t="n">
        <f aca="false">+SUM(W18:W19)</f>
        <v>0</v>
      </c>
      <c r="X20" s="94" t="n">
        <f aca="false">+SUM(X18:X19)</f>
        <v>0</v>
      </c>
      <c r="Y20" s="95" t="n">
        <f aca="false">+SUM(Y18:Y19)</f>
        <v>0</v>
      </c>
      <c r="Z20" s="72"/>
      <c r="AA20" s="96" t="n">
        <f aca="false">+AVERAGE(K20:T20)</f>
        <v>0</v>
      </c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</row>
    <row r="21" customFormat="false" ht="12.75" hidden="false" customHeight="false" outlineLevel="0" collapsed="false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97"/>
      <c r="AB21" s="10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3"/>
      <c r="DB21" s="23"/>
      <c r="DC21" s="23"/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3"/>
      <c r="DO21" s="23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  <c r="IU21" s="23"/>
      <c r="IV21" s="23"/>
      <c r="IW21" s="23"/>
    </row>
    <row r="22" customFormat="false" ht="12.75" hidden="false" customHeight="false" outlineLevel="0" collapsed="false">
      <c r="A22" s="98" t="s">
        <v>27</v>
      </c>
      <c r="B22" s="77"/>
      <c r="C22" s="77"/>
      <c r="D22" s="77"/>
      <c r="E22" s="99" t="n">
        <f aca="false">+SUM(RAROC!N$66)*$E$17</f>
        <v>7369.45382250049</v>
      </c>
      <c r="F22" s="99" t="n">
        <f aca="false">+SUM(RAROC!N$66)*(1-$E$17)+SUM(RAROC!O$66)*$E$17</f>
        <v>21827.2860878792</v>
      </c>
      <c r="G22" s="99" t="n">
        <f aca="false">+SUM(RAROC!O$66)*(1-$E$17)+SUM(RAROC!P$66)*$E$17</f>
        <v>20967.2345567081</v>
      </c>
      <c r="H22" s="99" t="n">
        <f aca="false">+SUM(RAROC!P$66)*(1-$E$17)+SUM(RAROC!Q$66)*$E$17</f>
        <v>19952.5957927944</v>
      </c>
      <c r="I22" s="99" t="n">
        <f aca="false">+SUM(RAROC!Q$66)*(1-$E$17)+SUM(RAROC!R$66)*$E$17</f>
        <v>18835.0786284436</v>
      </c>
      <c r="J22" s="99" t="n">
        <f aca="false">+SUM(RAROC!R$66)*(1-$E$17)+SUM(RAROC!S$66)*$E$17</f>
        <v>12183.5954533237</v>
      </c>
      <c r="K22" s="99" t="n">
        <f aca="false">+SUM(RAROC!S$66)*(1-$E$17)+SUM(RAROC!T$66)*$E$17</f>
        <v>0</v>
      </c>
      <c r="L22" s="99" t="n">
        <f aca="false">+SUM(RAROC!T$66)*(1-$E$17)+SUM(RAROC!U$66)*$E$17</f>
        <v>0</v>
      </c>
      <c r="M22" s="99" t="n">
        <f aca="false">+SUM(RAROC!U$66)*(1-$E$17)+SUM(RAROC!V$66)*$E$17</f>
        <v>0</v>
      </c>
      <c r="N22" s="99" t="n">
        <f aca="false">+SUM(RAROC!V$66)*(1-$E$17)+SUM(RAROC!W$66)*$E$17</f>
        <v>0</v>
      </c>
      <c r="O22" s="99" t="n">
        <f aca="false">+SUM(RAROC!W$66)*(1-$E$17)+SUM(RAROC!X$66)*$E$17</f>
        <v>0</v>
      </c>
      <c r="P22" s="99" t="n">
        <f aca="false">+SUM(RAROC!X$66)*(1-$E$17)+SUM(RAROC!Y$66)*$E$17</f>
        <v>0</v>
      </c>
      <c r="Q22" s="99" t="n">
        <f aca="false">+SUM(RAROC!Y$66)*(1-$E$17)+SUM(RAROC!Z$66)*$E$17</f>
        <v>0</v>
      </c>
      <c r="R22" s="99" t="n">
        <f aca="false">+SUM(RAROC!Z$66)*(1-$E$17)+SUM(RAROC!AA$66)*$E$17</f>
        <v>0</v>
      </c>
      <c r="S22" s="99" t="n">
        <f aca="false">+SUM(RAROC!AA$66)*(1-$E$17)+SUM(RAROC!AB$66)*$E$17</f>
        <v>0</v>
      </c>
      <c r="T22" s="99" t="n">
        <f aca="false">+SUM(RAROC!AB$66)*(1-$E$17)+SUM(RAROC!AC$66)*$E$17</f>
        <v>0</v>
      </c>
      <c r="U22" s="99" t="n">
        <f aca="false">+SUM(RAROC!AC$66)*(1-$E$17)+SUM(RAROC!AD$66)*$E$17</f>
        <v>0</v>
      </c>
      <c r="V22" s="99" t="n">
        <f aca="false">+SUM(RAROC!AD$66)*(1-$E$17)+SUM(RAROC!AE$66)*$E$17</f>
        <v>0</v>
      </c>
      <c r="W22" s="99" t="n">
        <f aca="false">+SUM(RAROC!AE$66)*(1-$E$17)+SUM(RAROC!AF$66)*$E$17</f>
        <v>0</v>
      </c>
      <c r="X22" s="99" t="n">
        <f aca="false">+SUM(RAROC!AF$66)*(1-$E$17)+SUM(RAROC!AG$66)*$E$17</f>
        <v>0</v>
      </c>
      <c r="Y22" s="100" t="n">
        <f aca="false">+SUM(RAROC!AG$66)*(1-$E$17)+SUM(RAROC!AH$66)*$E$17</f>
        <v>0</v>
      </c>
      <c r="Z22" s="101"/>
      <c r="AA22" s="102" t="n">
        <f aca="false">+AVERAGE(K22:T22)</f>
        <v>0</v>
      </c>
      <c r="AB22" s="10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3"/>
      <c r="DQ22" s="23"/>
      <c r="DR22" s="23"/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3"/>
      <c r="FP22" s="23"/>
      <c r="FQ22" s="23"/>
      <c r="FR22" s="23"/>
      <c r="FS22" s="23"/>
      <c r="FT22" s="23"/>
      <c r="FU22" s="23"/>
      <c r="FV22" s="23"/>
      <c r="FW22" s="23"/>
      <c r="FX22" s="23"/>
      <c r="FY22" s="23"/>
      <c r="FZ22" s="23"/>
      <c r="GA22" s="23"/>
      <c r="GB22" s="23"/>
      <c r="GC22" s="23"/>
      <c r="GD22" s="23"/>
      <c r="GE22" s="23"/>
      <c r="GF22" s="23"/>
      <c r="GG22" s="23"/>
      <c r="GH22" s="23"/>
      <c r="GI22" s="23"/>
      <c r="GJ22" s="23"/>
      <c r="GK22" s="23"/>
      <c r="GL22" s="23"/>
      <c r="GM22" s="23"/>
      <c r="GN22" s="23"/>
      <c r="GO22" s="23"/>
      <c r="GP22" s="23"/>
      <c r="GQ22" s="23"/>
      <c r="GR22" s="23"/>
      <c r="GS22" s="23"/>
      <c r="GT22" s="23"/>
      <c r="GU22" s="23"/>
      <c r="GV22" s="23"/>
      <c r="GW22" s="23"/>
      <c r="GX22" s="23"/>
      <c r="GY22" s="23"/>
      <c r="GZ22" s="23"/>
      <c r="HA22" s="23"/>
      <c r="HB22" s="23"/>
      <c r="HC22" s="23"/>
      <c r="HD22" s="23"/>
      <c r="HE22" s="23"/>
      <c r="HF22" s="23"/>
      <c r="HG22" s="23"/>
      <c r="HH22" s="23"/>
      <c r="HI22" s="23"/>
      <c r="HJ22" s="23"/>
      <c r="HK22" s="23"/>
      <c r="HL22" s="23"/>
      <c r="HM22" s="23"/>
      <c r="HN22" s="23"/>
      <c r="HO22" s="23"/>
      <c r="HP22" s="23"/>
      <c r="HQ22" s="23"/>
      <c r="HR22" s="23"/>
      <c r="HS22" s="23"/>
      <c r="HT22" s="23"/>
      <c r="HU22" s="23"/>
      <c r="HV22" s="23"/>
      <c r="HW22" s="23"/>
      <c r="HX22" s="23"/>
      <c r="HY22" s="23"/>
      <c r="HZ22" s="23"/>
      <c r="IA22" s="23"/>
      <c r="IB22" s="23"/>
      <c r="IC22" s="23"/>
      <c r="ID22" s="23"/>
      <c r="IE22" s="23"/>
      <c r="IF22" s="23"/>
      <c r="IG22" s="23"/>
      <c r="IH22" s="23"/>
      <c r="II22" s="23"/>
      <c r="IJ22" s="23"/>
      <c r="IK22" s="23"/>
      <c r="IL22" s="23"/>
      <c r="IM22" s="23"/>
      <c r="IN22" s="23"/>
      <c r="IO22" s="23"/>
      <c r="IP22" s="23"/>
      <c r="IQ22" s="23"/>
      <c r="IR22" s="23"/>
      <c r="IS22" s="23"/>
      <c r="IT22" s="23"/>
      <c r="IU22" s="23"/>
      <c r="IV22" s="23"/>
      <c r="IW22" s="23"/>
    </row>
    <row r="23" customFormat="false" ht="12.75" hidden="false" customHeight="false" outlineLevel="0" collapsed="false">
      <c r="A23" s="103"/>
      <c r="B23" s="10"/>
      <c r="C23" s="10"/>
      <c r="D23" s="104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5"/>
      <c r="Z23" s="103"/>
      <c r="AA23" s="106"/>
      <c r="AB23" s="107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3"/>
      <c r="DB23" s="23"/>
      <c r="DC23" s="23"/>
      <c r="DD23" s="23"/>
      <c r="DE23" s="23"/>
      <c r="DF23" s="23"/>
      <c r="DG23" s="23"/>
      <c r="DH23" s="23"/>
      <c r="DI23" s="23"/>
      <c r="DJ23" s="23"/>
      <c r="DK23" s="23"/>
      <c r="DL23" s="23"/>
      <c r="DM23" s="23"/>
      <c r="DN23" s="23"/>
      <c r="DO23" s="23"/>
      <c r="DP23" s="23"/>
      <c r="DQ23" s="23"/>
      <c r="DR23" s="23"/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3"/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3"/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3"/>
      <c r="FD23" s="23"/>
      <c r="FE23" s="23"/>
      <c r="FF23" s="23"/>
      <c r="FG23" s="23"/>
      <c r="FH23" s="23"/>
      <c r="FI23" s="23"/>
      <c r="FJ23" s="23"/>
      <c r="FK23" s="23"/>
      <c r="FL23" s="23"/>
      <c r="FM23" s="23"/>
      <c r="FN23" s="23"/>
      <c r="FO23" s="23"/>
      <c r="FP23" s="23"/>
      <c r="FQ23" s="23"/>
      <c r="FR23" s="23"/>
      <c r="FS23" s="23"/>
      <c r="FT23" s="23"/>
      <c r="FU23" s="23"/>
      <c r="FV23" s="23"/>
      <c r="FW23" s="23"/>
      <c r="FX23" s="23"/>
      <c r="FY23" s="23"/>
      <c r="FZ23" s="23"/>
      <c r="GA23" s="23"/>
      <c r="GB23" s="23"/>
      <c r="GC23" s="23"/>
      <c r="GD23" s="23"/>
      <c r="GE23" s="23"/>
      <c r="GF23" s="23"/>
      <c r="GG23" s="23"/>
      <c r="GH23" s="23"/>
      <c r="GI23" s="23"/>
      <c r="GJ23" s="23"/>
      <c r="GK23" s="23"/>
      <c r="GL23" s="23"/>
      <c r="GM23" s="23"/>
      <c r="GN23" s="23"/>
      <c r="GO23" s="23"/>
      <c r="GP23" s="23"/>
      <c r="GQ23" s="23"/>
      <c r="GR23" s="23"/>
      <c r="GS23" s="23"/>
      <c r="GT23" s="23"/>
      <c r="GU23" s="23"/>
      <c r="GV23" s="23"/>
      <c r="GW23" s="23"/>
      <c r="GX23" s="23"/>
      <c r="GY23" s="23"/>
      <c r="GZ23" s="23"/>
      <c r="HA23" s="23"/>
      <c r="HB23" s="23"/>
      <c r="HC23" s="23"/>
      <c r="HD23" s="23"/>
      <c r="HE23" s="23"/>
      <c r="HF23" s="23"/>
      <c r="HG23" s="23"/>
      <c r="HH23" s="23"/>
      <c r="HI23" s="23"/>
      <c r="HJ23" s="23"/>
      <c r="HK23" s="23"/>
      <c r="HL23" s="23"/>
      <c r="HM23" s="23"/>
      <c r="HN23" s="23"/>
      <c r="HO23" s="23"/>
      <c r="HP23" s="23"/>
      <c r="HQ23" s="23"/>
      <c r="HR23" s="23"/>
      <c r="HS23" s="23"/>
      <c r="HT23" s="23"/>
      <c r="HU23" s="23"/>
      <c r="HV23" s="23"/>
      <c r="HW23" s="23"/>
      <c r="HX23" s="23"/>
      <c r="HY23" s="23"/>
      <c r="HZ23" s="23"/>
      <c r="IA23" s="23"/>
      <c r="IB23" s="23"/>
      <c r="IC23" s="23"/>
      <c r="ID23" s="23"/>
      <c r="IE23" s="23"/>
      <c r="IF23" s="23"/>
      <c r="IG23" s="23"/>
      <c r="IH23" s="23"/>
      <c r="II23" s="23"/>
      <c r="IJ23" s="23"/>
      <c r="IK23" s="23"/>
      <c r="IL23" s="23"/>
      <c r="IM23" s="23"/>
      <c r="IN23" s="23"/>
      <c r="IO23" s="23"/>
      <c r="IP23" s="23"/>
      <c r="IQ23" s="23"/>
      <c r="IR23" s="23"/>
      <c r="IS23" s="23"/>
      <c r="IT23" s="23"/>
      <c r="IU23" s="23"/>
      <c r="IV23" s="23"/>
      <c r="IW23" s="23"/>
    </row>
    <row r="24" customFormat="false" ht="12.75" hidden="false" customHeight="false" outlineLevel="0" collapsed="false">
      <c r="A24" s="108" t="s">
        <v>28</v>
      </c>
      <c r="B24" s="10"/>
      <c r="C24" s="10"/>
      <c r="D24" s="10"/>
      <c r="E24" s="109" t="n">
        <f aca="false">+SUM(RAROC!N$52)*$E$17</f>
        <v>-5558.14762136229</v>
      </c>
      <c r="F24" s="109" t="n">
        <f aca="false">+SUM(RAROC!N$52)*(1-$E$17)+SUM(RAROC!O$52)*$E$17</f>
        <v>-16667.9061785307</v>
      </c>
      <c r="G24" s="109" t="n">
        <f aca="false">+SUM(RAROC!O$52)*(1-$E$17)+SUM(RAROC!P$52)*$E$17</f>
        <v>-16648.6621381007</v>
      </c>
      <c r="H24" s="109" t="n">
        <f aca="false">+SUM(RAROC!P$52)*(1-$E$17)+SUM(RAROC!Q$52)*$E$17</f>
        <v>-16605.4419594145</v>
      </c>
      <c r="I24" s="109" t="n">
        <f aca="false">+SUM(RAROC!Q$52)*(1-$E$17)+SUM(RAROC!R$52)*$E$17</f>
        <v>-16545.3423432706</v>
      </c>
      <c r="J24" s="109" t="n">
        <f aca="false">+SUM(RAROC!R$52)*(1-$E$17)+SUM(RAROC!S$52)*$E$17</f>
        <v>-11032.4389807911</v>
      </c>
      <c r="K24" s="109" t="n">
        <f aca="false">+SUM(RAROC!S$52)*(1-$E$17)+SUM(RAROC!T$52)*$E$17</f>
        <v>0</v>
      </c>
      <c r="L24" s="109" t="n">
        <f aca="false">+SUM(RAROC!T$52)*(1-$E$17)+SUM(RAROC!U$52)*$E$17</f>
        <v>0</v>
      </c>
      <c r="M24" s="109" t="n">
        <f aca="false">+SUM(RAROC!U$52)*(1-$E$17)+SUM(RAROC!V$52)*$E$17</f>
        <v>0</v>
      </c>
      <c r="N24" s="109" t="n">
        <f aca="false">+SUM(RAROC!V$52)*(1-$E$17)+SUM(RAROC!W$52)*$E$17</f>
        <v>0</v>
      </c>
      <c r="O24" s="109" t="n">
        <f aca="false">+SUM(RAROC!W$52)*(1-$E$17)+SUM(RAROC!X$52)*$E$17</f>
        <v>0</v>
      </c>
      <c r="P24" s="109" t="n">
        <f aca="false">+SUM(RAROC!X$52)*(1-$E$17)+SUM(RAROC!Y$52)*$E$17</f>
        <v>0</v>
      </c>
      <c r="Q24" s="109" t="n">
        <f aca="false">+SUM(RAROC!Y$52)*(1-$E$17)+SUM(RAROC!Z$52)*$E$17</f>
        <v>0</v>
      </c>
      <c r="R24" s="109" t="n">
        <f aca="false">+SUM(RAROC!Z$52)*(1-$E$17)+SUM(RAROC!AA$52)*$E$17</f>
        <v>0</v>
      </c>
      <c r="S24" s="109" t="n">
        <f aca="false">+SUM(RAROC!AA$52)*(1-$E$17)+SUM(RAROC!AB$52)*$E$17</f>
        <v>0</v>
      </c>
      <c r="T24" s="109" t="n">
        <f aca="false">+SUM(RAROC!AB$52)*(1-$E$17)+SUM(RAROC!AC$52)*$E$17</f>
        <v>0</v>
      </c>
      <c r="U24" s="109" t="n">
        <f aca="false">+SUM(RAROC!AC$52)*(1-$E$17)+SUM(RAROC!AD$52)*$E$17</f>
        <v>0</v>
      </c>
      <c r="V24" s="109" t="n">
        <f aca="false">+SUM(RAROC!AD$52)*(1-$E$17)+SUM(RAROC!AE$52)*$E$17</f>
        <v>0</v>
      </c>
      <c r="W24" s="109" t="n">
        <f aca="false">+SUM(RAROC!AE$52)*(1-$E$17)+SUM(RAROC!AF$52)*$E$17</f>
        <v>0</v>
      </c>
      <c r="X24" s="109" t="n">
        <f aca="false">+SUM(RAROC!AF$52)*(1-$E$17)+SUM(RAROC!AG$52)*$E$17</f>
        <v>0</v>
      </c>
      <c r="Y24" s="110" t="n">
        <f aca="false">+SUM(RAROC!AG$52)*(1-$E$17)+SUM(RAROC!AH$52)*$E$17</f>
        <v>0</v>
      </c>
      <c r="Z24" s="103"/>
      <c r="AA24" s="111" t="n">
        <f aca="false">+AVERAGE(K24:T24)</f>
        <v>0</v>
      </c>
      <c r="AB24" s="112"/>
      <c r="AC24" s="113"/>
      <c r="AD24" s="113"/>
      <c r="AE24" s="113"/>
      <c r="AF24" s="113"/>
      <c r="AG24" s="113"/>
      <c r="AH24" s="113"/>
      <c r="AI24" s="113"/>
      <c r="AJ24" s="113"/>
      <c r="AK24" s="113"/>
      <c r="AL24" s="113"/>
      <c r="AM24" s="113"/>
      <c r="AN24" s="113"/>
      <c r="AO24" s="113"/>
      <c r="AP24" s="113"/>
      <c r="AQ24" s="113"/>
      <c r="AR24" s="113"/>
      <c r="AS24" s="113"/>
      <c r="AT24" s="113"/>
      <c r="AU24" s="113"/>
      <c r="AV24" s="113"/>
      <c r="AW24" s="113"/>
      <c r="AX24" s="113"/>
      <c r="AY24" s="113"/>
      <c r="AZ24" s="113"/>
      <c r="BA24" s="113"/>
      <c r="BB24" s="113"/>
      <c r="BC24" s="113"/>
      <c r="BD24" s="113"/>
      <c r="BE24" s="113"/>
      <c r="BF24" s="113"/>
      <c r="BG24" s="113"/>
      <c r="BH24" s="113"/>
      <c r="BI24" s="113"/>
      <c r="BJ24" s="113"/>
      <c r="BK24" s="113"/>
      <c r="BL24" s="113"/>
      <c r="BM24" s="113"/>
      <c r="BN24" s="113"/>
      <c r="BO24" s="113"/>
      <c r="BP24" s="113"/>
      <c r="BQ24" s="113"/>
      <c r="BR24" s="113"/>
      <c r="BS24" s="113"/>
      <c r="BT24" s="113"/>
      <c r="BU24" s="113"/>
      <c r="BV24" s="113"/>
      <c r="BW24" s="113"/>
      <c r="BX24" s="113"/>
      <c r="BY24" s="113"/>
      <c r="BZ24" s="113"/>
      <c r="CA24" s="113"/>
      <c r="CB24" s="113"/>
      <c r="CC24" s="113"/>
      <c r="CD24" s="113"/>
      <c r="CE24" s="113"/>
      <c r="CF24" s="113"/>
      <c r="CG24" s="113"/>
      <c r="CH24" s="113"/>
      <c r="CI24" s="113"/>
      <c r="CJ24" s="113"/>
      <c r="CK24" s="113"/>
      <c r="CL24" s="113"/>
      <c r="CM24" s="113"/>
      <c r="CN24" s="113"/>
      <c r="CO24" s="113"/>
      <c r="CP24" s="113"/>
      <c r="CQ24" s="113"/>
      <c r="CR24" s="113"/>
      <c r="CS24" s="113"/>
      <c r="CT24" s="113"/>
      <c r="CU24" s="113"/>
      <c r="CV24" s="113"/>
      <c r="CW24" s="113"/>
      <c r="CX24" s="113"/>
      <c r="CY24" s="113"/>
      <c r="CZ24" s="113"/>
      <c r="DA24" s="113"/>
      <c r="DB24" s="113"/>
      <c r="DC24" s="113"/>
      <c r="DD24" s="113"/>
      <c r="DE24" s="113"/>
      <c r="DF24" s="113"/>
      <c r="DG24" s="113"/>
      <c r="DH24" s="113"/>
      <c r="DI24" s="113"/>
      <c r="DJ24" s="113"/>
      <c r="DK24" s="113"/>
      <c r="DL24" s="113"/>
      <c r="DM24" s="113"/>
      <c r="DN24" s="113"/>
      <c r="DO24" s="113"/>
      <c r="DP24" s="113"/>
      <c r="DQ24" s="113"/>
      <c r="DR24" s="113"/>
      <c r="DS24" s="113"/>
      <c r="DT24" s="113"/>
      <c r="DU24" s="113"/>
      <c r="DV24" s="113"/>
      <c r="DW24" s="113"/>
      <c r="DX24" s="113"/>
      <c r="DY24" s="113"/>
      <c r="DZ24" s="113"/>
      <c r="EA24" s="113"/>
      <c r="EB24" s="113"/>
      <c r="EC24" s="113"/>
      <c r="ED24" s="113"/>
      <c r="EE24" s="113"/>
      <c r="EF24" s="113"/>
      <c r="EG24" s="113"/>
      <c r="EH24" s="113"/>
      <c r="EI24" s="113"/>
      <c r="EJ24" s="113"/>
      <c r="EK24" s="113"/>
      <c r="EL24" s="113"/>
      <c r="EM24" s="113"/>
      <c r="EN24" s="113"/>
      <c r="EO24" s="113"/>
      <c r="EP24" s="113"/>
      <c r="EQ24" s="113"/>
      <c r="ER24" s="113"/>
      <c r="ES24" s="113"/>
      <c r="ET24" s="113"/>
      <c r="EU24" s="113"/>
      <c r="EV24" s="113"/>
      <c r="EW24" s="113"/>
      <c r="EX24" s="113"/>
      <c r="EY24" s="113"/>
      <c r="EZ24" s="113"/>
      <c r="FA24" s="113"/>
      <c r="FB24" s="113"/>
      <c r="FC24" s="113"/>
      <c r="FD24" s="113"/>
      <c r="FE24" s="113"/>
      <c r="FF24" s="113"/>
      <c r="FG24" s="113"/>
      <c r="FH24" s="113"/>
      <c r="FI24" s="113"/>
      <c r="FJ24" s="113"/>
      <c r="FK24" s="113"/>
      <c r="FL24" s="113"/>
      <c r="FM24" s="113"/>
      <c r="FN24" s="113"/>
      <c r="FO24" s="113"/>
      <c r="FP24" s="113"/>
      <c r="FQ24" s="113"/>
      <c r="FR24" s="113"/>
      <c r="FS24" s="113"/>
      <c r="FT24" s="113"/>
      <c r="FU24" s="113"/>
      <c r="FV24" s="113"/>
      <c r="FW24" s="113"/>
      <c r="FX24" s="113"/>
      <c r="FY24" s="113"/>
      <c r="FZ24" s="113"/>
      <c r="GA24" s="113"/>
      <c r="GB24" s="113"/>
      <c r="GC24" s="113"/>
      <c r="GD24" s="113"/>
      <c r="GE24" s="113"/>
      <c r="GF24" s="113"/>
      <c r="GG24" s="113"/>
      <c r="GH24" s="113"/>
      <c r="GI24" s="113"/>
      <c r="GJ24" s="113"/>
      <c r="GK24" s="113"/>
      <c r="GL24" s="113"/>
      <c r="GM24" s="113"/>
      <c r="GN24" s="113"/>
      <c r="GO24" s="113"/>
      <c r="GP24" s="113"/>
      <c r="GQ24" s="113"/>
      <c r="GR24" s="113"/>
      <c r="GS24" s="113"/>
      <c r="GT24" s="113"/>
      <c r="GU24" s="113"/>
      <c r="GV24" s="113"/>
      <c r="GW24" s="113"/>
      <c r="GX24" s="113"/>
      <c r="GY24" s="113"/>
      <c r="GZ24" s="113"/>
      <c r="HA24" s="113"/>
      <c r="HB24" s="113"/>
      <c r="HC24" s="113"/>
      <c r="HD24" s="113"/>
      <c r="HE24" s="113"/>
      <c r="HF24" s="113"/>
      <c r="HG24" s="113"/>
      <c r="HH24" s="113"/>
      <c r="HI24" s="113"/>
      <c r="HJ24" s="113"/>
      <c r="HK24" s="113"/>
      <c r="HL24" s="113"/>
      <c r="HM24" s="113"/>
      <c r="HN24" s="113"/>
      <c r="HO24" s="113"/>
      <c r="HP24" s="113"/>
      <c r="HQ24" s="113"/>
      <c r="HR24" s="113"/>
      <c r="HS24" s="113"/>
      <c r="HT24" s="113"/>
      <c r="HU24" s="113"/>
      <c r="HV24" s="113"/>
      <c r="HW24" s="113"/>
      <c r="HX24" s="113"/>
      <c r="HY24" s="113"/>
      <c r="HZ24" s="113"/>
      <c r="IA24" s="113"/>
      <c r="IB24" s="113"/>
      <c r="IC24" s="113"/>
      <c r="ID24" s="113"/>
      <c r="IE24" s="113"/>
      <c r="IF24" s="113"/>
      <c r="IG24" s="113"/>
      <c r="IH24" s="113"/>
      <c r="II24" s="113"/>
      <c r="IJ24" s="113"/>
      <c r="IK24" s="113"/>
      <c r="IL24" s="113"/>
      <c r="IM24" s="113"/>
      <c r="IN24" s="113"/>
      <c r="IO24" s="113"/>
      <c r="IP24" s="113"/>
      <c r="IQ24" s="113"/>
      <c r="IR24" s="113"/>
      <c r="IS24" s="113"/>
      <c r="IT24" s="113"/>
      <c r="IU24" s="113"/>
      <c r="IV24" s="113"/>
      <c r="IW24" s="113"/>
    </row>
    <row r="25" customFormat="false" ht="12.75" hidden="false" customHeight="false" outlineLevel="0" collapsed="false">
      <c r="A25" s="103"/>
      <c r="B25" s="10"/>
      <c r="C25" s="10"/>
      <c r="D25" s="114"/>
      <c r="E25" s="10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5"/>
      <c r="Z25" s="103"/>
      <c r="AA25" s="111"/>
      <c r="AB25" s="112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  <c r="IU25" s="23"/>
      <c r="IV25" s="23"/>
      <c r="IW25" s="23"/>
    </row>
    <row r="26" customFormat="false" ht="12.75" hidden="false" customHeight="false" outlineLevel="0" collapsed="false">
      <c r="A26" s="116" t="s">
        <v>29</v>
      </c>
      <c r="B26" s="117"/>
      <c r="C26" s="117"/>
      <c r="D26" s="117"/>
      <c r="E26" s="118" t="n">
        <f aca="false">+E22+E24</f>
        <v>1811.3062011382</v>
      </c>
      <c r="F26" s="118" t="n">
        <f aca="false">+F22+F24</f>
        <v>5159.37990934849</v>
      </c>
      <c r="G26" s="118" t="n">
        <f aca="false">+G22+G24</f>
        <v>4318.57241860746</v>
      </c>
      <c r="H26" s="118" t="n">
        <f aca="false">+H22+H24</f>
        <v>3347.15383337993</v>
      </c>
      <c r="I26" s="118" t="n">
        <f aca="false">+I22+I24</f>
        <v>2289.73628517302</v>
      </c>
      <c r="J26" s="118" t="n">
        <f aca="false">+J22+J24</f>
        <v>1151.15647253261</v>
      </c>
      <c r="K26" s="118" t="n">
        <f aca="false">+K22+K24</f>
        <v>0</v>
      </c>
      <c r="L26" s="118" t="n">
        <f aca="false">+L22+L24</f>
        <v>0</v>
      </c>
      <c r="M26" s="118" t="n">
        <f aca="false">+M22+M24</f>
        <v>0</v>
      </c>
      <c r="N26" s="118" t="n">
        <f aca="false">+N22+N24</f>
        <v>0</v>
      </c>
      <c r="O26" s="118" t="n">
        <f aca="false">+O22+O24</f>
        <v>0</v>
      </c>
      <c r="P26" s="118" t="n">
        <f aca="false">+P22+P24</f>
        <v>0</v>
      </c>
      <c r="Q26" s="118" t="n">
        <f aca="false">+Q22+Q24</f>
        <v>0</v>
      </c>
      <c r="R26" s="118" t="n">
        <f aca="false">+R22+R24</f>
        <v>0</v>
      </c>
      <c r="S26" s="118" t="n">
        <f aca="false">+S22+S24</f>
        <v>0</v>
      </c>
      <c r="T26" s="118" t="n">
        <f aca="false">+T22+T24</f>
        <v>0</v>
      </c>
      <c r="U26" s="118" t="n">
        <f aca="false">+U22+U24</f>
        <v>0</v>
      </c>
      <c r="V26" s="118" t="n">
        <f aca="false">+V22+V24</f>
        <v>0</v>
      </c>
      <c r="W26" s="118" t="n">
        <f aca="false">+W22+W24</f>
        <v>0</v>
      </c>
      <c r="X26" s="118" t="n">
        <f aca="false">+X22+X24</f>
        <v>0</v>
      </c>
      <c r="Y26" s="119" t="n">
        <f aca="false">+Y22+Y24</f>
        <v>0</v>
      </c>
      <c r="Z26" s="103"/>
      <c r="AA26" s="120" t="n">
        <f aca="false">+AVERAGE(K26:T26)</f>
        <v>0</v>
      </c>
      <c r="AB26" s="121"/>
      <c r="AC26" s="122"/>
      <c r="AD26" s="122"/>
      <c r="AE26" s="122"/>
      <c r="AF26" s="122"/>
      <c r="AG26" s="122"/>
      <c r="AH26" s="122"/>
      <c r="AI26" s="122"/>
      <c r="AJ26" s="122"/>
      <c r="AK26" s="122"/>
      <c r="AL26" s="122"/>
      <c r="AM26" s="122"/>
      <c r="AN26" s="122"/>
      <c r="AO26" s="122"/>
      <c r="AP26" s="122"/>
      <c r="AQ26" s="122"/>
      <c r="AR26" s="122"/>
      <c r="AS26" s="122"/>
      <c r="AT26" s="122"/>
      <c r="AU26" s="122"/>
      <c r="AV26" s="122"/>
      <c r="AW26" s="122"/>
      <c r="AX26" s="122"/>
      <c r="AY26" s="122"/>
      <c r="AZ26" s="122"/>
      <c r="BA26" s="122"/>
      <c r="BB26" s="122"/>
      <c r="BC26" s="122"/>
      <c r="BD26" s="122"/>
      <c r="BE26" s="122"/>
      <c r="BF26" s="122"/>
      <c r="BG26" s="122"/>
      <c r="BH26" s="122"/>
      <c r="BI26" s="122"/>
      <c r="BJ26" s="122"/>
      <c r="BK26" s="122"/>
      <c r="BL26" s="122"/>
      <c r="BM26" s="122"/>
      <c r="BN26" s="122"/>
      <c r="BO26" s="122"/>
      <c r="BP26" s="122"/>
      <c r="BQ26" s="122"/>
      <c r="BR26" s="122"/>
      <c r="BS26" s="122"/>
      <c r="BT26" s="122"/>
      <c r="BU26" s="122"/>
      <c r="BV26" s="122"/>
      <c r="BW26" s="122"/>
      <c r="BX26" s="122"/>
      <c r="BY26" s="122"/>
      <c r="BZ26" s="122"/>
      <c r="CA26" s="122"/>
      <c r="CB26" s="122"/>
      <c r="CC26" s="122"/>
      <c r="CD26" s="122"/>
      <c r="CE26" s="122"/>
      <c r="CF26" s="122"/>
      <c r="CG26" s="122"/>
      <c r="CH26" s="122"/>
      <c r="CI26" s="122"/>
      <c r="CJ26" s="122"/>
      <c r="CK26" s="122"/>
      <c r="CL26" s="122"/>
      <c r="CM26" s="122"/>
      <c r="CN26" s="122"/>
      <c r="CO26" s="122"/>
      <c r="CP26" s="122"/>
      <c r="CQ26" s="122"/>
      <c r="CR26" s="122"/>
      <c r="CS26" s="122"/>
      <c r="CT26" s="122"/>
      <c r="CU26" s="122"/>
      <c r="CV26" s="122"/>
      <c r="CW26" s="122"/>
      <c r="CX26" s="122"/>
      <c r="CY26" s="122"/>
      <c r="CZ26" s="122"/>
      <c r="DA26" s="122"/>
      <c r="DB26" s="122"/>
      <c r="DC26" s="122"/>
      <c r="DD26" s="122"/>
      <c r="DE26" s="122"/>
      <c r="DF26" s="122"/>
      <c r="DG26" s="122"/>
      <c r="DH26" s="122"/>
      <c r="DI26" s="122"/>
      <c r="DJ26" s="122"/>
      <c r="DK26" s="122"/>
      <c r="DL26" s="122"/>
      <c r="DM26" s="122"/>
      <c r="DN26" s="122"/>
      <c r="DO26" s="122"/>
      <c r="DP26" s="122"/>
      <c r="DQ26" s="122"/>
      <c r="DR26" s="122"/>
      <c r="DS26" s="122"/>
      <c r="DT26" s="122"/>
      <c r="DU26" s="122"/>
      <c r="DV26" s="122"/>
      <c r="DW26" s="122"/>
      <c r="DX26" s="122"/>
      <c r="DY26" s="122"/>
      <c r="DZ26" s="122"/>
      <c r="EA26" s="122"/>
      <c r="EB26" s="122"/>
      <c r="EC26" s="122"/>
      <c r="ED26" s="122"/>
      <c r="EE26" s="122"/>
      <c r="EF26" s="122"/>
      <c r="EG26" s="122"/>
      <c r="EH26" s="122"/>
      <c r="EI26" s="122"/>
      <c r="EJ26" s="122"/>
      <c r="EK26" s="122"/>
      <c r="EL26" s="122"/>
      <c r="EM26" s="122"/>
      <c r="EN26" s="122"/>
      <c r="EO26" s="122"/>
      <c r="EP26" s="122"/>
      <c r="EQ26" s="122"/>
      <c r="ER26" s="122"/>
      <c r="ES26" s="122"/>
      <c r="ET26" s="122"/>
      <c r="EU26" s="122"/>
      <c r="EV26" s="122"/>
      <c r="EW26" s="122"/>
      <c r="EX26" s="122"/>
      <c r="EY26" s="122"/>
      <c r="EZ26" s="122"/>
      <c r="FA26" s="122"/>
      <c r="FB26" s="122"/>
      <c r="FC26" s="122"/>
      <c r="FD26" s="122"/>
      <c r="FE26" s="122"/>
      <c r="FF26" s="122"/>
      <c r="FG26" s="122"/>
      <c r="FH26" s="122"/>
      <c r="FI26" s="122"/>
      <c r="FJ26" s="122"/>
      <c r="FK26" s="122"/>
      <c r="FL26" s="122"/>
      <c r="FM26" s="122"/>
      <c r="FN26" s="122"/>
      <c r="FO26" s="122"/>
      <c r="FP26" s="122"/>
      <c r="FQ26" s="122"/>
      <c r="FR26" s="122"/>
      <c r="FS26" s="122"/>
      <c r="FT26" s="122"/>
      <c r="FU26" s="122"/>
      <c r="FV26" s="122"/>
      <c r="FW26" s="122"/>
      <c r="FX26" s="122"/>
      <c r="FY26" s="122"/>
      <c r="FZ26" s="122"/>
      <c r="GA26" s="122"/>
      <c r="GB26" s="122"/>
      <c r="GC26" s="122"/>
      <c r="GD26" s="122"/>
      <c r="GE26" s="122"/>
      <c r="GF26" s="122"/>
      <c r="GG26" s="122"/>
      <c r="GH26" s="122"/>
      <c r="GI26" s="122"/>
      <c r="GJ26" s="122"/>
      <c r="GK26" s="122"/>
      <c r="GL26" s="122"/>
      <c r="GM26" s="122"/>
      <c r="GN26" s="122"/>
      <c r="GO26" s="122"/>
      <c r="GP26" s="122"/>
      <c r="GQ26" s="122"/>
      <c r="GR26" s="122"/>
      <c r="GS26" s="122"/>
      <c r="GT26" s="122"/>
      <c r="GU26" s="122"/>
      <c r="GV26" s="122"/>
      <c r="GW26" s="122"/>
      <c r="GX26" s="122"/>
      <c r="GY26" s="122"/>
      <c r="GZ26" s="122"/>
      <c r="HA26" s="122"/>
      <c r="HB26" s="122"/>
      <c r="HC26" s="122"/>
      <c r="HD26" s="122"/>
      <c r="HE26" s="122"/>
      <c r="HF26" s="122"/>
      <c r="HG26" s="122"/>
      <c r="HH26" s="122"/>
      <c r="HI26" s="122"/>
      <c r="HJ26" s="122"/>
      <c r="HK26" s="122"/>
      <c r="HL26" s="122"/>
      <c r="HM26" s="122"/>
      <c r="HN26" s="122"/>
      <c r="HO26" s="122"/>
      <c r="HP26" s="122"/>
      <c r="HQ26" s="122"/>
      <c r="HR26" s="122"/>
      <c r="HS26" s="122"/>
      <c r="HT26" s="122"/>
      <c r="HU26" s="122"/>
      <c r="HV26" s="122"/>
      <c r="HW26" s="122"/>
      <c r="HX26" s="122"/>
      <c r="HY26" s="122"/>
      <c r="HZ26" s="122"/>
      <c r="IA26" s="122"/>
      <c r="IB26" s="122"/>
      <c r="IC26" s="122"/>
      <c r="ID26" s="122"/>
      <c r="IE26" s="122"/>
      <c r="IF26" s="122"/>
      <c r="IG26" s="122"/>
      <c r="IH26" s="122"/>
      <c r="II26" s="122"/>
      <c r="IJ26" s="122"/>
      <c r="IK26" s="122"/>
      <c r="IL26" s="122"/>
      <c r="IM26" s="122"/>
      <c r="IN26" s="122"/>
      <c r="IO26" s="122"/>
      <c r="IP26" s="122"/>
      <c r="IQ26" s="122"/>
      <c r="IR26" s="122"/>
      <c r="IS26" s="122"/>
      <c r="IT26" s="122"/>
      <c r="IU26" s="122"/>
      <c r="IV26" s="122"/>
      <c r="IW26" s="122"/>
    </row>
    <row r="27" customFormat="false" ht="12.75" hidden="false" customHeight="false" outlineLevel="0" collapsed="false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9"/>
      <c r="AB27" s="10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3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  <c r="IU27" s="23"/>
      <c r="IV27" s="23"/>
      <c r="IW27" s="23"/>
    </row>
    <row r="28" customFormat="false" ht="12.75" hidden="false" customHeight="false" outlineLevel="0" collapsed="false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9"/>
      <c r="AB28" s="10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23"/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  <c r="IU28" s="23"/>
      <c r="IV28" s="23"/>
      <c r="IW28" s="23"/>
    </row>
    <row r="29" customFormat="false" ht="12.75" hidden="false" customHeight="false" outlineLevel="0" collapsed="false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9"/>
      <c r="AB29" s="10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23"/>
      <c r="DB29" s="23"/>
      <c r="DC29" s="23"/>
      <c r="DD29" s="23"/>
      <c r="DE29" s="23"/>
      <c r="DF29" s="23"/>
      <c r="DG29" s="23"/>
      <c r="DH29" s="23"/>
      <c r="DI29" s="23"/>
      <c r="DJ29" s="23"/>
      <c r="DK29" s="23"/>
      <c r="DL29" s="23"/>
      <c r="DM29" s="23"/>
      <c r="DN29" s="23"/>
      <c r="DO29" s="23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  <c r="IU29" s="23"/>
      <c r="IV29" s="23"/>
      <c r="IW29" s="23"/>
    </row>
    <row r="30" customFormat="false" ht="12.75" hidden="false" customHeight="false" outlineLevel="0" collapsed="false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9"/>
      <c r="AB30" s="10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  <c r="IU30" s="23"/>
      <c r="IV30" s="23"/>
      <c r="IW30" s="23"/>
    </row>
    <row r="31" customFormat="false" ht="12.75" hidden="false" customHeight="false" outlineLevel="0" collapsed="false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9"/>
      <c r="AB31" s="10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3"/>
      <c r="CD31" s="23"/>
      <c r="CE31" s="23"/>
      <c r="CF31" s="23"/>
      <c r="CG31" s="23"/>
      <c r="CH31" s="23"/>
      <c r="CI31" s="23"/>
      <c r="CJ31" s="23"/>
      <c r="CK31" s="23"/>
      <c r="CL31" s="23"/>
      <c r="CM31" s="23"/>
      <c r="CN31" s="23"/>
      <c r="CO31" s="23"/>
      <c r="CP31" s="23"/>
      <c r="CQ31" s="23"/>
      <c r="CR31" s="23"/>
      <c r="CS31" s="23"/>
      <c r="CT31" s="23"/>
      <c r="CU31" s="23"/>
      <c r="CV31" s="23"/>
      <c r="CW31" s="23"/>
      <c r="CX31" s="23"/>
      <c r="CY31" s="23"/>
      <c r="CZ31" s="23"/>
      <c r="DA31" s="23"/>
      <c r="DB31" s="23"/>
      <c r="DC31" s="23"/>
      <c r="DD31" s="23"/>
      <c r="DE31" s="23"/>
      <c r="DF31" s="23"/>
      <c r="DG31" s="23"/>
      <c r="DH31" s="23"/>
      <c r="DI31" s="23"/>
      <c r="DJ31" s="23"/>
      <c r="DK31" s="23"/>
      <c r="DL31" s="23"/>
      <c r="DM31" s="23"/>
      <c r="DN31" s="23"/>
      <c r="DO31" s="23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  <c r="IU31" s="23"/>
      <c r="IV31" s="23"/>
      <c r="IW31" s="23"/>
    </row>
    <row r="32" customFormat="false" ht="12.75" hidden="false" customHeight="false" outlineLevel="0" collapsed="false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9"/>
      <c r="AB32" s="10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23"/>
      <c r="DD32" s="23"/>
      <c r="DE32" s="23"/>
      <c r="DF32" s="23"/>
      <c r="DG32" s="23"/>
      <c r="DH32" s="23"/>
      <c r="DI32" s="23"/>
      <c r="DJ32" s="23"/>
      <c r="DK32" s="23"/>
      <c r="DL32" s="23"/>
      <c r="DM32" s="23"/>
      <c r="DN32" s="23"/>
      <c r="DO32" s="23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  <c r="IU32" s="23"/>
      <c r="IV32" s="23"/>
      <c r="IW32" s="23"/>
    </row>
    <row r="33" customFormat="false" ht="12.75" hidden="false" customHeight="false" outlineLevel="0" collapsed="false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9"/>
      <c r="AB33" s="10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3"/>
      <c r="DD33" s="23"/>
      <c r="DE33" s="23"/>
      <c r="DF33" s="23"/>
      <c r="DG33" s="23"/>
      <c r="DH33" s="23"/>
      <c r="DI33" s="23"/>
      <c r="DJ33" s="23"/>
      <c r="DK33" s="23"/>
      <c r="DL33" s="23"/>
      <c r="DM33" s="23"/>
      <c r="DN33" s="23"/>
      <c r="DO33" s="23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  <c r="IU33" s="23"/>
      <c r="IV33" s="23"/>
      <c r="IW33" s="23"/>
    </row>
    <row r="34" customFormat="false" ht="12.75" hidden="false" customHeight="false" outlineLevel="0" collapsed="false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9"/>
      <c r="AB34" s="10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3"/>
      <c r="CD34" s="23"/>
      <c r="CE34" s="23"/>
      <c r="CF34" s="23"/>
      <c r="CG34" s="23"/>
      <c r="CH34" s="23"/>
      <c r="CI34" s="23"/>
      <c r="CJ34" s="23"/>
      <c r="CK34" s="23"/>
      <c r="CL34" s="23"/>
      <c r="CM34" s="23"/>
      <c r="CN34" s="23"/>
      <c r="CO34" s="23"/>
      <c r="CP34" s="23"/>
      <c r="CQ34" s="23"/>
      <c r="CR34" s="23"/>
      <c r="CS34" s="23"/>
      <c r="CT34" s="23"/>
      <c r="CU34" s="23"/>
      <c r="CV34" s="23"/>
      <c r="CW34" s="23"/>
      <c r="CX34" s="23"/>
      <c r="CY34" s="23"/>
      <c r="CZ34" s="23"/>
      <c r="DA34" s="23"/>
      <c r="DB34" s="23"/>
      <c r="DC34" s="23"/>
      <c r="DD34" s="23"/>
      <c r="DE34" s="23"/>
      <c r="DF34" s="23"/>
      <c r="DG34" s="23"/>
      <c r="DH34" s="23"/>
      <c r="DI34" s="23"/>
      <c r="DJ34" s="23"/>
      <c r="DK34" s="23"/>
      <c r="DL34" s="23"/>
      <c r="DM34" s="23"/>
      <c r="DN34" s="23"/>
      <c r="DO34" s="23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  <c r="IU34" s="23"/>
      <c r="IV34" s="23"/>
      <c r="IW34" s="23"/>
    </row>
  </sheetData>
  <printOptions headings="false" gridLines="false" gridLinesSet="true" horizontalCentered="false" verticalCentered="false"/>
  <pageMargins left="0.5" right="0.5" top="0.5" bottom="0.5" header="0.511811023622047" footer="0.5"/>
  <pageSetup paperSize="1" scale="7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 &amp;A&amp;R&amp;D &amp;T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Y4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9" min="9" style="0" width="6.7"/>
  </cols>
  <sheetData>
    <row r="1" customFormat="false" ht="12.75" hidden="false" customHeight="false" outlineLevel="0" collapsed="false">
      <c r="A1" s="520" t="s">
        <v>451</v>
      </c>
      <c r="B1" s="521"/>
      <c r="C1" s="521"/>
      <c r="D1" s="521"/>
      <c r="E1" s="522"/>
      <c r="F1" s="522"/>
      <c r="J1" s="523"/>
      <c r="K1" s="524"/>
      <c r="L1" s="525" t="s">
        <v>452</v>
      </c>
      <c r="M1" s="526"/>
      <c r="N1" s="524"/>
      <c r="O1" s="526"/>
      <c r="P1" s="526"/>
      <c r="Q1" s="526"/>
      <c r="R1" s="526"/>
      <c r="S1" s="526"/>
      <c r="T1" s="526"/>
      <c r="U1" s="526"/>
      <c r="V1" s="526"/>
      <c r="W1" s="526"/>
      <c r="X1" s="526"/>
      <c r="Y1" s="526"/>
      <c r="Z1" s="526"/>
      <c r="AA1" s="526"/>
      <c r="AB1" s="526"/>
      <c r="AC1" s="526"/>
      <c r="AD1" s="526"/>
      <c r="AE1" s="526"/>
      <c r="AF1" s="526"/>
      <c r="AG1" s="526"/>
      <c r="AH1" s="526"/>
      <c r="AI1" s="526"/>
      <c r="AJ1" s="526"/>
      <c r="AK1" s="526"/>
      <c r="AL1" s="526"/>
      <c r="AM1" s="526"/>
      <c r="AN1" s="526"/>
      <c r="AO1" s="526"/>
      <c r="AP1" s="526"/>
      <c r="AQ1" s="524"/>
      <c r="AR1" s="524"/>
      <c r="AS1" s="524"/>
      <c r="AT1" s="524"/>
      <c r="AU1" s="524"/>
      <c r="AV1" s="524"/>
      <c r="AW1" s="524"/>
      <c r="AX1" s="524"/>
      <c r="AY1" s="527"/>
    </row>
    <row r="2" customFormat="false" ht="12.75" hidden="false" customHeight="false" outlineLevel="0" collapsed="false">
      <c r="A2" s="528"/>
      <c r="B2" s="521"/>
      <c r="C2" s="521" t="s">
        <v>453</v>
      </c>
      <c r="D2" s="521"/>
      <c r="E2" s="528"/>
      <c r="F2" s="528"/>
      <c r="J2" s="529"/>
      <c r="K2" s="530"/>
      <c r="L2" s="531" t="s">
        <v>448</v>
      </c>
      <c r="M2" s="530" t="n">
        <f aca="false" t="array" ref="M2:AY2">TRANSPOSE(J12:J50)</f>
        <v>1997</v>
      </c>
      <c r="N2" s="530" t="n">
        <v>1998</v>
      </c>
      <c r="O2" s="530" t="n">
        <v>1999</v>
      </c>
      <c r="P2" s="530" t="n">
        <v>2000</v>
      </c>
      <c r="Q2" s="530" t="n">
        <v>2001</v>
      </c>
      <c r="R2" s="530" t="n">
        <v>2002</v>
      </c>
      <c r="S2" s="530" t="n">
        <v>2003</v>
      </c>
      <c r="T2" s="530" t="n">
        <v>2004</v>
      </c>
      <c r="U2" s="530" t="n">
        <v>2005</v>
      </c>
      <c r="V2" s="530" t="n">
        <v>2006</v>
      </c>
      <c r="W2" s="530" t="n">
        <v>2007</v>
      </c>
      <c r="X2" s="530" t="n">
        <v>2008</v>
      </c>
      <c r="Y2" s="530" t="n">
        <v>2009</v>
      </c>
      <c r="Z2" s="530" t="n">
        <v>2010</v>
      </c>
      <c r="AA2" s="530" t="n">
        <v>2011</v>
      </c>
      <c r="AB2" s="530" t="n">
        <v>2012</v>
      </c>
      <c r="AC2" s="530" t="n">
        <v>2013</v>
      </c>
      <c r="AD2" s="530" t="n">
        <v>2014</v>
      </c>
      <c r="AE2" s="530" t="n">
        <v>2015</v>
      </c>
      <c r="AF2" s="530" t="n">
        <v>2016</v>
      </c>
      <c r="AG2" s="530" t="n">
        <v>2017</v>
      </c>
      <c r="AH2" s="530" t="n">
        <v>2018</v>
      </c>
      <c r="AI2" s="530" t="n">
        <v>2019</v>
      </c>
      <c r="AJ2" s="530" t="n">
        <v>2020</v>
      </c>
      <c r="AK2" s="530" t="n">
        <v>2021</v>
      </c>
      <c r="AL2" s="530" t="n">
        <v>2022</v>
      </c>
      <c r="AM2" s="530" t="n">
        <v>2023</v>
      </c>
      <c r="AN2" s="530" t="n">
        <v>2024</v>
      </c>
      <c r="AO2" s="530" t="n">
        <v>2025</v>
      </c>
      <c r="AP2" s="530" t="n">
        <v>2026</v>
      </c>
      <c r="AQ2" s="530" t="n">
        <v>2027</v>
      </c>
      <c r="AR2" s="530" t="n">
        <v>2028</v>
      </c>
      <c r="AS2" s="532" t="n">
        <v>2029</v>
      </c>
      <c r="AT2" s="532" t="n">
        <v>2030</v>
      </c>
      <c r="AU2" s="532" t="n">
        <v>2031</v>
      </c>
      <c r="AV2" s="532" t="n">
        <v>2032</v>
      </c>
      <c r="AW2" s="532" t="n">
        <v>2033</v>
      </c>
      <c r="AX2" s="532" t="n">
        <v>2034</v>
      </c>
      <c r="AY2" s="533" t="n">
        <v>2035</v>
      </c>
    </row>
    <row r="3" customFormat="false" ht="12.75" hidden="false" customHeight="false" outlineLevel="0" collapsed="false">
      <c r="A3" s="521"/>
      <c r="B3" s="534"/>
      <c r="C3" s="535" t="s">
        <v>454</v>
      </c>
      <c r="D3" s="536" t="s">
        <v>455</v>
      </c>
      <c r="E3" s="537"/>
      <c r="F3" s="537"/>
      <c r="J3" s="529"/>
      <c r="K3" s="530"/>
      <c r="L3" s="531" t="s">
        <v>451</v>
      </c>
      <c r="M3" s="538" t="n">
        <f aca="false" t="array" ref="M3:AY3">TRANSPOSE(K12:K50)</f>
        <v>0.0207969798690861</v>
      </c>
      <c r="N3" s="538" t="n">
        <v>0.0154416306361949</v>
      </c>
      <c r="O3" s="538" t="n">
        <v>0.0267639902676398</v>
      </c>
      <c r="P3" s="538" t="n">
        <v>0.0306934023412355</v>
      </c>
      <c r="Q3" s="538" t="n">
        <v>0.032823219339466</v>
      </c>
      <c r="R3" s="538" t="n">
        <v>0.0304488419545224</v>
      </c>
      <c r="S3" s="538" t="n">
        <v>0.0294488510873823</v>
      </c>
      <c r="T3" s="538" t="n">
        <v>0.0287197212461032</v>
      </c>
      <c r="U3" s="538" t="n">
        <v>0.0282197258271457</v>
      </c>
      <c r="V3" s="538" t="n">
        <v>0.0275572161929243</v>
      </c>
      <c r="W3" s="538" t="n">
        <v>0.0269197377378352</v>
      </c>
      <c r="X3" s="538" t="n">
        <v>0.0264197423188608</v>
      </c>
      <c r="Y3" s="538" t="n">
        <v>0.0259739166998865</v>
      </c>
      <c r="Z3" s="538" t="n">
        <v>0.0255739203661161</v>
      </c>
      <c r="AA3" s="538" t="n">
        <v>0.0252822612154913</v>
      </c>
      <c r="AB3" s="538" t="n">
        <v>0.0250822630495495</v>
      </c>
      <c r="AC3" s="538" t="n">
        <v>0.0251530937152533</v>
      </c>
      <c r="AD3" s="538" t="n">
        <v>0.0255072543104875</v>
      </c>
      <c r="AE3" s="538" t="n">
        <v>0.0259072506442577</v>
      </c>
      <c r="AF3" s="538" t="n">
        <v>0.0264155712560825</v>
      </c>
      <c r="AG3" s="538" t="n">
        <v>0.0269072414786764</v>
      </c>
      <c r="AH3" s="538" t="n">
        <v>0.0272530744617623</v>
      </c>
      <c r="AI3" s="538" t="n">
        <v>0.0278238804204469</v>
      </c>
      <c r="AJ3" s="538" t="n">
        <v>0.028623873102992</v>
      </c>
      <c r="AK3" s="538" t="n">
        <v>0.0298029642956255</v>
      </c>
      <c r="AL3" s="538" t="n">
        <v>0.0308155309618199</v>
      </c>
      <c r="AM3" s="538" t="n">
        <v>0.0314696864228807</v>
      </c>
      <c r="AN3" s="538" t="n">
        <v>0.0294597528952225</v>
      </c>
      <c r="AO3" s="538" t="n">
        <v>0.0323905309663979</v>
      </c>
      <c r="AP3" s="538" t="n">
        <v>0.0323905309663979</v>
      </c>
      <c r="AQ3" s="538" t="n">
        <v>0.0323905309663979</v>
      </c>
      <c r="AR3" s="538" t="n">
        <v>0.0323905309663979</v>
      </c>
      <c r="AS3" s="538" t="n">
        <v>0.0323905309663979</v>
      </c>
      <c r="AT3" s="538" t="n">
        <v>0.0323905309663979</v>
      </c>
      <c r="AU3" s="538" t="n">
        <v>0.0323905309663979</v>
      </c>
      <c r="AV3" s="538" t="n">
        <v>0.0323905309663979</v>
      </c>
      <c r="AW3" s="538" t="n">
        <v>0.0323905309663979</v>
      </c>
      <c r="AX3" s="538" t="n">
        <v>0.0323905309663979</v>
      </c>
      <c r="AY3" s="539" t="n">
        <v>0.0323905309663979</v>
      </c>
    </row>
    <row r="4" customFormat="false" ht="12.75" hidden="false" customHeight="false" outlineLevel="0" collapsed="false">
      <c r="A4" s="521"/>
      <c r="B4" s="540" t="s">
        <v>442</v>
      </c>
      <c r="C4" s="541" t="n">
        <f aca="false">[1]!USCPIDrift</f>
        <v>0.00195912221803987</v>
      </c>
      <c r="D4" s="542" t="n">
        <f aca="false">[1]!USCPIVol</f>
        <v>0.00123638634942494</v>
      </c>
      <c r="E4" s="537"/>
      <c r="F4" s="537"/>
      <c r="J4" s="543"/>
      <c r="K4" s="544"/>
      <c r="L4" s="521"/>
      <c r="M4" s="521"/>
      <c r="N4" s="521"/>
      <c r="O4" s="521"/>
      <c r="P4" s="521"/>
      <c r="Q4" s="521"/>
      <c r="R4" s="521"/>
      <c r="S4" s="521"/>
      <c r="T4" s="521"/>
      <c r="U4" s="521"/>
      <c r="V4" s="521"/>
      <c r="W4" s="521"/>
      <c r="X4" s="521"/>
      <c r="Y4" s="521"/>
      <c r="Z4" s="521"/>
      <c r="AA4" s="521"/>
      <c r="AB4" s="521"/>
      <c r="AC4" s="521"/>
      <c r="AD4" s="521"/>
      <c r="AE4" s="521"/>
      <c r="AF4" s="521"/>
      <c r="AG4" s="521"/>
      <c r="AH4" s="521"/>
      <c r="AI4" s="521"/>
      <c r="AJ4" s="521"/>
      <c r="AK4" s="521"/>
      <c r="AL4" s="521"/>
      <c r="AM4" s="521"/>
      <c r="AN4" s="521"/>
      <c r="AO4" s="521"/>
      <c r="AP4" s="521"/>
      <c r="AQ4" s="521"/>
      <c r="AR4" s="521"/>
      <c r="AS4" s="521"/>
      <c r="AT4" s="521"/>
      <c r="AU4" s="521"/>
      <c r="AV4" s="521"/>
      <c r="AW4" s="521"/>
      <c r="AX4" s="521"/>
      <c r="AY4" s="521"/>
    </row>
    <row r="5" customFormat="false" ht="12.75" hidden="false" customHeight="false" outlineLevel="0" collapsed="false">
      <c r="A5" s="521"/>
      <c r="B5" s="545" t="s">
        <v>441</v>
      </c>
      <c r="C5" s="546" t="n">
        <v>0.00195912221803987</v>
      </c>
      <c r="D5" s="547" t="n">
        <v>0.00123638634942494</v>
      </c>
      <c r="E5" s="537"/>
      <c r="F5" s="537"/>
      <c r="J5" s="548"/>
      <c r="K5" s="544"/>
      <c r="L5" s="521"/>
      <c r="M5" s="521"/>
      <c r="N5" s="521"/>
      <c r="O5" s="521"/>
      <c r="P5" s="521"/>
      <c r="Q5" s="521"/>
      <c r="R5" s="521"/>
      <c r="S5" s="521"/>
      <c r="T5" s="521"/>
      <c r="U5" s="521"/>
      <c r="V5" s="521"/>
      <c r="W5" s="521"/>
      <c r="X5" s="521"/>
      <c r="Y5" s="521"/>
      <c r="Z5" s="521"/>
      <c r="AA5" s="521"/>
      <c r="AB5" s="521"/>
      <c r="AC5" s="521"/>
      <c r="AD5" s="521"/>
      <c r="AE5" s="521"/>
      <c r="AF5" s="521"/>
      <c r="AG5" s="521"/>
      <c r="AH5" s="521"/>
      <c r="AI5" s="521"/>
      <c r="AJ5" s="521"/>
      <c r="AK5" s="521"/>
      <c r="AL5" s="521"/>
      <c r="AM5" s="521"/>
      <c r="AN5" s="521"/>
      <c r="AO5" s="521"/>
      <c r="AP5" s="521"/>
      <c r="AQ5" s="521"/>
      <c r="AR5" s="549"/>
      <c r="AS5" s="549"/>
      <c r="AT5" s="549"/>
      <c r="AU5" s="549"/>
      <c r="AV5" s="549"/>
      <c r="AW5" s="549"/>
      <c r="AX5" s="549"/>
      <c r="AY5" s="549"/>
    </row>
    <row r="6" customFormat="false" ht="12.75" hidden="false" customHeight="false" outlineLevel="0" collapsed="false">
      <c r="A6" s="550"/>
      <c r="B6" s="550"/>
      <c r="C6" s="550"/>
      <c r="D6" s="550"/>
      <c r="E6" s="550"/>
      <c r="F6" s="550"/>
      <c r="J6" s="548"/>
      <c r="K6" s="544"/>
      <c r="L6" s="521"/>
      <c r="M6" s="521"/>
      <c r="N6" s="521"/>
      <c r="O6" s="521"/>
      <c r="P6" s="521"/>
      <c r="Q6" s="521"/>
      <c r="R6" s="521"/>
      <c r="S6" s="521"/>
      <c r="T6" s="521"/>
      <c r="U6" s="521"/>
      <c r="V6" s="521"/>
      <c r="W6" s="521"/>
      <c r="X6" s="521"/>
      <c r="Y6" s="521"/>
      <c r="Z6" s="521"/>
      <c r="AA6" s="521"/>
      <c r="AB6" s="521"/>
      <c r="AC6" s="521"/>
      <c r="AD6" s="521"/>
      <c r="AE6" s="521"/>
      <c r="AF6" s="521"/>
      <c r="AG6" s="521"/>
      <c r="AH6" s="521"/>
      <c r="AI6" s="521"/>
      <c r="AJ6" s="521"/>
      <c r="AK6" s="521"/>
      <c r="AL6" s="521"/>
      <c r="AM6" s="521"/>
      <c r="AN6" s="521"/>
      <c r="AO6" s="521"/>
      <c r="AP6" s="521"/>
      <c r="AQ6" s="521"/>
      <c r="AR6" s="549"/>
      <c r="AS6" s="549"/>
      <c r="AT6" s="549"/>
      <c r="AU6" s="549"/>
      <c r="AV6" s="549"/>
      <c r="AW6" s="549"/>
      <c r="AX6" s="549"/>
      <c r="AY6" s="549"/>
    </row>
    <row r="7" customFormat="false" ht="12.75" hidden="false" customHeight="false" outlineLevel="0" collapsed="false">
      <c r="A7" s="551" t="s">
        <v>456</v>
      </c>
      <c r="B7" s="552"/>
      <c r="C7" s="552"/>
      <c r="D7" s="552"/>
      <c r="E7" s="552"/>
      <c r="F7" s="553" t="n">
        <v>0</v>
      </c>
      <c r="J7" s="548"/>
      <c r="K7" s="544"/>
      <c r="L7" s="521"/>
      <c r="M7" s="521"/>
      <c r="N7" s="521"/>
      <c r="O7" s="521"/>
      <c r="P7" s="521"/>
      <c r="Q7" s="521"/>
      <c r="R7" s="521"/>
      <c r="S7" s="521"/>
      <c r="T7" s="521"/>
      <c r="U7" s="521"/>
      <c r="V7" s="521"/>
      <c r="W7" s="521"/>
      <c r="X7" s="521"/>
      <c r="Y7" s="521"/>
      <c r="Z7" s="521"/>
      <c r="AA7" s="521"/>
      <c r="AB7" s="521"/>
      <c r="AC7" s="521"/>
      <c r="AD7" s="521"/>
      <c r="AE7" s="521"/>
      <c r="AF7" s="521"/>
      <c r="AG7" s="521"/>
      <c r="AH7" s="521"/>
      <c r="AI7" s="521"/>
      <c r="AJ7" s="521"/>
      <c r="AK7" s="521"/>
      <c r="AL7" s="521"/>
      <c r="AM7" s="521"/>
      <c r="AN7" s="521"/>
      <c r="AO7" s="521"/>
      <c r="AP7" s="521"/>
      <c r="AQ7" s="521"/>
      <c r="AR7" s="549"/>
      <c r="AS7" s="549"/>
      <c r="AT7" s="549"/>
      <c r="AU7" s="549"/>
      <c r="AV7" s="549"/>
      <c r="AW7" s="549"/>
      <c r="AX7" s="549"/>
      <c r="AY7" s="549"/>
    </row>
    <row r="8" customFormat="false" ht="13.5" hidden="false" customHeight="false" outlineLevel="0" collapsed="false">
      <c r="A8" s="551" t="s">
        <v>457</v>
      </c>
      <c r="B8" s="552"/>
      <c r="C8" s="552"/>
      <c r="D8" s="552"/>
      <c r="E8" s="552"/>
      <c r="F8" s="553" t="n">
        <v>1</v>
      </c>
      <c r="J8" s="543"/>
      <c r="K8" s="554"/>
      <c r="L8" s="521"/>
      <c r="M8" s="521"/>
      <c r="N8" s="521"/>
      <c r="O8" s="549"/>
      <c r="P8" s="521"/>
      <c r="Q8" s="521"/>
      <c r="R8" s="521"/>
      <c r="S8" s="521"/>
      <c r="T8" s="549"/>
      <c r="U8" s="521"/>
      <c r="V8" s="521"/>
      <c r="W8" s="521"/>
      <c r="X8" s="521"/>
      <c r="Y8" s="521"/>
      <c r="Z8" s="521"/>
      <c r="AA8" s="521"/>
      <c r="AB8" s="521"/>
      <c r="AC8" s="521"/>
      <c r="AD8" s="521"/>
      <c r="AE8" s="521"/>
      <c r="AF8" s="521"/>
      <c r="AG8" s="521"/>
      <c r="AH8" s="521"/>
      <c r="AI8" s="521"/>
      <c r="AJ8" s="521"/>
      <c r="AK8" s="521"/>
      <c r="AL8" s="521"/>
      <c r="AM8" s="521"/>
      <c r="AN8" s="521"/>
      <c r="AO8" s="521"/>
      <c r="AP8" s="521"/>
      <c r="AQ8" s="521"/>
      <c r="AR8" s="521"/>
      <c r="AS8" s="521"/>
      <c r="AT8" s="521"/>
      <c r="AU8" s="521"/>
      <c r="AV8" s="521"/>
      <c r="AW8" s="521"/>
      <c r="AX8" s="521"/>
      <c r="AY8" s="521"/>
    </row>
    <row r="9" customFormat="false" ht="12.75" hidden="false" customHeight="false" outlineLevel="0" collapsed="false">
      <c r="A9" s="555"/>
      <c r="B9" s="521"/>
      <c r="C9" s="521"/>
      <c r="D9" s="521"/>
      <c r="E9" s="556"/>
      <c r="F9" s="556"/>
      <c r="J9" s="557" t="s">
        <v>458</v>
      </c>
      <c r="K9" s="557"/>
      <c r="L9" s="521"/>
      <c r="M9" s="558" t="s">
        <v>436</v>
      </c>
      <c r="N9" s="558"/>
      <c r="O9" s="558"/>
      <c r="P9" s="558"/>
      <c r="Q9" s="558"/>
      <c r="R9" s="558"/>
      <c r="S9" s="558"/>
      <c r="T9" s="558"/>
      <c r="U9" s="521"/>
      <c r="V9" s="521"/>
      <c r="W9" s="521"/>
      <c r="X9" s="521"/>
      <c r="Y9" s="521"/>
      <c r="Z9" s="521"/>
      <c r="AA9" s="521"/>
      <c r="AB9" s="521"/>
      <c r="AC9" s="521"/>
      <c r="AD9" s="521"/>
      <c r="AE9" s="521"/>
      <c r="AF9" s="521"/>
      <c r="AG9" s="521"/>
      <c r="AH9" s="521"/>
      <c r="AI9" s="521"/>
      <c r="AJ9" s="521"/>
      <c r="AK9" s="521"/>
      <c r="AL9" s="521"/>
      <c r="AM9" s="521"/>
      <c r="AN9" s="521"/>
      <c r="AO9" s="521"/>
      <c r="AP9" s="521"/>
      <c r="AQ9" s="521"/>
      <c r="AR9" s="521"/>
      <c r="AS9" s="521"/>
      <c r="AT9" s="521"/>
      <c r="AU9" s="521"/>
      <c r="AV9" s="521"/>
      <c r="AW9" s="521"/>
      <c r="AX9" s="521"/>
      <c r="AY9" s="521"/>
    </row>
    <row r="10" customFormat="false" ht="12.75" hidden="false" customHeight="false" outlineLevel="0" collapsed="false">
      <c r="A10" s="555"/>
      <c r="B10" s="550"/>
      <c r="C10" s="550" t="s">
        <v>441</v>
      </c>
      <c r="D10" s="550" t="s">
        <v>442</v>
      </c>
      <c r="E10" s="559" t="s">
        <v>441</v>
      </c>
      <c r="F10" s="559" t="s">
        <v>442</v>
      </c>
      <c r="G10" s="556"/>
      <c r="H10" s="556"/>
      <c r="J10" s="560"/>
      <c r="K10" s="561" t="s">
        <v>459</v>
      </c>
      <c r="L10" s="521"/>
      <c r="M10" s="562" t="s">
        <v>460</v>
      </c>
      <c r="N10" s="563"/>
      <c r="O10" s="563"/>
      <c r="P10" s="563"/>
      <c r="Q10" s="564"/>
      <c r="R10" s="564"/>
      <c r="S10" s="564"/>
      <c r="T10" s="565"/>
      <c r="U10" s="521"/>
      <c r="V10" s="521"/>
      <c r="W10" s="521"/>
      <c r="X10" s="521"/>
      <c r="Y10" s="521"/>
      <c r="Z10" s="521"/>
      <c r="AA10" s="521"/>
      <c r="AB10" s="521"/>
      <c r="AC10" s="521"/>
      <c r="AD10" s="521"/>
      <c r="AE10" s="521"/>
      <c r="AF10" s="521"/>
      <c r="AG10" s="521"/>
      <c r="AH10" s="521"/>
      <c r="AI10" s="521"/>
      <c r="AJ10" s="521"/>
      <c r="AK10" s="521"/>
      <c r="AL10" s="521"/>
      <c r="AM10" s="521"/>
      <c r="AN10" s="521"/>
      <c r="AO10" s="521"/>
      <c r="AP10" s="521"/>
      <c r="AQ10" s="521"/>
      <c r="AR10" s="521"/>
      <c r="AS10" s="521"/>
      <c r="AT10" s="521"/>
      <c r="AU10" s="521"/>
      <c r="AV10" s="521"/>
      <c r="AW10" s="521"/>
      <c r="AX10" s="521"/>
      <c r="AY10" s="521"/>
    </row>
    <row r="11" customFormat="false" ht="12.75" hidden="false" customHeight="false" outlineLevel="0" collapsed="false">
      <c r="A11" s="566" t="s">
        <v>461</v>
      </c>
      <c r="B11" s="567" t="s">
        <v>450</v>
      </c>
      <c r="C11" s="567" t="s">
        <v>462</v>
      </c>
      <c r="D11" s="567" t="s">
        <v>462</v>
      </c>
      <c r="E11" s="568" t="s">
        <v>463</v>
      </c>
      <c r="F11" s="568" t="s">
        <v>463</v>
      </c>
      <c r="G11" s="567" t="s">
        <v>451</v>
      </c>
      <c r="H11" s="567" t="s">
        <v>464</v>
      </c>
      <c r="J11" s="569" t="s">
        <v>448</v>
      </c>
      <c r="K11" s="570" t="s">
        <v>465</v>
      </c>
      <c r="L11" s="521"/>
      <c r="M11" s="571" t="s">
        <v>439</v>
      </c>
      <c r="N11" s="572"/>
      <c r="O11" s="572"/>
      <c r="P11" s="572"/>
      <c r="Q11" s="573"/>
      <c r="R11" s="573"/>
      <c r="S11" s="573"/>
      <c r="T11" s="574"/>
      <c r="U11" s="521"/>
      <c r="V11" s="521"/>
      <c r="W11" s="521"/>
      <c r="X11" s="521"/>
      <c r="Y11" s="521"/>
      <c r="Z11" s="521"/>
      <c r="AA11" s="521"/>
      <c r="AB11" s="521"/>
      <c r="AC11" s="521"/>
      <c r="AD11" s="521"/>
      <c r="AE11" s="521"/>
      <c r="AF11" s="521"/>
      <c r="AG11" s="521"/>
      <c r="AH11" s="521"/>
      <c r="AI11" s="521"/>
      <c r="AJ11" s="521"/>
      <c r="AK11" s="521"/>
      <c r="AL11" s="521"/>
      <c r="AM11" s="521"/>
      <c r="AN11" s="521"/>
      <c r="AO11" s="521"/>
      <c r="AP11" s="521"/>
      <c r="AQ11" s="521"/>
      <c r="AR11" s="521"/>
      <c r="AS11" s="521"/>
      <c r="AT11" s="521"/>
      <c r="AU11" s="521"/>
      <c r="AV11" s="521"/>
      <c r="AW11" s="521"/>
      <c r="AX11" s="521"/>
      <c r="AY11" s="521"/>
    </row>
    <row r="12" customFormat="false" ht="12.75" hidden="false" customHeight="false" outlineLevel="0" collapsed="false">
      <c r="A12" s="575" t="n">
        <v>35431</v>
      </c>
      <c r="E12" s="576" t="n">
        <v>159.1</v>
      </c>
      <c r="F12" s="577" t="n">
        <f aca="false">VLOOKUP(A12,[1]!CPIndex,2)</f>
        <v>159.1</v>
      </c>
      <c r="G12" s="578" t="n">
        <f aca="false">$G$13</f>
        <v>0.00314267756128221</v>
      </c>
      <c r="H12" s="578" t="n">
        <f aca="false">G12+1</f>
        <v>1.00314267756128</v>
      </c>
      <c r="J12" s="579" t="n">
        <v>1997</v>
      </c>
      <c r="K12" s="580" t="n">
        <f aca="false">PRODUCT(H12:H23)-1</f>
        <v>0.0207969798690861</v>
      </c>
      <c r="L12" s="521"/>
      <c r="M12" s="581" t="s">
        <v>466</v>
      </c>
      <c r="N12" s="582"/>
      <c r="O12" s="582"/>
      <c r="P12" s="582"/>
      <c r="Q12" s="583"/>
      <c r="R12" s="583"/>
      <c r="S12" s="583"/>
      <c r="T12" s="584"/>
      <c r="U12" s="521"/>
      <c r="V12" s="521"/>
      <c r="W12" s="521"/>
      <c r="X12" s="521"/>
      <c r="Y12" s="521"/>
      <c r="Z12" s="521"/>
      <c r="AA12" s="521"/>
      <c r="AB12" s="521"/>
      <c r="AC12" s="521"/>
      <c r="AD12" s="521"/>
      <c r="AE12" s="521"/>
      <c r="AF12" s="521"/>
      <c r="AG12" s="521"/>
      <c r="AH12" s="521"/>
      <c r="AI12" s="521"/>
      <c r="AJ12" s="521"/>
      <c r="AK12" s="521"/>
      <c r="AL12" s="521"/>
      <c r="AM12" s="521"/>
      <c r="AN12" s="521"/>
      <c r="AO12" s="521"/>
      <c r="AP12" s="521"/>
      <c r="AQ12" s="521"/>
      <c r="AR12" s="521"/>
      <c r="AS12" s="521"/>
      <c r="AT12" s="521"/>
      <c r="AU12" s="521"/>
      <c r="AV12" s="521"/>
      <c r="AW12" s="521"/>
      <c r="AX12" s="521"/>
      <c r="AY12" s="521"/>
    </row>
    <row r="13" customFormat="false" ht="13.5" hidden="false" customHeight="false" outlineLevel="0" collapsed="false">
      <c r="A13" s="575" t="n">
        <v>35462</v>
      </c>
      <c r="E13" s="576" t="n">
        <v>159.6</v>
      </c>
      <c r="F13" s="577" t="n">
        <f aca="false">IF(VLOOKUP(A13,[1]!CPIndex,2)=0,(F12*EXP($C$4-1/2*$D$4^2+$D$4*B13)),VLOOKUP(A13,[1]!CPIndex,2))</f>
        <v>159.6</v>
      </c>
      <c r="G13" s="585" t="n">
        <f aca="false">IF(shiftswitch4=1,(F13-F12)/F12,(E13-E12)/E12)</f>
        <v>0.00314267756128221</v>
      </c>
      <c r="H13" s="578" t="n">
        <f aca="false">G13+1</f>
        <v>1.00314267756128</v>
      </c>
      <c r="J13" s="579" t="n">
        <v>1998</v>
      </c>
      <c r="K13" s="580" t="n">
        <f aca="false">PRODUCT(H24:H35)-1</f>
        <v>0.0154416306361949</v>
      </c>
      <c r="L13" s="521"/>
      <c r="M13" s="586" t="s">
        <v>467</v>
      </c>
      <c r="N13" s="587"/>
      <c r="O13" s="587"/>
      <c r="P13" s="587"/>
      <c r="Q13" s="588"/>
      <c r="R13" s="588"/>
      <c r="S13" s="588"/>
      <c r="T13" s="589"/>
      <c r="U13" s="521"/>
      <c r="V13" s="521"/>
      <c r="W13" s="521"/>
      <c r="X13" s="521"/>
      <c r="Y13" s="521"/>
      <c r="Z13" s="521"/>
      <c r="AA13" s="521"/>
      <c r="AB13" s="521"/>
      <c r="AC13" s="521"/>
      <c r="AD13" s="521"/>
      <c r="AE13" s="521"/>
      <c r="AF13" s="521"/>
      <c r="AG13" s="521"/>
      <c r="AH13" s="521"/>
      <c r="AI13" s="521"/>
      <c r="AJ13" s="521"/>
      <c r="AK13" s="521"/>
      <c r="AL13" s="521"/>
      <c r="AM13" s="521"/>
      <c r="AN13" s="521"/>
      <c r="AO13" s="521"/>
      <c r="AP13" s="521"/>
      <c r="AQ13" s="521"/>
      <c r="AR13" s="521"/>
      <c r="AS13" s="521"/>
      <c r="AT13" s="521"/>
      <c r="AU13" s="521"/>
      <c r="AV13" s="521"/>
      <c r="AW13" s="521"/>
      <c r="AX13" s="521"/>
      <c r="AY13" s="521"/>
    </row>
    <row r="14" customFormat="false" ht="12.75" hidden="false" customHeight="false" outlineLevel="0" collapsed="false">
      <c r="A14" s="575" t="n">
        <v>35490</v>
      </c>
      <c r="E14" s="576" t="n">
        <v>160</v>
      </c>
      <c r="F14" s="577" t="n">
        <f aca="false">IF(VLOOKUP(A14,[1]!CPIndex,2)=0,(F13*EXP($C$4-1/2*$D$4^2+$D$4*B14)),VLOOKUP(A14,[1]!CPIndex,2))</f>
        <v>160</v>
      </c>
      <c r="G14" s="585" t="n">
        <f aca="false">IF(shiftswitch4=1,(F14-F13)/F13,(E14-E13)/E13)</f>
        <v>0.00250626566416044</v>
      </c>
      <c r="H14" s="578" t="n">
        <f aca="false">G14+1</f>
        <v>1.00250626566416</v>
      </c>
      <c r="J14" s="579" t="n">
        <v>1999</v>
      </c>
      <c r="K14" s="580" t="n">
        <f aca="false">PRODUCT(H36:H47)-1</f>
        <v>0.0267639902676398</v>
      </c>
      <c r="L14" s="521"/>
      <c r="M14" s="521"/>
      <c r="N14" s="521"/>
      <c r="O14" s="521"/>
      <c r="P14" s="521"/>
      <c r="Q14" s="521"/>
      <c r="R14" s="521"/>
      <c r="S14" s="521"/>
      <c r="T14" s="585"/>
      <c r="U14" s="521"/>
      <c r="V14" s="521"/>
      <c r="W14" s="521"/>
      <c r="X14" s="521"/>
      <c r="Y14" s="521"/>
      <c r="Z14" s="521"/>
      <c r="AA14" s="521"/>
      <c r="AB14" s="521"/>
      <c r="AC14" s="521"/>
      <c r="AD14" s="521"/>
      <c r="AE14" s="521"/>
      <c r="AF14" s="521"/>
      <c r="AG14" s="521"/>
      <c r="AH14" s="521"/>
      <c r="AI14" s="521"/>
      <c r="AJ14" s="521"/>
      <c r="AK14" s="521"/>
      <c r="AL14" s="521"/>
      <c r="AM14" s="521"/>
      <c r="AN14" s="521"/>
      <c r="AO14" s="521"/>
      <c r="AP14" s="521"/>
      <c r="AQ14" s="521"/>
      <c r="AR14" s="521"/>
      <c r="AS14" s="521"/>
      <c r="AT14" s="521"/>
      <c r="AU14" s="521"/>
      <c r="AV14" s="521"/>
      <c r="AW14" s="521"/>
      <c r="AX14" s="521"/>
      <c r="AY14" s="521"/>
    </row>
    <row r="15" customFormat="false" ht="12.75" hidden="false" customHeight="false" outlineLevel="0" collapsed="false">
      <c r="A15" s="575" t="n">
        <v>35521</v>
      </c>
      <c r="E15" s="576" t="n">
        <v>160.2</v>
      </c>
      <c r="F15" s="577" t="n">
        <f aca="false">IF(VLOOKUP(A15,[1]!CPIndex,2)=0,(F14*EXP($C$4-1/2*$D$4^2+$D$4*B15)),VLOOKUP(A15,[1]!CPIndex,2))</f>
        <v>160.2</v>
      </c>
      <c r="G15" s="585" t="n">
        <f aca="false">IF(shiftswitch4=1,(F15-F14)/F14,(E15-E14)/E14)</f>
        <v>0.00124999999999993</v>
      </c>
      <c r="H15" s="578" t="n">
        <f aca="false">G15+1</f>
        <v>1.00125</v>
      </c>
      <c r="J15" s="590" t="n">
        <v>2000</v>
      </c>
      <c r="K15" s="591" t="n">
        <f aca="false">PRODUCT(H48:H59)-1</f>
        <v>0.0306934023412355</v>
      </c>
      <c r="L15" s="521"/>
      <c r="M15" s="521"/>
      <c r="N15" s="521"/>
      <c r="O15" s="521"/>
      <c r="P15" s="521"/>
      <c r="Q15" s="521"/>
      <c r="R15" s="521"/>
      <c r="S15" s="521"/>
      <c r="T15" s="585"/>
      <c r="U15" s="521"/>
      <c r="V15" s="521"/>
      <c r="W15" s="521"/>
      <c r="X15" s="521"/>
      <c r="Y15" s="521"/>
      <c r="Z15" s="521"/>
      <c r="AA15" s="521"/>
      <c r="AB15" s="521"/>
      <c r="AC15" s="521"/>
      <c r="AD15" s="521"/>
      <c r="AE15" s="521"/>
      <c r="AF15" s="521"/>
      <c r="AG15" s="521"/>
      <c r="AH15" s="521"/>
      <c r="AI15" s="521"/>
      <c r="AJ15" s="521"/>
      <c r="AK15" s="521"/>
      <c r="AL15" s="521"/>
      <c r="AM15" s="521"/>
      <c r="AN15" s="521"/>
      <c r="AO15" s="521"/>
      <c r="AP15" s="521"/>
      <c r="AQ15" s="521"/>
      <c r="AR15" s="521"/>
      <c r="AS15" s="521"/>
      <c r="AT15" s="521"/>
      <c r="AU15" s="521"/>
      <c r="AV15" s="521"/>
      <c r="AW15" s="521"/>
      <c r="AX15" s="521"/>
      <c r="AY15" s="521"/>
    </row>
    <row r="16" customFormat="false" ht="12.75" hidden="false" customHeight="false" outlineLevel="0" collapsed="false">
      <c r="A16" s="575" t="n">
        <v>35551</v>
      </c>
      <c r="E16" s="576" t="n">
        <v>160.1</v>
      </c>
      <c r="F16" s="577" t="n">
        <f aca="false">IF(VLOOKUP(A16,[1]!CPIndex,2)=0,(F15*EXP($C$4-1/2*$D$4^2+$D$4*B16)),VLOOKUP(A16,[1]!CPIndex,2))</f>
        <v>160.1</v>
      </c>
      <c r="G16" s="585" t="n">
        <f aca="false">IF(shiftswitch4=1,(F16-F15)/F15,(E16-E15)/E15)</f>
        <v>-0.000624219725343285</v>
      </c>
      <c r="H16" s="578" t="n">
        <f aca="false">G16+1</f>
        <v>0.999375780274657</v>
      </c>
      <c r="J16" s="590" t="n">
        <v>2001</v>
      </c>
      <c r="K16" s="591" t="n">
        <f aca="false">PRODUCT(H60:H71)-1</f>
        <v>0.032823219339466</v>
      </c>
      <c r="L16" s="521"/>
      <c r="M16" s="521"/>
      <c r="N16" s="521"/>
      <c r="O16" s="521"/>
      <c r="P16" s="521"/>
      <c r="Q16" s="521"/>
      <c r="R16" s="521"/>
      <c r="S16" s="521"/>
      <c r="T16" s="521"/>
      <c r="U16" s="521"/>
      <c r="V16" s="521"/>
      <c r="W16" s="521"/>
      <c r="X16" s="521"/>
      <c r="Y16" s="521"/>
      <c r="Z16" s="521"/>
      <c r="AA16" s="521"/>
      <c r="AB16" s="521"/>
      <c r="AC16" s="521"/>
      <c r="AD16" s="521"/>
      <c r="AE16" s="521"/>
      <c r="AF16" s="521"/>
      <c r="AG16" s="521"/>
      <c r="AH16" s="521"/>
      <c r="AI16" s="521"/>
      <c r="AJ16" s="521"/>
      <c r="AK16" s="521"/>
      <c r="AL16" s="521"/>
      <c r="AM16" s="521"/>
      <c r="AN16" s="521"/>
      <c r="AO16" s="521"/>
      <c r="AP16" s="521"/>
      <c r="AQ16" s="521"/>
      <c r="AR16" s="521"/>
      <c r="AS16" s="521"/>
      <c r="AT16" s="521"/>
      <c r="AU16" s="521"/>
      <c r="AV16" s="521"/>
      <c r="AW16" s="521"/>
      <c r="AX16" s="521"/>
      <c r="AY16" s="521"/>
    </row>
    <row r="17" customFormat="false" ht="12.75" hidden="false" customHeight="false" outlineLevel="0" collapsed="false">
      <c r="A17" s="575" t="n">
        <v>35582</v>
      </c>
      <c r="E17" s="576" t="n">
        <v>160.4</v>
      </c>
      <c r="F17" s="577" t="n">
        <f aca="false">IF(VLOOKUP(A17,[1]!CPIndex,2)=0,(F16*EXP($C$4-1/2*$D$4^2+$D$4*B17)),VLOOKUP(A17,[1]!CPIndex,2))</f>
        <v>160.4</v>
      </c>
      <c r="G17" s="585" t="n">
        <f aca="false">IF(shiftswitch4=1,(F17-F16)/F16,(E17-E16)/E16)</f>
        <v>0.00187382885696447</v>
      </c>
      <c r="H17" s="578" t="n">
        <f aca="false">G17+1</f>
        <v>1.00187382885696</v>
      </c>
      <c r="J17" s="590" t="n">
        <v>2002</v>
      </c>
      <c r="K17" s="591" t="n">
        <f aca="false">PRODUCT(H72:H83)-1</f>
        <v>0.0304488419545224</v>
      </c>
      <c r="L17" s="521"/>
      <c r="M17" s="521"/>
      <c r="N17" s="521"/>
      <c r="O17" s="521"/>
      <c r="P17" s="521"/>
      <c r="Q17" s="521"/>
      <c r="R17" s="521"/>
      <c r="S17" s="521"/>
      <c r="T17" s="521"/>
      <c r="U17" s="521"/>
      <c r="V17" s="521"/>
      <c r="W17" s="521"/>
      <c r="X17" s="521"/>
      <c r="Y17" s="521"/>
      <c r="Z17" s="521"/>
      <c r="AA17" s="521"/>
      <c r="AB17" s="521"/>
      <c r="AC17" s="521"/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1"/>
      <c r="AQ17" s="521"/>
      <c r="AR17" s="521"/>
      <c r="AS17" s="521"/>
      <c r="AT17" s="521"/>
      <c r="AU17" s="521"/>
      <c r="AV17" s="521"/>
      <c r="AW17" s="521"/>
      <c r="AX17" s="521"/>
      <c r="AY17" s="521"/>
    </row>
    <row r="18" customFormat="false" ht="12.75" hidden="false" customHeight="false" outlineLevel="0" collapsed="false">
      <c r="A18" s="575" t="n">
        <v>35612</v>
      </c>
      <c r="E18" s="576" t="n">
        <v>160.6</v>
      </c>
      <c r="F18" s="577" t="n">
        <f aca="false">IF(VLOOKUP(A18,[1]!CPIndex,2)=0,(F17*EXP($C$4-1/2*$D$4^2+$D$4*B18)),VLOOKUP(A18,[1]!CPIndex,2))</f>
        <v>160.6</v>
      </c>
      <c r="G18" s="585" t="n">
        <f aca="false">IF(shiftswitch4=1,(F18-F17)/F17,(E18-E17)/E17)</f>
        <v>0.00124688279301739</v>
      </c>
      <c r="H18" s="578" t="n">
        <f aca="false">G18+1</f>
        <v>1.00124688279302</v>
      </c>
      <c r="J18" s="590" t="n">
        <v>2003</v>
      </c>
      <c r="K18" s="591" t="n">
        <f aca="false">PRODUCT(H84:H95)-1</f>
        <v>0.0294488510873823</v>
      </c>
      <c r="L18" s="521"/>
      <c r="M18" s="521"/>
      <c r="N18" s="521"/>
      <c r="O18" s="521"/>
      <c r="P18" s="521"/>
      <c r="Q18" s="521"/>
      <c r="R18" s="521"/>
      <c r="S18" s="521"/>
      <c r="T18" s="521"/>
      <c r="U18" s="521"/>
      <c r="V18" s="521"/>
      <c r="W18" s="521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1"/>
      <c r="AQ18" s="521"/>
      <c r="AR18" s="521"/>
      <c r="AS18" s="521"/>
      <c r="AT18" s="521"/>
      <c r="AU18" s="521"/>
      <c r="AV18" s="521"/>
      <c r="AW18" s="521"/>
      <c r="AX18" s="521"/>
      <c r="AY18" s="521"/>
    </row>
    <row r="19" customFormat="false" ht="12.75" hidden="false" customHeight="false" outlineLevel="0" collapsed="false">
      <c r="A19" s="575" t="n">
        <v>35643</v>
      </c>
      <c r="E19" s="576" t="n">
        <v>160.9</v>
      </c>
      <c r="F19" s="577" t="n">
        <f aca="false">IF(VLOOKUP(A19,[1]!CPIndex,2)=0,(F18*EXP($C$4-1/2*$D$4^2+$D$4*B19)),VLOOKUP(A19,[1]!CPIndex,2))</f>
        <v>160.9</v>
      </c>
      <c r="G19" s="585" t="n">
        <f aca="false">IF(shiftswitch4=1,(F19-F18)/F18,(E19-E18)/E18)</f>
        <v>0.00186799501868002</v>
      </c>
      <c r="H19" s="578" t="n">
        <f aca="false">G19+1</f>
        <v>1.00186799501868</v>
      </c>
      <c r="J19" s="590" t="n">
        <v>2004</v>
      </c>
      <c r="K19" s="591" t="n">
        <f aca="false">PRODUCT(H96:H107)-1</f>
        <v>0.0287197212461032</v>
      </c>
      <c r="L19" s="521"/>
      <c r="M19" s="521"/>
      <c r="N19" s="521"/>
      <c r="O19" s="521"/>
      <c r="P19" s="521"/>
      <c r="Q19" s="521"/>
      <c r="R19" s="521"/>
      <c r="S19" s="521"/>
      <c r="T19" s="521"/>
      <c r="U19" s="521"/>
      <c r="V19" s="521"/>
      <c r="W19" s="521"/>
      <c r="X19" s="521"/>
      <c r="Y19" s="521"/>
      <c r="Z19" s="521"/>
      <c r="AA19" s="521"/>
      <c r="AB19" s="521"/>
      <c r="AC19" s="521"/>
      <c r="AD19" s="521"/>
      <c r="AE19" s="521"/>
      <c r="AF19" s="521"/>
      <c r="AG19" s="521"/>
      <c r="AH19" s="521"/>
      <c r="AI19" s="521"/>
      <c r="AJ19" s="521"/>
      <c r="AK19" s="521"/>
      <c r="AL19" s="521"/>
      <c r="AM19" s="521"/>
      <c r="AN19" s="521"/>
      <c r="AO19" s="521"/>
      <c r="AP19" s="521"/>
      <c r="AQ19" s="521"/>
      <c r="AR19" s="521"/>
      <c r="AS19" s="521"/>
      <c r="AT19" s="521"/>
      <c r="AU19" s="521"/>
      <c r="AV19" s="521"/>
      <c r="AW19" s="521"/>
      <c r="AX19" s="521"/>
      <c r="AY19" s="521"/>
    </row>
    <row r="20" customFormat="false" ht="12.75" hidden="false" customHeight="false" outlineLevel="0" collapsed="false">
      <c r="A20" s="575" t="n">
        <v>35674</v>
      </c>
      <c r="E20" s="576" t="n">
        <v>161.3</v>
      </c>
      <c r="F20" s="577" t="n">
        <f aca="false">IF(VLOOKUP(A20,[1]!CPIndex,2)=0,(F19*EXP($C$4-1/2*$D$4^2+$D$4*B20)),VLOOKUP(A20,[1]!CPIndex,2))</f>
        <v>161.3</v>
      </c>
      <c r="G20" s="585" t="n">
        <f aca="false">IF(shiftswitch4=1,(F20-F19)/F19,(E20-E19)/E19)</f>
        <v>0.00248601615910507</v>
      </c>
      <c r="H20" s="578" t="n">
        <f aca="false">G20+1</f>
        <v>1.00248601615911</v>
      </c>
      <c r="J20" s="590" t="n">
        <v>2005</v>
      </c>
      <c r="K20" s="591" t="n">
        <f aca="false">PRODUCT(H108:H119)-1</f>
        <v>0.0282197258271457</v>
      </c>
      <c r="L20" s="521"/>
      <c r="M20" s="521"/>
      <c r="N20" s="521"/>
      <c r="O20" s="521"/>
      <c r="P20" s="521"/>
      <c r="Q20" s="521"/>
      <c r="R20" s="521"/>
      <c r="S20" s="521"/>
      <c r="T20" s="521"/>
      <c r="U20" s="521"/>
      <c r="V20" s="521"/>
      <c r="W20" s="521"/>
      <c r="X20" s="521"/>
      <c r="Y20" s="521"/>
      <c r="Z20" s="521"/>
      <c r="AA20" s="521"/>
      <c r="AB20" s="521"/>
      <c r="AC20" s="521"/>
      <c r="AD20" s="521"/>
      <c r="AE20" s="521"/>
      <c r="AF20" s="521"/>
      <c r="AG20" s="521"/>
      <c r="AH20" s="521"/>
      <c r="AI20" s="521"/>
      <c r="AJ20" s="521"/>
      <c r="AK20" s="521"/>
      <c r="AL20" s="521"/>
      <c r="AM20" s="521"/>
      <c r="AN20" s="521"/>
      <c r="AO20" s="521"/>
      <c r="AP20" s="521"/>
      <c r="AQ20" s="521"/>
      <c r="AR20" s="521"/>
      <c r="AS20" s="521"/>
      <c r="AT20" s="521"/>
      <c r="AU20" s="521"/>
      <c r="AV20" s="521"/>
      <c r="AW20" s="521"/>
      <c r="AX20" s="521"/>
      <c r="AY20" s="521"/>
    </row>
    <row r="21" customFormat="false" ht="12.75" hidden="false" customHeight="false" outlineLevel="0" collapsed="false">
      <c r="A21" s="575" t="n">
        <v>35704</v>
      </c>
      <c r="E21" s="576" t="n">
        <v>161.6</v>
      </c>
      <c r="F21" s="577" t="n">
        <f aca="false">IF(VLOOKUP(A21,[1]!CPIndex,2)=0,(F20*EXP($C$4-1/2*$D$4^2+$D$4*B21)),VLOOKUP(A21,[1]!CPIndex,2))</f>
        <v>161.6</v>
      </c>
      <c r="G21" s="585" t="n">
        <f aca="false">IF(shiftswitch4=1,(F21-F20)/F20,(E21-E20)/E20)</f>
        <v>0.00185988840669549</v>
      </c>
      <c r="H21" s="578" t="n">
        <f aca="false">G21+1</f>
        <v>1.0018598884067</v>
      </c>
      <c r="J21" s="590" t="n">
        <v>2006</v>
      </c>
      <c r="K21" s="591" t="n">
        <f aca="false">PRODUCT(H120:H131)-1</f>
        <v>0.0275572161929243</v>
      </c>
      <c r="L21" s="521"/>
      <c r="M21" s="521"/>
      <c r="N21" s="521"/>
      <c r="O21" s="521"/>
      <c r="P21" s="521"/>
      <c r="Q21" s="521"/>
      <c r="R21" s="521"/>
      <c r="S21" s="521"/>
      <c r="T21" s="521"/>
      <c r="U21" s="521"/>
      <c r="V21" s="521"/>
      <c r="W21" s="521"/>
      <c r="X21" s="521"/>
      <c r="Y21" s="521"/>
      <c r="Z21" s="521"/>
      <c r="AA21" s="521"/>
      <c r="AB21" s="521"/>
      <c r="AC21" s="521"/>
      <c r="AD21" s="521"/>
      <c r="AE21" s="521"/>
      <c r="AF21" s="521"/>
      <c r="AG21" s="521"/>
      <c r="AH21" s="521"/>
      <c r="AI21" s="521"/>
      <c r="AJ21" s="521"/>
      <c r="AK21" s="521"/>
      <c r="AL21" s="521"/>
      <c r="AM21" s="521"/>
      <c r="AN21" s="521"/>
      <c r="AO21" s="521"/>
      <c r="AP21" s="521"/>
      <c r="AQ21" s="521"/>
      <c r="AR21" s="521"/>
      <c r="AS21" s="521"/>
      <c r="AT21" s="521"/>
      <c r="AU21" s="521"/>
      <c r="AV21" s="521"/>
      <c r="AW21" s="521"/>
      <c r="AX21" s="521"/>
      <c r="AY21" s="521"/>
    </row>
    <row r="22" customFormat="false" ht="12.75" hidden="false" customHeight="false" outlineLevel="0" collapsed="false">
      <c r="A22" s="575" t="n">
        <v>35735</v>
      </c>
      <c r="E22" s="576" t="n">
        <v>161.8</v>
      </c>
      <c r="F22" s="577" t="n">
        <f aca="false">IF(VLOOKUP(A22,[1]!CPIndex,2)=0,(F21*EXP($C$4-1/2*$D$4^2+$D$4*B22)),VLOOKUP(A22,[1]!CPIndex,2))</f>
        <v>161.8</v>
      </c>
      <c r="G22" s="585" t="n">
        <f aca="false">IF(shiftswitch4=1,(F22-F21)/F21,(E22-E21)/E21)</f>
        <v>0.00123762376237634</v>
      </c>
      <c r="H22" s="578" t="n">
        <f aca="false">G22+1</f>
        <v>1.00123762376238</v>
      </c>
      <c r="J22" s="590" t="n">
        <v>2007</v>
      </c>
      <c r="K22" s="591" t="n">
        <f aca="false">PRODUCT(H132:H143)-1</f>
        <v>0.0269197377378352</v>
      </c>
      <c r="L22" s="521"/>
      <c r="M22" s="521"/>
      <c r="N22" s="521"/>
      <c r="O22" s="521"/>
      <c r="P22" s="521"/>
      <c r="Q22" s="521"/>
      <c r="R22" s="521"/>
      <c r="S22" s="521"/>
      <c r="T22" s="521"/>
      <c r="U22" s="521"/>
      <c r="V22" s="521"/>
      <c r="W22" s="521"/>
      <c r="X22" s="521"/>
      <c r="Y22" s="521"/>
      <c r="Z22" s="521"/>
      <c r="AA22" s="521"/>
      <c r="AB22" s="521"/>
      <c r="AC22" s="521"/>
      <c r="AD22" s="521"/>
      <c r="AE22" s="521"/>
      <c r="AF22" s="521"/>
      <c r="AG22" s="521"/>
      <c r="AH22" s="521"/>
      <c r="AI22" s="521"/>
      <c r="AJ22" s="521"/>
      <c r="AK22" s="521"/>
      <c r="AL22" s="521"/>
      <c r="AM22" s="521"/>
      <c r="AN22" s="521"/>
      <c r="AO22" s="521"/>
      <c r="AP22" s="521"/>
      <c r="AQ22" s="521"/>
      <c r="AR22" s="521"/>
      <c r="AS22" s="521"/>
      <c r="AT22" s="521"/>
      <c r="AU22" s="521"/>
      <c r="AV22" s="521"/>
      <c r="AW22" s="521"/>
      <c r="AX22" s="521"/>
      <c r="AY22" s="521"/>
    </row>
    <row r="23" customFormat="false" ht="12.75" hidden="false" customHeight="false" outlineLevel="0" collapsed="false">
      <c r="A23" s="575" t="n">
        <v>35765</v>
      </c>
      <c r="E23" s="576" t="n">
        <v>161.9</v>
      </c>
      <c r="F23" s="577" t="n">
        <f aca="false">IF(VLOOKUP(A23,[1]!CPIndex,2)=0,(F22*EXP($C$4-1/2*$D$4^2+$D$4*B23)),VLOOKUP(A23,[1]!CPIndex,2))</f>
        <v>161.9</v>
      </c>
      <c r="G23" s="585" t="n">
        <f aca="false">IF(shiftswitch4=1,(F23-F22)/F22,(E23-E22)/E22)</f>
        <v>0.000618046971569804</v>
      </c>
      <c r="H23" s="578" t="n">
        <f aca="false">G23+1</f>
        <v>1.00061804697157</v>
      </c>
      <c r="J23" s="590" t="n">
        <v>2008</v>
      </c>
      <c r="K23" s="591" t="n">
        <f aca="false">PRODUCT(H144:H155)-1</f>
        <v>0.0264197423188608</v>
      </c>
      <c r="L23" s="521"/>
      <c r="M23" s="521"/>
      <c r="N23" s="521"/>
      <c r="O23" s="521"/>
      <c r="P23" s="521"/>
      <c r="Q23" s="521"/>
      <c r="R23" s="521"/>
      <c r="S23" s="521"/>
      <c r="T23" s="521"/>
      <c r="U23" s="521"/>
      <c r="V23" s="521"/>
      <c r="W23" s="521"/>
      <c r="X23" s="521"/>
      <c r="Y23" s="521"/>
      <c r="Z23" s="521"/>
      <c r="AA23" s="521"/>
      <c r="AB23" s="521"/>
      <c r="AC23" s="521"/>
      <c r="AD23" s="521"/>
      <c r="AE23" s="521"/>
      <c r="AF23" s="521"/>
      <c r="AG23" s="521"/>
      <c r="AH23" s="521"/>
      <c r="AI23" s="521"/>
      <c r="AJ23" s="521"/>
      <c r="AK23" s="521"/>
      <c r="AL23" s="521"/>
      <c r="AM23" s="521"/>
      <c r="AN23" s="521"/>
      <c r="AO23" s="521"/>
      <c r="AP23" s="521"/>
      <c r="AQ23" s="521"/>
      <c r="AR23" s="521"/>
      <c r="AS23" s="521"/>
      <c r="AT23" s="521"/>
      <c r="AU23" s="521"/>
      <c r="AV23" s="521"/>
      <c r="AW23" s="521"/>
      <c r="AX23" s="521"/>
      <c r="AY23" s="521"/>
    </row>
    <row r="24" customFormat="false" ht="12.75" hidden="false" customHeight="false" outlineLevel="0" collapsed="false">
      <c r="A24" s="575" t="n">
        <v>35796</v>
      </c>
      <c r="B24" s="162" t="n">
        <v>0</v>
      </c>
      <c r="C24" s="162"/>
      <c r="D24" s="162"/>
      <c r="E24" s="576" t="n">
        <v>161.9</v>
      </c>
      <c r="F24" s="577" t="n">
        <f aca="false">IF(VLOOKUP(A24,[1]!CPIndex,2)=0,(F23*EXP($C$4-1/2*$D$4^2+$D$4*B24)),VLOOKUP(A24,[1]!CPIndex,2))</f>
        <v>161.9</v>
      </c>
      <c r="G24" s="585" t="n">
        <f aca="false">IF(shiftswitch4=1,(F24-F23)/F23,(E24-E23)/E23)</f>
        <v>0</v>
      </c>
      <c r="H24" s="578" t="n">
        <f aca="false">G24+1</f>
        <v>1</v>
      </c>
      <c r="J24" s="590" t="n">
        <v>2009</v>
      </c>
      <c r="K24" s="591" t="n">
        <f aca="false">PRODUCT(H156:H167)-1</f>
        <v>0.0259739166998865</v>
      </c>
      <c r="L24" s="521"/>
      <c r="M24" s="521"/>
      <c r="N24" s="521"/>
      <c r="O24" s="521"/>
      <c r="P24" s="521"/>
      <c r="Q24" s="521"/>
      <c r="R24" s="521"/>
      <c r="S24" s="521"/>
      <c r="T24" s="521"/>
      <c r="U24" s="521"/>
      <c r="V24" s="521"/>
      <c r="W24" s="521"/>
      <c r="X24" s="521"/>
      <c r="Y24" s="521"/>
      <c r="Z24" s="521"/>
      <c r="AA24" s="521"/>
      <c r="AB24" s="521"/>
      <c r="AC24" s="521"/>
      <c r="AD24" s="521"/>
      <c r="AE24" s="521"/>
      <c r="AF24" s="521"/>
      <c r="AG24" s="521"/>
      <c r="AH24" s="521"/>
      <c r="AI24" s="521"/>
      <c r="AJ24" s="521"/>
      <c r="AK24" s="521"/>
      <c r="AL24" s="521"/>
      <c r="AM24" s="521"/>
      <c r="AN24" s="521"/>
      <c r="AO24" s="521"/>
      <c r="AP24" s="521"/>
      <c r="AQ24" s="521"/>
      <c r="AR24" s="521"/>
      <c r="AS24" s="521"/>
      <c r="AT24" s="521"/>
      <c r="AU24" s="521"/>
      <c r="AV24" s="521"/>
      <c r="AW24" s="521"/>
      <c r="AX24" s="521"/>
      <c r="AY24" s="521"/>
    </row>
    <row r="25" customFormat="false" ht="12.75" hidden="false" customHeight="false" outlineLevel="0" collapsed="false">
      <c r="A25" s="575" t="n">
        <v>35827</v>
      </c>
      <c r="B25" s="162" t="n">
        <v>0</v>
      </c>
      <c r="C25" s="162"/>
      <c r="D25" s="162"/>
      <c r="E25" s="576" t="n">
        <v>162</v>
      </c>
      <c r="F25" s="577" t="n">
        <f aca="false">IF(VLOOKUP(A25,[1]!CPIndex,2)=0,(F24*EXP($C$4-1/2*$D$4^2+$D$4*B25)),VLOOKUP(A25,[1]!CPIndex,2))</f>
        <v>162</v>
      </c>
      <c r="G25" s="585" t="n">
        <f aca="false">IF(shiftswitch4=1,(F25-F24)/F24,(E25-E24)/E24)</f>
        <v>0.000617665225447772</v>
      </c>
      <c r="H25" s="578" t="n">
        <f aca="false">G25+1</f>
        <v>1.00061766522545</v>
      </c>
      <c r="J25" s="590" t="n">
        <v>2010</v>
      </c>
      <c r="K25" s="591" t="n">
        <f aca="false">PRODUCT(H168:H179)-1</f>
        <v>0.0255739203661161</v>
      </c>
      <c r="L25" s="521"/>
      <c r="M25" s="521"/>
      <c r="N25" s="521"/>
      <c r="O25" s="521"/>
      <c r="P25" s="521"/>
      <c r="Q25" s="521"/>
      <c r="R25" s="521"/>
      <c r="S25" s="521"/>
      <c r="T25" s="521"/>
      <c r="U25" s="521"/>
      <c r="V25" s="521"/>
      <c r="W25" s="521"/>
      <c r="X25" s="521"/>
      <c r="Y25" s="521"/>
      <c r="Z25" s="521"/>
      <c r="AA25" s="521"/>
      <c r="AB25" s="521"/>
      <c r="AC25" s="521"/>
      <c r="AD25" s="521"/>
      <c r="AE25" s="521"/>
      <c r="AF25" s="521"/>
      <c r="AG25" s="521"/>
      <c r="AH25" s="521"/>
      <c r="AI25" s="521"/>
      <c r="AJ25" s="521"/>
      <c r="AK25" s="521"/>
      <c r="AL25" s="521"/>
      <c r="AM25" s="521"/>
      <c r="AN25" s="521"/>
      <c r="AO25" s="521"/>
      <c r="AP25" s="521"/>
      <c r="AQ25" s="521"/>
      <c r="AR25" s="521"/>
      <c r="AS25" s="521"/>
      <c r="AT25" s="521"/>
      <c r="AU25" s="521"/>
      <c r="AV25" s="521"/>
      <c r="AW25" s="521"/>
      <c r="AX25" s="521"/>
      <c r="AY25" s="521"/>
    </row>
    <row r="26" customFormat="false" ht="12.75" hidden="false" customHeight="false" outlineLevel="0" collapsed="false">
      <c r="A26" s="575" t="n">
        <v>35855</v>
      </c>
      <c r="B26" s="162" t="n">
        <v>0</v>
      </c>
      <c r="C26" s="162"/>
      <c r="D26" s="162"/>
      <c r="E26" s="576" t="n">
        <v>162</v>
      </c>
      <c r="F26" s="577" t="n">
        <f aca="false">IF(VLOOKUP(A26,[1]!CPIndex,2)=0,(F25*EXP($C$4-1/2*$D$4^2+$D$4*B26)),VLOOKUP(A26,[1]!CPIndex,2))</f>
        <v>162</v>
      </c>
      <c r="G26" s="585" t="n">
        <f aca="false">IF(shiftswitch4=1,(F26-F25)/F25,(E26-E25)/E25)</f>
        <v>0</v>
      </c>
      <c r="H26" s="578" t="n">
        <f aca="false">G26+1</f>
        <v>1</v>
      </c>
      <c r="J26" s="590" t="n">
        <v>2011</v>
      </c>
      <c r="K26" s="591" t="n">
        <f aca="false">PRODUCT(H180:H191)-1</f>
        <v>0.0252822612154913</v>
      </c>
      <c r="L26" s="521"/>
      <c r="M26" s="521"/>
      <c r="N26" s="521"/>
      <c r="O26" s="521"/>
      <c r="P26" s="521"/>
      <c r="Q26" s="521"/>
      <c r="R26" s="521"/>
      <c r="S26" s="521"/>
      <c r="T26" s="521"/>
      <c r="U26" s="521"/>
      <c r="V26" s="521"/>
      <c r="W26" s="521"/>
      <c r="X26" s="521"/>
      <c r="Y26" s="521"/>
      <c r="Z26" s="521"/>
      <c r="AA26" s="521"/>
      <c r="AB26" s="521"/>
      <c r="AC26" s="521"/>
      <c r="AD26" s="521"/>
      <c r="AE26" s="521"/>
      <c r="AF26" s="521"/>
      <c r="AG26" s="521"/>
      <c r="AH26" s="521"/>
      <c r="AI26" s="521"/>
      <c r="AJ26" s="521"/>
      <c r="AK26" s="521"/>
      <c r="AL26" s="521"/>
      <c r="AM26" s="521"/>
      <c r="AN26" s="521"/>
      <c r="AO26" s="521"/>
      <c r="AP26" s="521"/>
      <c r="AQ26" s="521"/>
      <c r="AR26" s="521"/>
      <c r="AS26" s="521"/>
      <c r="AT26" s="521"/>
      <c r="AU26" s="521"/>
      <c r="AV26" s="521"/>
      <c r="AW26" s="521"/>
      <c r="AX26" s="521"/>
      <c r="AY26" s="521"/>
    </row>
    <row r="27" customFormat="false" ht="12.75" hidden="false" customHeight="false" outlineLevel="0" collapsed="false">
      <c r="A27" s="575" t="n">
        <v>35886</v>
      </c>
      <c r="B27" s="162" t="n">
        <v>0</v>
      </c>
      <c r="C27" s="162"/>
      <c r="D27" s="162"/>
      <c r="E27" s="576" t="n">
        <v>162.4</v>
      </c>
      <c r="F27" s="577" t="n">
        <f aca="false">IF(VLOOKUP(A27,[1]!CPIndex,2)=0,(F26*EXP($C$4-1/2*$D$4^2+$D$4*B27)),VLOOKUP(A27,[1]!CPIndex,2))</f>
        <v>162.4</v>
      </c>
      <c r="G27" s="585" t="n">
        <f aca="false">IF(shiftswitch4=1,(F27-F26)/F26,(E27-E26)/E26)</f>
        <v>0.00246913580246917</v>
      </c>
      <c r="H27" s="578" t="n">
        <f aca="false">G27+1</f>
        <v>1.00246913580247</v>
      </c>
      <c r="J27" s="590" t="n">
        <v>2012</v>
      </c>
      <c r="K27" s="591" t="n">
        <f aca="false">PRODUCT(H192:H203)-1</f>
        <v>0.0250822630495495</v>
      </c>
      <c r="L27" s="521"/>
      <c r="M27" s="521"/>
      <c r="N27" s="521"/>
      <c r="O27" s="521"/>
      <c r="P27" s="521"/>
      <c r="Q27" s="521"/>
      <c r="R27" s="521"/>
      <c r="S27" s="521"/>
      <c r="T27" s="521"/>
      <c r="U27" s="521"/>
      <c r="V27" s="521"/>
      <c r="W27" s="521"/>
      <c r="X27" s="521"/>
      <c r="Y27" s="521"/>
      <c r="Z27" s="521"/>
      <c r="AA27" s="521"/>
      <c r="AB27" s="521"/>
      <c r="AC27" s="521"/>
      <c r="AD27" s="521"/>
      <c r="AE27" s="521"/>
      <c r="AF27" s="521"/>
      <c r="AG27" s="521"/>
      <c r="AH27" s="521"/>
      <c r="AI27" s="521"/>
      <c r="AJ27" s="521"/>
      <c r="AK27" s="521"/>
      <c r="AL27" s="521"/>
      <c r="AM27" s="521"/>
      <c r="AN27" s="521"/>
      <c r="AO27" s="521"/>
      <c r="AP27" s="521"/>
      <c r="AQ27" s="521"/>
      <c r="AR27" s="521"/>
      <c r="AS27" s="521"/>
      <c r="AT27" s="521"/>
      <c r="AU27" s="521"/>
      <c r="AV27" s="521"/>
      <c r="AW27" s="521"/>
      <c r="AX27" s="521"/>
      <c r="AY27" s="521"/>
    </row>
    <row r="28" customFormat="false" ht="12.75" hidden="false" customHeight="false" outlineLevel="0" collapsed="false">
      <c r="A28" s="575" t="n">
        <v>35916</v>
      </c>
      <c r="B28" s="162" t="n">
        <v>0</v>
      </c>
      <c r="C28" s="576" t="n">
        <v>0</v>
      </c>
      <c r="D28" s="577" t="n">
        <f aca="false">IF(VLOOKUP(A28,[1]!CPIndex,2)=0,VLOOKUP(A28,[1]!CPIndex,6),0)</f>
        <v>0</v>
      </c>
      <c r="E28" s="576" t="n">
        <v>162.9</v>
      </c>
      <c r="F28" s="577" t="n">
        <f aca="false">IF(VLOOKUP(A28,[1]!CPIndex,2)=0,(F27*EXP(IF(driftswitch=1,D28,$C$4)-1/2*$D$4^2+$D$4*B28)),VLOOKUP(A28,[1]!CPIndex,2))</f>
        <v>162.9</v>
      </c>
      <c r="G28" s="585" t="n">
        <f aca="false">IF(shiftswitch4=1,(F28-F27)/F27,(E28-E27)/E27)</f>
        <v>0.00307881773399015</v>
      </c>
      <c r="H28" s="578" t="n">
        <f aca="false">G28+1</f>
        <v>1.00307881773399</v>
      </c>
      <c r="I28" s="0" t="n">
        <v>162.710229166667</v>
      </c>
      <c r="J28" s="590" t="n">
        <v>2013</v>
      </c>
      <c r="K28" s="591" t="n">
        <f aca="false">PRODUCT(H204:H215)-1</f>
        <v>0.0251530937152533</v>
      </c>
      <c r="L28" s="521"/>
      <c r="M28" s="521"/>
      <c r="N28" s="521"/>
      <c r="O28" s="521"/>
      <c r="P28" s="521"/>
      <c r="Q28" s="521"/>
      <c r="R28" s="521"/>
      <c r="S28" s="521"/>
      <c r="T28" s="521"/>
      <c r="U28" s="521"/>
      <c r="V28" s="521"/>
      <c r="W28" s="521"/>
      <c r="X28" s="521"/>
      <c r="Y28" s="521"/>
      <c r="Z28" s="521"/>
      <c r="AA28" s="521"/>
      <c r="AB28" s="521"/>
      <c r="AC28" s="521"/>
      <c r="AD28" s="521"/>
      <c r="AE28" s="521"/>
      <c r="AF28" s="521"/>
      <c r="AG28" s="521"/>
      <c r="AH28" s="521"/>
      <c r="AI28" s="521"/>
      <c r="AJ28" s="521"/>
      <c r="AK28" s="521"/>
      <c r="AL28" s="521"/>
      <c r="AM28" s="521"/>
      <c r="AN28" s="521"/>
      <c r="AO28" s="521"/>
      <c r="AP28" s="521"/>
      <c r="AQ28" s="521"/>
      <c r="AR28" s="521"/>
      <c r="AS28" s="521"/>
      <c r="AT28" s="521"/>
      <c r="AU28" s="521"/>
      <c r="AV28" s="521"/>
      <c r="AW28" s="521"/>
      <c r="AX28" s="521"/>
      <c r="AY28" s="521"/>
    </row>
    <row r="29" customFormat="false" ht="12.75" hidden="false" customHeight="false" outlineLevel="0" collapsed="false">
      <c r="A29" s="575" t="n">
        <v>35947</v>
      </c>
      <c r="B29" s="162" t="n">
        <v>0</v>
      </c>
      <c r="C29" s="576" t="n">
        <v>0</v>
      </c>
      <c r="D29" s="577" t="n">
        <f aca="false">IF(VLOOKUP(A29,[1]!CPIndex,2)=0,VLOOKUP(A29,[1]!CPIndex,6),0)</f>
        <v>0</v>
      </c>
      <c r="E29" s="576" t="n">
        <v>163</v>
      </c>
      <c r="F29" s="577" t="n">
        <f aca="false">IF(VLOOKUP(A29,[1]!CPIndex,2)=0,(F28*EXP(IF(driftswitch=1,D29,$C$4)-1/2*$D$4^2+$D$4*B29)),VLOOKUP(A29,[1]!CPIndex,2))</f>
        <v>163</v>
      </c>
      <c r="G29" s="585" t="n">
        <f aca="false">IF(shiftswitch4=1,(F29-F28)/F28,(E29-E28)/E28)</f>
        <v>0.000613873542050303</v>
      </c>
      <c r="H29" s="578" t="n">
        <f aca="false">G29+1</f>
        <v>1.00061387354205</v>
      </c>
      <c r="I29" s="0" t="n">
        <v>162.920458333333</v>
      </c>
      <c r="J29" s="590" t="n">
        <v>2014</v>
      </c>
      <c r="K29" s="591" t="n">
        <f aca="false">PRODUCT(H216:H227)-1</f>
        <v>0.0255072543104875</v>
      </c>
      <c r="L29" s="521"/>
      <c r="M29" s="521"/>
      <c r="N29" s="521"/>
      <c r="O29" s="521"/>
      <c r="P29" s="521"/>
      <c r="Q29" s="521"/>
      <c r="R29" s="521"/>
      <c r="S29" s="521"/>
      <c r="T29" s="521"/>
      <c r="U29" s="521"/>
      <c r="V29" s="521"/>
      <c r="W29" s="521"/>
      <c r="X29" s="521"/>
      <c r="Y29" s="521"/>
      <c r="Z29" s="521"/>
      <c r="AA29" s="521"/>
      <c r="AB29" s="521"/>
      <c r="AC29" s="521"/>
      <c r="AD29" s="521"/>
      <c r="AE29" s="521"/>
      <c r="AF29" s="521"/>
      <c r="AG29" s="521"/>
      <c r="AH29" s="521"/>
      <c r="AI29" s="521"/>
      <c r="AJ29" s="521"/>
      <c r="AK29" s="521"/>
      <c r="AL29" s="521"/>
      <c r="AM29" s="521"/>
      <c r="AN29" s="521"/>
      <c r="AO29" s="521"/>
      <c r="AP29" s="521"/>
      <c r="AQ29" s="521"/>
      <c r="AR29" s="521"/>
      <c r="AS29" s="521"/>
      <c r="AT29" s="521"/>
      <c r="AU29" s="521"/>
      <c r="AV29" s="521"/>
      <c r="AW29" s="521"/>
      <c r="AX29" s="521"/>
      <c r="AY29" s="521"/>
    </row>
    <row r="30" customFormat="false" ht="12.75" hidden="false" customHeight="false" outlineLevel="0" collapsed="false">
      <c r="A30" s="575" t="n">
        <v>35977</v>
      </c>
      <c r="B30" s="162" t="n">
        <v>0</v>
      </c>
      <c r="C30" s="576" t="n">
        <v>0</v>
      </c>
      <c r="D30" s="577" t="n">
        <f aca="false">IF(VLOOKUP(A30,[1]!CPIndex,2)=0,VLOOKUP(A30,[1]!CPIndex,6),0)</f>
        <v>0</v>
      </c>
      <c r="E30" s="576" t="n">
        <v>163.3</v>
      </c>
      <c r="F30" s="577" t="n">
        <f aca="false">IF(VLOOKUP(A30,[1]!CPIndex,2)=0,(F29*EXP(IF(driftswitch=1,D30,$C$4)-1/2*$D$4^2+$D$4*B30)),VLOOKUP(A30,[1]!CPIndex,2))</f>
        <v>163.3</v>
      </c>
      <c r="G30" s="585" t="n">
        <f aca="false">IF(shiftswitch4=1,(F30-F29)/F29,(E30-E29)/E29)</f>
        <v>0.00184049079754608</v>
      </c>
      <c r="H30" s="578" t="n">
        <f aca="false">G30+1</f>
        <v>1.00184049079755</v>
      </c>
      <c r="I30" s="0" t="n">
        <v>163.1306875</v>
      </c>
      <c r="J30" s="590" t="n">
        <v>2015</v>
      </c>
      <c r="K30" s="591" t="n">
        <f aca="false">PRODUCT(H228:H239)-1</f>
        <v>0.0259072506442577</v>
      </c>
      <c r="L30" s="521"/>
      <c r="M30" s="521"/>
      <c r="N30" s="521"/>
      <c r="O30" s="521"/>
      <c r="P30" s="521"/>
      <c r="Q30" s="521"/>
      <c r="R30" s="521"/>
      <c r="S30" s="521"/>
      <c r="T30" s="521"/>
      <c r="U30" s="521"/>
      <c r="V30" s="521"/>
      <c r="W30" s="521"/>
      <c r="X30" s="521"/>
      <c r="Y30" s="521"/>
      <c r="Z30" s="521"/>
      <c r="AA30" s="521"/>
      <c r="AB30" s="521"/>
      <c r="AC30" s="521"/>
      <c r="AD30" s="521"/>
      <c r="AE30" s="521"/>
      <c r="AF30" s="521"/>
      <c r="AG30" s="521"/>
      <c r="AH30" s="521"/>
      <c r="AI30" s="521"/>
      <c r="AJ30" s="521"/>
      <c r="AK30" s="521"/>
      <c r="AL30" s="521"/>
      <c r="AM30" s="521"/>
      <c r="AN30" s="521"/>
      <c r="AO30" s="521"/>
      <c r="AP30" s="521"/>
      <c r="AQ30" s="521"/>
      <c r="AR30" s="521"/>
      <c r="AS30" s="521"/>
      <c r="AT30" s="521"/>
      <c r="AU30" s="521"/>
      <c r="AV30" s="521"/>
      <c r="AW30" s="521"/>
      <c r="AX30" s="521"/>
      <c r="AY30" s="521"/>
    </row>
    <row r="31" customFormat="false" ht="12.75" hidden="false" customHeight="false" outlineLevel="0" collapsed="false">
      <c r="A31" s="575" t="n">
        <v>36008</v>
      </c>
      <c r="B31" s="162" t="n">
        <v>0</v>
      </c>
      <c r="C31" s="576" t="n">
        <v>0</v>
      </c>
      <c r="D31" s="577" t="n">
        <f aca="false">IF(VLOOKUP(A31,[1]!CPIndex,2)=0,VLOOKUP(A31,[1]!CPIndex,6),0)</f>
        <v>0</v>
      </c>
      <c r="E31" s="576" t="n">
        <v>163.5</v>
      </c>
      <c r="F31" s="577" t="n">
        <f aca="false">IF(VLOOKUP(A31,[1]!CPIndex,2)=0,(F30*EXP(IF(driftswitch=1,D31,$C$4)-1/2*$D$4^2+$D$4*B31)),VLOOKUP(A31,[1]!CPIndex,2))</f>
        <v>163.5</v>
      </c>
      <c r="G31" s="585" t="n">
        <f aca="false">IF(shiftswitch4=1,(F31-F30)/F30,(E31-E30)/E30)</f>
        <v>0.00122473974280458</v>
      </c>
      <c r="H31" s="578" t="n">
        <f aca="false">G31+1</f>
        <v>1.0012247397428</v>
      </c>
      <c r="I31" s="0" t="n">
        <v>163.340916666667</v>
      </c>
      <c r="J31" s="590" t="n">
        <v>2016</v>
      </c>
      <c r="K31" s="591" t="n">
        <f aca="false">PRODUCT(H240:H251)-1</f>
        <v>0.0264155712560825</v>
      </c>
      <c r="L31" s="521"/>
      <c r="M31" s="521"/>
      <c r="N31" s="521"/>
      <c r="O31" s="521"/>
      <c r="P31" s="521"/>
      <c r="Q31" s="521"/>
      <c r="R31" s="521"/>
      <c r="S31" s="521"/>
      <c r="T31" s="521"/>
      <c r="U31" s="521"/>
      <c r="V31" s="521"/>
      <c r="W31" s="521"/>
      <c r="X31" s="521"/>
      <c r="Y31" s="521"/>
      <c r="Z31" s="521"/>
      <c r="AA31" s="521"/>
      <c r="AB31" s="521"/>
      <c r="AC31" s="521"/>
      <c r="AD31" s="521"/>
      <c r="AE31" s="521"/>
      <c r="AF31" s="521"/>
      <c r="AG31" s="521"/>
      <c r="AH31" s="521"/>
      <c r="AI31" s="521"/>
      <c r="AJ31" s="521"/>
      <c r="AK31" s="521"/>
      <c r="AL31" s="521"/>
      <c r="AM31" s="521"/>
      <c r="AN31" s="521"/>
      <c r="AO31" s="521"/>
      <c r="AP31" s="521"/>
      <c r="AQ31" s="521"/>
      <c r="AR31" s="521"/>
      <c r="AS31" s="521"/>
      <c r="AT31" s="521"/>
      <c r="AU31" s="521"/>
      <c r="AV31" s="521"/>
      <c r="AW31" s="521"/>
      <c r="AX31" s="521"/>
      <c r="AY31" s="521"/>
    </row>
    <row r="32" customFormat="false" ht="12.75" hidden="false" customHeight="false" outlineLevel="0" collapsed="false">
      <c r="A32" s="575" t="n">
        <v>36039</v>
      </c>
      <c r="B32" s="162" t="n">
        <v>0</v>
      </c>
      <c r="C32" s="576" t="n">
        <v>0</v>
      </c>
      <c r="D32" s="577" t="n">
        <f aca="false">IF(VLOOKUP(A32,[1]!CPIndex,2)=0,VLOOKUP(A32,[1]!CPIndex,6),0)</f>
        <v>0</v>
      </c>
      <c r="E32" s="576" t="n">
        <v>163.6</v>
      </c>
      <c r="F32" s="577" t="n">
        <f aca="false">IF(VLOOKUP(A32,[1]!CPIndex,2)=0,(F31*EXP(IF(driftswitch=1,D32,$C$4)-1/2*$D$4^2+$D$4*B32)),VLOOKUP(A32,[1]!CPIndex,2))</f>
        <v>163.6</v>
      </c>
      <c r="G32" s="585" t="n">
        <f aca="false">IF(shiftswitch4=1,(F32-F31)/F31,(E32-E31)/E31)</f>
        <v>0.000611620795106999</v>
      </c>
      <c r="H32" s="578" t="n">
        <f aca="false">G32+1</f>
        <v>1.00061162079511</v>
      </c>
      <c r="I32" s="0" t="n">
        <v>163.551145833333</v>
      </c>
      <c r="J32" s="590" t="n">
        <v>2017</v>
      </c>
      <c r="K32" s="591" t="n">
        <f aca="false">PRODUCT(H252:H263)-1</f>
        <v>0.0269072414786764</v>
      </c>
      <c r="L32" s="521"/>
      <c r="M32" s="521"/>
      <c r="N32" s="521"/>
      <c r="O32" s="521"/>
      <c r="P32" s="521"/>
      <c r="Q32" s="521"/>
      <c r="R32" s="521"/>
      <c r="S32" s="521"/>
      <c r="T32" s="521"/>
      <c r="U32" s="521"/>
      <c r="V32" s="521"/>
      <c r="W32" s="521"/>
      <c r="X32" s="521"/>
      <c r="Y32" s="521"/>
      <c r="Z32" s="521"/>
      <c r="AA32" s="521"/>
      <c r="AB32" s="521"/>
      <c r="AC32" s="521"/>
      <c r="AD32" s="521"/>
      <c r="AE32" s="521"/>
      <c r="AF32" s="521"/>
      <c r="AG32" s="521"/>
      <c r="AH32" s="521"/>
      <c r="AI32" s="521"/>
      <c r="AJ32" s="521"/>
      <c r="AK32" s="521"/>
      <c r="AL32" s="521"/>
      <c r="AM32" s="521"/>
      <c r="AN32" s="521"/>
      <c r="AO32" s="521"/>
      <c r="AP32" s="521"/>
      <c r="AQ32" s="521"/>
      <c r="AR32" s="521"/>
      <c r="AS32" s="521"/>
      <c r="AT32" s="521"/>
      <c r="AU32" s="521"/>
      <c r="AV32" s="521"/>
      <c r="AW32" s="521"/>
      <c r="AX32" s="521"/>
      <c r="AY32" s="521"/>
    </row>
    <row r="33" customFormat="false" ht="12.75" hidden="false" customHeight="false" outlineLevel="0" collapsed="false">
      <c r="A33" s="575" t="n">
        <v>36069</v>
      </c>
      <c r="B33" s="162" t="n">
        <v>0</v>
      </c>
      <c r="C33" s="576" t="n">
        <v>0</v>
      </c>
      <c r="D33" s="577" t="n">
        <f aca="false">IF(VLOOKUP(A33,[1]!CPIndex,2)=0,VLOOKUP(A33,[1]!CPIndex,6),0)</f>
        <v>0</v>
      </c>
      <c r="E33" s="576" t="n">
        <v>163.9</v>
      </c>
      <c r="F33" s="577" t="n">
        <f aca="false">IF(VLOOKUP(A33,[1]!CPIndex,2)=0,(F32*EXP(IF(driftswitch=1,D33,$C$4)-1/2*$D$4^2+$D$4*B33)),VLOOKUP(A33,[1]!CPIndex,2))</f>
        <v>163.9</v>
      </c>
      <c r="G33" s="585" t="n">
        <f aca="false">IF(shiftswitch4=1,(F33-F32)/F32,(E33-E32)/E32)</f>
        <v>0.00183374083129591</v>
      </c>
      <c r="H33" s="578" t="n">
        <f aca="false">G33+1</f>
        <v>1.0018337408313</v>
      </c>
      <c r="I33" s="0" t="n">
        <v>163.761375</v>
      </c>
      <c r="J33" s="590" t="n">
        <v>2018</v>
      </c>
      <c r="K33" s="591" t="n">
        <f aca="false">PRODUCT(H264:H275)-1</f>
        <v>0.0272530744617623</v>
      </c>
      <c r="L33" s="521"/>
      <c r="M33" s="521"/>
      <c r="N33" s="521"/>
      <c r="O33" s="521"/>
      <c r="P33" s="521"/>
      <c r="Q33" s="521"/>
      <c r="R33" s="521"/>
      <c r="S33" s="521"/>
      <c r="T33" s="521"/>
      <c r="U33" s="521"/>
      <c r="V33" s="521"/>
      <c r="W33" s="521"/>
      <c r="X33" s="521"/>
      <c r="Y33" s="521"/>
      <c r="Z33" s="521"/>
      <c r="AA33" s="521"/>
      <c r="AB33" s="521"/>
      <c r="AC33" s="521"/>
      <c r="AD33" s="521"/>
      <c r="AE33" s="521"/>
      <c r="AF33" s="521"/>
      <c r="AG33" s="521"/>
      <c r="AH33" s="521"/>
      <c r="AI33" s="521"/>
      <c r="AJ33" s="521"/>
      <c r="AK33" s="521"/>
      <c r="AL33" s="521"/>
      <c r="AM33" s="521"/>
      <c r="AN33" s="521"/>
      <c r="AO33" s="521"/>
      <c r="AP33" s="521"/>
      <c r="AQ33" s="521"/>
      <c r="AR33" s="521"/>
      <c r="AS33" s="521"/>
      <c r="AT33" s="521"/>
      <c r="AU33" s="521"/>
      <c r="AV33" s="521"/>
      <c r="AW33" s="521"/>
      <c r="AX33" s="521"/>
      <c r="AY33" s="521"/>
    </row>
    <row r="34" customFormat="false" ht="12.75" hidden="false" customHeight="false" outlineLevel="0" collapsed="false">
      <c r="A34" s="575" t="n">
        <v>36100</v>
      </c>
      <c r="B34" s="190" t="n">
        <v>0.00479815897961337</v>
      </c>
      <c r="C34" s="576" t="n">
        <v>0</v>
      </c>
      <c r="D34" s="577" t="n">
        <f aca="false">IF(VLOOKUP(A34,[1]!CPIndex,2)=0,VLOOKUP(A34,[1]!CPIndex,6),0)</f>
        <v>0</v>
      </c>
      <c r="E34" s="576" t="n">
        <v>164.2</v>
      </c>
      <c r="F34" s="577" t="n">
        <f aca="false">IF(VLOOKUP(A34,[1]!CPIndex,2)=0,(F33*EXP(IF(driftswitch=1,D34,$C$4)-1/2*$D$4^2+$D$4*B34)),VLOOKUP(A34,[1]!CPIndex,2))</f>
        <v>164.2</v>
      </c>
      <c r="G34" s="585" t="n">
        <f aca="false">IF(shiftswitch4=1,(F34-F33)/F33,(E34-E33)/E33)</f>
        <v>0.00183038438071985</v>
      </c>
      <c r="H34" s="578" t="n">
        <f aca="false">G34+1</f>
        <v>1.00183038438072</v>
      </c>
      <c r="I34" s="0" t="n">
        <v>163.971604166667</v>
      </c>
      <c r="J34" s="590" t="n">
        <v>2019</v>
      </c>
      <c r="K34" s="591" t="n">
        <f aca="false">PRODUCT(H276:H287)-1</f>
        <v>0.0278238804204469</v>
      </c>
      <c r="L34" s="521"/>
      <c r="M34" s="521"/>
      <c r="N34" s="521"/>
      <c r="O34" s="521"/>
      <c r="P34" s="521"/>
      <c r="Q34" s="521"/>
      <c r="R34" s="521"/>
      <c r="S34" s="521"/>
      <c r="T34" s="521"/>
      <c r="U34" s="521"/>
      <c r="V34" s="521"/>
      <c r="W34" s="521"/>
      <c r="X34" s="521"/>
      <c r="Y34" s="521"/>
      <c r="Z34" s="521"/>
      <c r="AA34" s="521"/>
      <c r="AB34" s="521"/>
      <c r="AC34" s="521"/>
      <c r="AD34" s="521"/>
      <c r="AE34" s="521"/>
      <c r="AF34" s="521"/>
      <c r="AG34" s="521"/>
      <c r="AH34" s="521"/>
      <c r="AI34" s="521"/>
      <c r="AJ34" s="521"/>
      <c r="AK34" s="521"/>
      <c r="AL34" s="521"/>
      <c r="AM34" s="521"/>
      <c r="AN34" s="521"/>
      <c r="AO34" s="521"/>
      <c r="AP34" s="521"/>
      <c r="AQ34" s="521"/>
      <c r="AR34" s="521"/>
      <c r="AS34" s="521"/>
      <c r="AT34" s="521"/>
      <c r="AU34" s="521"/>
      <c r="AV34" s="521"/>
      <c r="AW34" s="521"/>
      <c r="AX34" s="521"/>
      <c r="AY34" s="521"/>
    </row>
    <row r="35" customFormat="false" ht="12.75" hidden="false" customHeight="false" outlineLevel="0" collapsed="false">
      <c r="A35" s="575" t="n">
        <v>36130</v>
      </c>
      <c r="B35" s="190" t="n">
        <v>-0.0249358606019618</v>
      </c>
      <c r="C35" s="576" t="n">
        <v>0</v>
      </c>
      <c r="D35" s="577" t="n">
        <f aca="false">IF(VLOOKUP(A35,[1]!CPIndex,2)=0,VLOOKUP(A35,[1]!CPIndex,6),0)</f>
        <v>0</v>
      </c>
      <c r="E35" s="576" t="n">
        <v>164.4</v>
      </c>
      <c r="F35" s="577" t="n">
        <f aca="false">IF(VLOOKUP(A35,[1]!CPIndex,2)=0,(F34*EXP(IF(driftswitch=1,D35,$C$4)-1/2*$D$4^2+$D$4*B35)),VLOOKUP(A35,[1]!CPIndex,2))</f>
        <v>164.4</v>
      </c>
      <c r="G35" s="585" t="n">
        <f aca="false">IF(shiftswitch4=1,(F35-F34)/F34,(E35-E34)/E34)</f>
        <v>0.00121802679658963</v>
      </c>
      <c r="H35" s="578" t="n">
        <f aca="false">G35+1</f>
        <v>1.00121802679659</v>
      </c>
      <c r="I35" s="0" t="n">
        <v>164.12275</v>
      </c>
      <c r="J35" s="590" t="n">
        <v>2020</v>
      </c>
      <c r="K35" s="591" t="n">
        <f aca="false">PRODUCT(H288:H299)-1</f>
        <v>0.028623873102992</v>
      </c>
      <c r="L35" s="521"/>
      <c r="M35" s="521"/>
      <c r="N35" s="521"/>
      <c r="O35" s="521"/>
      <c r="P35" s="521"/>
      <c r="Q35" s="521"/>
      <c r="R35" s="521"/>
      <c r="S35" s="521"/>
      <c r="T35" s="521"/>
      <c r="U35" s="521"/>
      <c r="V35" s="521"/>
      <c r="W35" s="521"/>
      <c r="X35" s="521"/>
      <c r="Y35" s="521"/>
      <c r="Z35" s="521"/>
      <c r="AA35" s="521"/>
      <c r="AB35" s="521"/>
      <c r="AC35" s="521"/>
      <c r="AD35" s="521"/>
      <c r="AE35" s="521"/>
      <c r="AF35" s="521"/>
      <c r="AG35" s="521"/>
      <c r="AH35" s="521"/>
      <c r="AI35" s="521"/>
      <c r="AJ35" s="521"/>
      <c r="AK35" s="521"/>
      <c r="AL35" s="521"/>
      <c r="AM35" s="521"/>
      <c r="AN35" s="521"/>
      <c r="AO35" s="521"/>
      <c r="AP35" s="521"/>
      <c r="AQ35" s="521"/>
      <c r="AR35" s="521"/>
      <c r="AS35" s="521"/>
      <c r="AT35" s="521"/>
      <c r="AU35" s="521"/>
      <c r="AV35" s="521"/>
      <c r="AW35" s="521"/>
      <c r="AX35" s="521"/>
      <c r="AY35" s="521"/>
    </row>
    <row r="36" customFormat="false" ht="12.75" hidden="false" customHeight="false" outlineLevel="0" collapsed="false">
      <c r="A36" s="575" t="n">
        <v>36161</v>
      </c>
      <c r="B36" s="190" t="n">
        <v>0.0109496505790861</v>
      </c>
      <c r="C36" s="576" t="n">
        <v>0</v>
      </c>
      <c r="D36" s="577" t="n">
        <f aca="false">IF(VLOOKUP(A36,[1]!CPIndex,2)=0,VLOOKUP(A36,[1]!CPIndex,6),0)</f>
        <v>0</v>
      </c>
      <c r="E36" s="576" t="n">
        <v>164.6</v>
      </c>
      <c r="F36" s="577" t="n">
        <f aca="false">IF(VLOOKUP(A36,[1]!CPIndex,2)=0,(F35*EXP(IF(driftswitch=1,D36,$C$4)-1/2*$D$4^2+$D$4*B36)),VLOOKUP(A36,[1]!CPIndex,2))</f>
        <v>164.6</v>
      </c>
      <c r="G36" s="585" t="n">
        <f aca="false">IF(shiftswitch4=1,(F36-F35)/F35,(E36-E35)/E35)</f>
        <v>0.00121654501216538</v>
      </c>
      <c r="H36" s="578" t="n">
        <f aca="false">G36+1</f>
        <v>1.00121654501217</v>
      </c>
      <c r="I36" s="0" t="n">
        <v>164.427351572128</v>
      </c>
      <c r="J36" s="590" t="n">
        <v>2021</v>
      </c>
      <c r="K36" s="591" t="n">
        <f aca="false">PRODUCT(H300:H311)-1</f>
        <v>0.0298029642956255</v>
      </c>
      <c r="L36" s="521"/>
      <c r="M36" s="521"/>
      <c r="N36" s="521"/>
      <c r="O36" s="521"/>
      <c r="P36" s="521"/>
      <c r="Q36" s="521"/>
      <c r="R36" s="521"/>
      <c r="S36" s="521"/>
      <c r="T36" s="521"/>
      <c r="U36" s="521"/>
      <c r="V36" s="521"/>
      <c r="W36" s="521"/>
      <c r="X36" s="521"/>
      <c r="Y36" s="521"/>
      <c r="Z36" s="521"/>
      <c r="AA36" s="521"/>
      <c r="AB36" s="521"/>
      <c r="AC36" s="521"/>
      <c r="AD36" s="521"/>
      <c r="AE36" s="521"/>
      <c r="AF36" s="521"/>
      <c r="AG36" s="521"/>
      <c r="AH36" s="521"/>
      <c r="AI36" s="521"/>
      <c r="AJ36" s="521"/>
      <c r="AK36" s="521"/>
      <c r="AL36" s="521"/>
      <c r="AM36" s="521"/>
      <c r="AN36" s="521"/>
      <c r="AO36" s="521"/>
      <c r="AP36" s="521"/>
      <c r="AQ36" s="521"/>
      <c r="AR36" s="521"/>
      <c r="AS36" s="521"/>
      <c r="AT36" s="521"/>
      <c r="AU36" s="521"/>
      <c r="AV36" s="521"/>
      <c r="AW36" s="521"/>
      <c r="AX36" s="521"/>
      <c r="AY36" s="521"/>
    </row>
    <row r="37" customFormat="false" ht="12.75" hidden="false" customHeight="false" outlineLevel="0" collapsed="false">
      <c r="A37" s="575" t="n">
        <v>36192</v>
      </c>
      <c r="B37" s="190" t="n">
        <v>0.00161759251667244</v>
      </c>
      <c r="C37" s="576" t="n">
        <v>0</v>
      </c>
      <c r="D37" s="577" t="n">
        <f aca="false">IF(VLOOKUP(A37,[1]!CPIndex,2)=0,VLOOKUP(A37,[1]!CPIndex,6),0)</f>
        <v>0</v>
      </c>
      <c r="E37" s="576" t="n">
        <v>164.7</v>
      </c>
      <c r="F37" s="577" t="n">
        <f aca="false">IF(VLOOKUP(A37,[1]!CPIndex,2)=0,(F36*EXP(IF(driftswitch=1,D37,$C$4)-1/2*$D$4^2+$D$4*B37)),VLOOKUP(A37,[1]!CPIndex,2))</f>
        <v>164.7</v>
      </c>
      <c r="G37" s="585" t="n">
        <f aca="false">IF(shiftswitch4=1,(F37-F36)/F36,(E37-E36)/E36)</f>
        <v>0.000607533414337754</v>
      </c>
      <c r="H37" s="578" t="n">
        <f aca="false">G37+1</f>
        <v>1.00060753341434</v>
      </c>
      <c r="I37" s="0" t="n">
        <v>164.732518465746</v>
      </c>
      <c r="J37" s="590" t="n">
        <v>2022</v>
      </c>
      <c r="K37" s="591" t="n">
        <f aca="false">PRODUCT(H312:H323)-1</f>
        <v>0.0308155309618199</v>
      </c>
      <c r="L37" s="521"/>
      <c r="M37" s="521"/>
      <c r="N37" s="521"/>
      <c r="O37" s="521"/>
      <c r="P37" s="521"/>
      <c r="Q37" s="521"/>
      <c r="R37" s="521"/>
      <c r="S37" s="521"/>
      <c r="T37" s="521"/>
      <c r="U37" s="521"/>
      <c r="V37" s="521"/>
      <c r="W37" s="521"/>
      <c r="X37" s="521"/>
      <c r="Y37" s="521"/>
      <c r="Z37" s="521"/>
      <c r="AA37" s="521"/>
      <c r="AB37" s="521"/>
      <c r="AC37" s="521"/>
      <c r="AD37" s="521"/>
      <c r="AE37" s="521"/>
      <c r="AF37" s="521"/>
      <c r="AG37" s="521"/>
      <c r="AH37" s="521"/>
      <c r="AI37" s="521"/>
      <c r="AJ37" s="521"/>
      <c r="AK37" s="521"/>
      <c r="AL37" s="521"/>
      <c r="AM37" s="521"/>
      <c r="AN37" s="521"/>
      <c r="AO37" s="521"/>
      <c r="AP37" s="521"/>
      <c r="AQ37" s="521"/>
      <c r="AR37" s="521"/>
      <c r="AS37" s="521"/>
      <c r="AT37" s="521"/>
      <c r="AU37" s="521"/>
      <c r="AV37" s="521"/>
      <c r="AW37" s="521"/>
      <c r="AX37" s="521"/>
      <c r="AY37" s="521"/>
    </row>
    <row r="38" customFormat="false" ht="12.75" hidden="false" customHeight="false" outlineLevel="0" collapsed="false">
      <c r="A38" s="575" t="n">
        <v>36220</v>
      </c>
      <c r="B38" s="190" t="n">
        <v>-0.00497490869107601</v>
      </c>
      <c r="C38" s="576" t="n">
        <v>0</v>
      </c>
      <c r="D38" s="577" t="n">
        <f aca="false">IF(VLOOKUP(A38,[1]!CPIndex,2)=0,VLOOKUP(A38,[1]!CPIndex,6),0)</f>
        <v>0</v>
      </c>
      <c r="E38" s="576" t="n">
        <v>165</v>
      </c>
      <c r="F38" s="577" t="n">
        <f aca="false">IF(VLOOKUP(A38,[1]!CPIndex,2)=0,(F37*EXP(IF(driftswitch=1,D38,$C$4)-1/2*$D$4^2+$D$4*B38)),VLOOKUP(A38,[1]!CPIndex,2))</f>
        <v>165</v>
      </c>
      <c r="G38" s="585" t="n">
        <f aca="false">IF(shiftswitch4=1,(F38-F37)/F37,(E38-E37)/E37)</f>
        <v>0.00182149362477238</v>
      </c>
      <c r="H38" s="578" t="n">
        <f aca="false">G38+1</f>
        <v>1.00182149362477</v>
      </c>
      <c r="I38" s="0" t="n">
        <v>165.038251730057</v>
      </c>
      <c r="J38" s="590" t="n">
        <v>2023</v>
      </c>
      <c r="K38" s="592" t="n">
        <f aca="false">PRODUCT(H324:H335)-1</f>
        <v>0.0314696864228807</v>
      </c>
      <c r="L38" s="521"/>
      <c r="M38" s="521"/>
      <c r="N38" s="521"/>
      <c r="O38" s="521"/>
      <c r="P38" s="521"/>
      <c r="Q38" s="521"/>
      <c r="R38" s="521"/>
      <c r="S38" s="521"/>
      <c r="T38" s="521"/>
      <c r="U38" s="521"/>
      <c r="V38" s="521"/>
      <c r="W38" s="521"/>
      <c r="X38" s="521"/>
      <c r="Y38" s="521"/>
      <c r="Z38" s="521"/>
      <c r="AA38" s="521"/>
      <c r="AB38" s="521"/>
      <c r="AC38" s="521"/>
      <c r="AD38" s="521"/>
      <c r="AE38" s="521"/>
      <c r="AF38" s="521"/>
      <c r="AG38" s="521"/>
      <c r="AH38" s="521"/>
      <c r="AI38" s="521"/>
      <c r="AJ38" s="521"/>
      <c r="AK38" s="521"/>
      <c r="AL38" s="521"/>
      <c r="AM38" s="521"/>
      <c r="AN38" s="521"/>
      <c r="AO38" s="521"/>
      <c r="AP38" s="521"/>
      <c r="AQ38" s="521"/>
      <c r="AR38" s="521"/>
      <c r="AS38" s="521"/>
      <c r="AT38" s="521"/>
      <c r="AU38" s="521"/>
      <c r="AV38" s="521"/>
      <c r="AW38" s="521"/>
      <c r="AX38" s="521"/>
      <c r="AY38" s="521"/>
    </row>
    <row r="39" customFormat="false" ht="12.75" hidden="false" customHeight="false" outlineLevel="0" collapsed="false">
      <c r="A39" s="575" t="n">
        <v>36251</v>
      </c>
      <c r="B39" s="190" t="n">
        <v>0.025961078268412</v>
      </c>
      <c r="C39" s="576" t="n">
        <v>0</v>
      </c>
      <c r="D39" s="577" t="n">
        <f aca="false">IF(VLOOKUP(A39,[1]!CPIndex,2)=0,VLOOKUP(A39,[1]!CPIndex,6),0)</f>
        <v>0</v>
      </c>
      <c r="E39" s="576" t="n">
        <v>166.2</v>
      </c>
      <c r="F39" s="577" t="n">
        <f aca="false">IF(VLOOKUP(A39,[1]!CPIndex,2)=0,(F38*EXP(IF(driftswitch=1,D39,$C$4)-1/2*$D$4^2+$D$4*B39)),VLOOKUP(A39,[1]!CPIndex,2))</f>
        <v>166.2</v>
      </c>
      <c r="G39" s="585" t="n">
        <f aca="false">IF(shiftswitch4=1,(F39-F38)/F38,(E39-E38)/E38)</f>
        <v>0.0072727272727272</v>
      </c>
      <c r="H39" s="578" t="n">
        <f aca="false">G39+1</f>
        <v>1.00727272727273</v>
      </c>
      <c r="I39" s="0" t="n">
        <v>165.344552416209</v>
      </c>
      <c r="J39" s="590" t="n">
        <v>2024</v>
      </c>
      <c r="K39" s="592" t="n">
        <f aca="false">PRODUCT(H336:H347)-1</f>
        <v>0.0294597528952225</v>
      </c>
      <c r="L39" s="521"/>
      <c r="M39" s="521"/>
      <c r="N39" s="521"/>
      <c r="O39" s="521"/>
      <c r="P39" s="521"/>
      <c r="Q39" s="521"/>
      <c r="R39" s="521"/>
      <c r="S39" s="521"/>
      <c r="T39" s="521"/>
      <c r="U39" s="521"/>
      <c r="V39" s="521"/>
      <c r="W39" s="521"/>
      <c r="X39" s="521"/>
      <c r="Y39" s="521"/>
      <c r="Z39" s="521"/>
      <c r="AA39" s="521"/>
      <c r="AB39" s="521"/>
      <c r="AC39" s="521"/>
      <c r="AD39" s="521"/>
      <c r="AE39" s="521"/>
      <c r="AF39" s="521"/>
      <c r="AG39" s="521"/>
      <c r="AH39" s="521"/>
      <c r="AI39" s="521"/>
      <c r="AJ39" s="521"/>
      <c r="AK39" s="521"/>
      <c r="AL39" s="521"/>
      <c r="AM39" s="521"/>
      <c r="AN39" s="521"/>
      <c r="AO39" s="521"/>
      <c r="AP39" s="521"/>
      <c r="AQ39" s="521"/>
      <c r="AR39" s="521"/>
      <c r="AS39" s="521"/>
      <c r="AT39" s="521"/>
      <c r="AU39" s="521"/>
      <c r="AV39" s="521"/>
      <c r="AW39" s="521"/>
      <c r="AX39" s="521"/>
      <c r="AY39" s="521"/>
    </row>
    <row r="40" customFormat="false" ht="12.75" hidden="false" customHeight="false" outlineLevel="0" collapsed="false">
      <c r="A40" s="575" t="n">
        <v>36281</v>
      </c>
      <c r="B40" s="190" t="n">
        <v>0.0327040260734171</v>
      </c>
      <c r="C40" s="576" t="n">
        <v>0</v>
      </c>
      <c r="D40" s="577" t="n">
        <f aca="false">IF(VLOOKUP(A40,[1]!CPIndex,2)=0,VLOOKUP(A40,[1]!CPIndex,6),0)</f>
        <v>0</v>
      </c>
      <c r="E40" s="576" t="n">
        <v>166.2</v>
      </c>
      <c r="F40" s="577" t="n">
        <f aca="false">IF(VLOOKUP(A40,[1]!CPIndex,2)=0,(F39*EXP(IF(driftswitch=1,D40,$C$4)-1/2*$D$4^2+$D$4*B40)),VLOOKUP(A40,[1]!CPIndex,2))</f>
        <v>166.2</v>
      </c>
      <c r="G40" s="585" t="n">
        <f aca="false">IF(shiftswitch4=1,(F40-F39)/F39,(E40-E39)/E39)</f>
        <v>0</v>
      </c>
      <c r="H40" s="578" t="n">
        <f aca="false">G40+1</f>
        <v>1</v>
      </c>
      <c r="I40" s="0" t="n">
        <v>165.651421577302</v>
      </c>
      <c r="J40" s="590" t="n">
        <v>2025</v>
      </c>
      <c r="K40" s="592" t="n">
        <f aca="false">PRODUCT(H348:H359)-1</f>
        <v>0.0323905309663979</v>
      </c>
      <c r="L40" s="521"/>
      <c r="M40" s="521"/>
      <c r="N40" s="521"/>
      <c r="O40" s="521"/>
      <c r="P40" s="521"/>
      <c r="Q40" s="521"/>
      <c r="R40" s="521"/>
      <c r="S40" s="521"/>
      <c r="T40" s="521"/>
      <c r="U40" s="521"/>
      <c r="V40" s="521"/>
      <c r="W40" s="521"/>
      <c r="X40" s="521"/>
      <c r="Y40" s="521"/>
      <c r="Z40" s="521"/>
      <c r="AA40" s="521"/>
      <c r="AB40" s="521"/>
      <c r="AC40" s="521"/>
      <c r="AD40" s="521"/>
      <c r="AE40" s="521"/>
      <c r="AF40" s="521"/>
      <c r="AG40" s="521"/>
      <c r="AH40" s="521"/>
      <c r="AI40" s="521"/>
      <c r="AJ40" s="521"/>
      <c r="AK40" s="521"/>
      <c r="AL40" s="521"/>
      <c r="AM40" s="521"/>
      <c r="AN40" s="521"/>
      <c r="AO40" s="521"/>
      <c r="AP40" s="521"/>
      <c r="AQ40" s="521"/>
      <c r="AR40" s="521"/>
      <c r="AS40" s="521"/>
      <c r="AT40" s="521"/>
      <c r="AU40" s="521"/>
      <c r="AV40" s="521"/>
      <c r="AW40" s="521"/>
      <c r="AX40" s="521"/>
      <c r="AY40" s="521"/>
    </row>
    <row r="41" customFormat="false" ht="12.75" hidden="false" customHeight="false" outlineLevel="0" collapsed="false">
      <c r="A41" s="575" t="n">
        <v>36312</v>
      </c>
      <c r="B41" s="190" t="n">
        <v>0.021088103789098</v>
      </c>
      <c r="C41" s="576" t="n">
        <v>0</v>
      </c>
      <c r="D41" s="577" t="n">
        <f aca="false">IF(VLOOKUP(A41,[1]!CPIndex,2)=0,VLOOKUP(A41,[1]!CPIndex,6),0)</f>
        <v>0</v>
      </c>
      <c r="E41" s="576" t="n">
        <v>166.2</v>
      </c>
      <c r="F41" s="577" t="n">
        <f aca="false">IF(VLOOKUP(A41,[1]!CPIndex,2)=0,(F40*EXP(IF(driftswitch=1,D41,$C$4)-1/2*$D$4^2+$D$4*B41)),VLOOKUP(A41,[1]!CPIndex,2))</f>
        <v>166.2</v>
      </c>
      <c r="G41" s="585" t="n">
        <f aca="false">IF(shiftswitch4=1,(F41-F40)/F40,(E41-E40)/E40)</f>
        <v>0</v>
      </c>
      <c r="H41" s="578" t="n">
        <f aca="false">G41+1</f>
        <v>1</v>
      </c>
      <c r="I41" s="0" t="n">
        <v>165.958860268389</v>
      </c>
      <c r="J41" s="590" t="n">
        <v>2026</v>
      </c>
      <c r="K41" s="592" t="n">
        <f aca="false">PRODUCT(H360:H371)-1</f>
        <v>0.0323905309663979</v>
      </c>
      <c r="L41" s="521"/>
      <c r="M41" s="521"/>
      <c r="N41" s="521"/>
      <c r="O41" s="521"/>
      <c r="P41" s="521"/>
      <c r="Q41" s="521"/>
      <c r="R41" s="521"/>
      <c r="S41" s="521"/>
      <c r="T41" s="521"/>
      <c r="U41" s="521"/>
      <c r="V41" s="521"/>
      <c r="W41" s="521"/>
      <c r="X41" s="521"/>
      <c r="Y41" s="521"/>
      <c r="Z41" s="521"/>
      <c r="AA41" s="521"/>
      <c r="AB41" s="521"/>
      <c r="AC41" s="521"/>
      <c r="AD41" s="521"/>
      <c r="AE41" s="521"/>
      <c r="AF41" s="521"/>
      <c r="AG41" s="521"/>
      <c r="AH41" s="521"/>
      <c r="AI41" s="521"/>
      <c r="AJ41" s="521"/>
      <c r="AK41" s="521"/>
      <c r="AL41" s="521"/>
      <c r="AM41" s="521"/>
      <c r="AN41" s="521"/>
      <c r="AO41" s="521"/>
      <c r="AP41" s="521"/>
      <c r="AQ41" s="521"/>
      <c r="AR41" s="521"/>
      <c r="AS41" s="521"/>
      <c r="AT41" s="521"/>
      <c r="AU41" s="521"/>
      <c r="AV41" s="521"/>
      <c r="AW41" s="521"/>
      <c r="AX41" s="521"/>
      <c r="AY41" s="521"/>
    </row>
    <row r="42" customFormat="false" ht="12.75" hidden="false" customHeight="false" outlineLevel="0" collapsed="false">
      <c r="A42" s="575" t="n">
        <v>36342</v>
      </c>
      <c r="B42" s="190" t="n">
        <v>-0.0109092250408108</v>
      </c>
      <c r="C42" s="576" t="n">
        <v>0</v>
      </c>
      <c r="D42" s="577" t="n">
        <f aca="false">IF(VLOOKUP(A42,[1]!CPIndex,2)=0,VLOOKUP(A42,[1]!CPIndex,6),0)</f>
        <v>0</v>
      </c>
      <c r="E42" s="576" t="n">
        <v>166.7</v>
      </c>
      <c r="F42" s="577" t="n">
        <f aca="false">IF(VLOOKUP(A42,[1]!CPIndex,2)=0,(F41*EXP(IF(driftswitch=1,D42,$C$4)-1/2*$D$4^2+$D$4*B42)),VLOOKUP(A42,[1]!CPIndex,2))</f>
        <v>166.7</v>
      </c>
      <c r="G42" s="585" t="n">
        <f aca="false">IF(shiftswitch4=1,(F42-F41)/F41,(E42-E41)/E41)</f>
        <v>0.00300842358604091</v>
      </c>
      <c r="H42" s="578" t="n">
        <f aca="false">G42+1</f>
        <v>1.00300842358604</v>
      </c>
      <c r="I42" s="0" t="n">
        <v>166.266869546483</v>
      </c>
      <c r="J42" s="590" t="n">
        <v>2027</v>
      </c>
      <c r="K42" s="592" t="n">
        <f aca="false">PRODUCT(H372:H383)-1</f>
        <v>0.0323905309663979</v>
      </c>
      <c r="L42" s="521"/>
      <c r="M42" s="521"/>
      <c r="N42" s="521"/>
      <c r="O42" s="521"/>
      <c r="P42" s="521"/>
      <c r="Q42" s="521"/>
      <c r="R42" s="521"/>
      <c r="S42" s="521"/>
      <c r="T42" s="521"/>
      <c r="U42" s="521"/>
      <c r="V42" s="521"/>
      <c r="W42" s="521"/>
      <c r="X42" s="521"/>
      <c r="Y42" s="521"/>
      <c r="Z42" s="521"/>
      <c r="AA42" s="521"/>
      <c r="AB42" s="521"/>
      <c r="AC42" s="521"/>
      <c r="AD42" s="521"/>
      <c r="AE42" s="521"/>
      <c r="AF42" s="521"/>
      <c r="AG42" s="521"/>
      <c r="AH42" s="521"/>
      <c r="AI42" s="521"/>
      <c r="AJ42" s="521"/>
      <c r="AK42" s="521"/>
      <c r="AL42" s="521"/>
      <c r="AM42" s="521"/>
      <c r="AN42" s="521"/>
      <c r="AO42" s="521"/>
      <c r="AP42" s="521"/>
      <c r="AQ42" s="521"/>
      <c r="AR42" s="521"/>
      <c r="AS42" s="521"/>
      <c r="AT42" s="521"/>
      <c r="AU42" s="521"/>
      <c r="AV42" s="521"/>
      <c r="AW42" s="521"/>
      <c r="AX42" s="521"/>
      <c r="AY42" s="521"/>
    </row>
    <row r="43" customFormat="false" ht="12.75" hidden="false" customHeight="false" outlineLevel="0" collapsed="false">
      <c r="A43" s="575" t="n">
        <v>36373</v>
      </c>
      <c r="B43" s="190" t="n">
        <v>-0.027071978101693</v>
      </c>
      <c r="C43" s="576" t="n">
        <v>0</v>
      </c>
      <c r="D43" s="577" t="n">
        <f aca="false">IF(VLOOKUP(A43,[1]!CPIndex,2)=0,VLOOKUP(A43,[1]!CPIndex,6),0)</f>
        <v>0</v>
      </c>
      <c r="E43" s="576" t="n">
        <v>167.1</v>
      </c>
      <c r="F43" s="577" t="n">
        <f aca="false">IF(VLOOKUP(A43,[1]!CPIndex,2)=0,(F42*EXP(IF(driftswitch=1,D43,$C$4)-1/2*$D$4^2+$D$4*B43)),VLOOKUP(A43,[1]!CPIndex,2))</f>
        <v>167.1</v>
      </c>
      <c r="G43" s="585" t="n">
        <f aca="false">IF(shiftswitch4=1,(F43-F42)/F42,(E43-E42)/E42)</f>
        <v>0.00239952009598084</v>
      </c>
      <c r="H43" s="578" t="n">
        <f aca="false">G43+1</f>
        <v>1.00239952009598</v>
      </c>
      <c r="I43" s="0" t="n">
        <v>166.575450470557</v>
      </c>
      <c r="J43" s="590" t="n">
        <v>2028</v>
      </c>
      <c r="K43" s="592" t="n">
        <f aca="false">PRODUCT(H384:H395)-1</f>
        <v>0.0323905309663979</v>
      </c>
      <c r="L43" s="521"/>
      <c r="M43" s="521"/>
      <c r="N43" s="521"/>
      <c r="O43" s="521"/>
      <c r="P43" s="521"/>
      <c r="Q43" s="521"/>
      <c r="R43" s="521"/>
      <c r="S43" s="521"/>
      <c r="T43" s="521"/>
      <c r="U43" s="521"/>
      <c r="V43" s="521"/>
      <c r="W43" s="521"/>
      <c r="X43" s="521"/>
      <c r="Y43" s="521"/>
      <c r="Z43" s="521"/>
      <c r="AA43" s="521"/>
      <c r="AB43" s="521"/>
      <c r="AC43" s="521"/>
      <c r="AD43" s="521"/>
      <c r="AE43" s="521"/>
      <c r="AF43" s="521"/>
      <c r="AG43" s="521"/>
      <c r="AH43" s="521"/>
      <c r="AI43" s="521"/>
      <c r="AJ43" s="521"/>
      <c r="AK43" s="521"/>
      <c r="AL43" s="521"/>
      <c r="AM43" s="521"/>
      <c r="AN43" s="521"/>
      <c r="AO43" s="521"/>
      <c r="AP43" s="521"/>
      <c r="AQ43" s="521"/>
      <c r="AR43" s="521"/>
      <c r="AS43" s="521"/>
      <c r="AT43" s="521"/>
      <c r="AU43" s="521"/>
      <c r="AV43" s="521"/>
      <c r="AW43" s="521"/>
      <c r="AX43" s="521"/>
      <c r="AY43" s="521"/>
    </row>
    <row r="44" customFormat="false" ht="12.75" hidden="false" customHeight="false" outlineLevel="0" collapsed="false">
      <c r="A44" s="575" t="n">
        <v>36404</v>
      </c>
      <c r="B44" s="190" t="n">
        <v>0.0301640518067853</v>
      </c>
      <c r="C44" s="576" t="n">
        <v>0</v>
      </c>
      <c r="D44" s="577" t="n">
        <f aca="false">IF(VLOOKUP(A44,[1]!CPIndex,2)=0,VLOOKUP(A44,[1]!CPIndex,6),0)</f>
        <v>0</v>
      </c>
      <c r="E44" s="576" t="n">
        <v>167.9</v>
      </c>
      <c r="F44" s="577" t="n">
        <f aca="false">IF(VLOOKUP(A44,[1]!CPIndex,2)=0,(F43*EXP(IF(driftswitch=1,D44,$C$4)-1/2*$D$4^2+$D$4*B44)),VLOOKUP(A44,[1]!CPIndex,2))</f>
        <v>167.9</v>
      </c>
      <c r="G44" s="585" t="n">
        <f aca="false">IF(shiftswitch4=1,(F44-F43)/F43,(E44-E43)/E43)</f>
        <v>0.00478755236385405</v>
      </c>
      <c r="H44" s="578" t="n">
        <f aca="false">G44+1</f>
        <v>1.00478755236385</v>
      </c>
      <c r="I44" s="0" t="n">
        <v>166.884604101551</v>
      </c>
      <c r="J44" s="590" t="n">
        <v>2029</v>
      </c>
      <c r="K44" s="592" t="n">
        <f aca="false">PRODUCT(H396:H407)-1</f>
        <v>0.0323905309663979</v>
      </c>
      <c r="L44" s="521"/>
      <c r="M44" s="521"/>
      <c r="N44" s="521"/>
      <c r="O44" s="521"/>
      <c r="P44" s="521"/>
      <c r="Q44" s="521"/>
      <c r="R44" s="521"/>
      <c r="S44" s="521"/>
      <c r="T44" s="521"/>
      <c r="U44" s="521"/>
      <c r="V44" s="521"/>
      <c r="W44" s="521"/>
      <c r="X44" s="521"/>
      <c r="Y44" s="521"/>
      <c r="Z44" s="521"/>
      <c r="AA44" s="521"/>
      <c r="AB44" s="521"/>
      <c r="AC44" s="521"/>
      <c r="AD44" s="521"/>
      <c r="AE44" s="521"/>
      <c r="AF44" s="521"/>
      <c r="AG44" s="521"/>
      <c r="AH44" s="521"/>
      <c r="AI44" s="521"/>
      <c r="AJ44" s="521"/>
      <c r="AK44" s="521"/>
      <c r="AL44" s="521"/>
      <c r="AM44" s="521"/>
      <c r="AN44" s="521"/>
      <c r="AO44" s="521"/>
      <c r="AP44" s="521"/>
      <c r="AQ44" s="521"/>
      <c r="AR44" s="521"/>
      <c r="AS44" s="521"/>
      <c r="AT44" s="521"/>
      <c r="AU44" s="521"/>
      <c r="AV44" s="521"/>
      <c r="AW44" s="521"/>
      <c r="AX44" s="521"/>
      <c r="AY44" s="521"/>
    </row>
    <row r="45" customFormat="false" ht="12.75" hidden="false" customHeight="false" outlineLevel="0" collapsed="false">
      <c r="A45" s="575" t="n">
        <v>36434</v>
      </c>
      <c r="B45" s="190" t="n">
        <v>-0.0249676190870623</v>
      </c>
      <c r="C45" s="576" t="n">
        <v>0</v>
      </c>
      <c r="D45" s="577" t="n">
        <f aca="false">IF(VLOOKUP(A45,[1]!CPIndex,2)=0,VLOOKUP(A45,[1]!CPIndex,6),0)</f>
        <v>0</v>
      </c>
      <c r="E45" s="576" t="n">
        <v>168.2</v>
      </c>
      <c r="F45" s="577" t="n">
        <f aca="false">IF(VLOOKUP(A45,[1]!CPIndex,2)=0,(F44*EXP(IF(driftswitch=1,D45,$C$4)-1/2*$D$4^2+$D$4*B45)),VLOOKUP(A45,[1]!CPIndex,2))</f>
        <v>168.2</v>
      </c>
      <c r="G45" s="585" t="n">
        <f aca="false">IF(shiftswitch4=1,(F45-F44)/F44,(E45-E44)/E44)</f>
        <v>0.00178677784395463</v>
      </c>
      <c r="H45" s="578" t="n">
        <f aca="false">G45+1</f>
        <v>1.00178677784395</v>
      </c>
      <c r="I45" s="0" t="n">
        <v>167.194331502373</v>
      </c>
      <c r="J45" s="590" t="n">
        <v>2030</v>
      </c>
      <c r="K45" s="592" t="n">
        <f aca="false">PRODUCT(H408:H419)-1</f>
        <v>0.0323905309663979</v>
      </c>
      <c r="L45" s="521"/>
      <c r="M45" s="521"/>
      <c r="N45" s="521"/>
      <c r="O45" s="521"/>
      <c r="P45" s="521"/>
      <c r="Q45" s="521"/>
      <c r="R45" s="521"/>
      <c r="S45" s="521"/>
      <c r="T45" s="521"/>
      <c r="U45" s="521"/>
      <c r="V45" s="521"/>
      <c r="W45" s="521"/>
      <c r="X45" s="521"/>
      <c r="Y45" s="521"/>
      <c r="Z45" s="521"/>
      <c r="AA45" s="521"/>
      <c r="AB45" s="521"/>
      <c r="AC45" s="521"/>
      <c r="AD45" s="521"/>
      <c r="AE45" s="521"/>
      <c r="AF45" s="521"/>
      <c r="AG45" s="521"/>
      <c r="AH45" s="521"/>
      <c r="AI45" s="521"/>
      <c r="AJ45" s="521"/>
      <c r="AK45" s="521"/>
      <c r="AL45" s="521"/>
      <c r="AM45" s="521"/>
      <c r="AN45" s="521"/>
      <c r="AO45" s="521"/>
      <c r="AP45" s="521"/>
      <c r="AQ45" s="521"/>
      <c r="AR45" s="521"/>
      <c r="AS45" s="521"/>
      <c r="AT45" s="521"/>
      <c r="AU45" s="521"/>
      <c r="AV45" s="521"/>
      <c r="AW45" s="521"/>
      <c r="AX45" s="521"/>
      <c r="AY45" s="521"/>
    </row>
    <row r="46" customFormat="false" ht="12.75" hidden="false" customHeight="false" outlineLevel="0" collapsed="false">
      <c r="A46" s="575" t="n">
        <v>36465</v>
      </c>
      <c r="B46" s="190" t="n">
        <v>0.0190367641652145</v>
      </c>
      <c r="C46" s="576" t="n">
        <v>0</v>
      </c>
      <c r="D46" s="577" t="n">
        <f aca="false">IF(VLOOKUP(A46,[1]!CPIndex,2)=0,VLOOKUP(A46,[1]!CPIndex,6),0)</f>
        <v>0</v>
      </c>
      <c r="E46" s="576" t="n">
        <v>168.4</v>
      </c>
      <c r="F46" s="577" t="n">
        <f aca="false">IF(VLOOKUP(A46,[1]!CPIndex,2)=0,(F45*EXP(IF(driftswitch=1,D46,$C$4)-1/2*$D$4^2+$D$4*B46)),VLOOKUP(A46,[1]!CPIndex,2))</f>
        <v>168.4</v>
      </c>
      <c r="G46" s="585" t="n">
        <f aca="false">IF(shiftswitch4=1,(F46-F45)/F45,(E46-E45)/E45)</f>
        <v>0.00118906064209285</v>
      </c>
      <c r="H46" s="578" t="n">
        <f aca="false">G46+1</f>
        <v>1.00118906064209</v>
      </c>
      <c r="I46" s="0" t="n">
        <v>167.504633737903</v>
      </c>
      <c r="J46" s="590" t="n">
        <v>2031</v>
      </c>
      <c r="K46" s="592" t="n">
        <f aca="false">PRODUCT(H420:H431)-1</f>
        <v>0.0323905309663979</v>
      </c>
      <c r="L46" s="521"/>
      <c r="M46" s="521"/>
      <c r="N46" s="521"/>
      <c r="O46" s="521"/>
      <c r="P46" s="521"/>
      <c r="Q46" s="521"/>
      <c r="R46" s="521"/>
      <c r="S46" s="521"/>
      <c r="T46" s="521"/>
      <c r="U46" s="521"/>
      <c r="V46" s="521"/>
      <c r="W46" s="521"/>
      <c r="X46" s="521"/>
      <c r="Y46" s="521"/>
      <c r="Z46" s="521"/>
      <c r="AA46" s="521"/>
      <c r="AB46" s="521"/>
      <c r="AC46" s="521"/>
      <c r="AD46" s="521"/>
      <c r="AE46" s="521"/>
      <c r="AF46" s="521"/>
      <c r="AG46" s="521"/>
      <c r="AH46" s="521"/>
      <c r="AI46" s="521"/>
      <c r="AJ46" s="521"/>
      <c r="AK46" s="521"/>
      <c r="AL46" s="521"/>
      <c r="AM46" s="521"/>
      <c r="AN46" s="521"/>
      <c r="AO46" s="521"/>
      <c r="AP46" s="521"/>
      <c r="AQ46" s="521"/>
      <c r="AR46" s="521"/>
      <c r="AS46" s="521"/>
      <c r="AT46" s="521"/>
      <c r="AU46" s="521"/>
      <c r="AV46" s="521"/>
      <c r="AW46" s="521"/>
      <c r="AX46" s="521"/>
      <c r="AY46" s="521"/>
    </row>
    <row r="47" customFormat="false" ht="12.75" hidden="false" customHeight="false" outlineLevel="0" collapsed="false">
      <c r="A47" s="575" t="n">
        <v>36495</v>
      </c>
      <c r="B47" s="190" t="n">
        <v>0.0233871299042943</v>
      </c>
      <c r="C47" s="576" t="n">
        <v>0</v>
      </c>
      <c r="D47" s="577" t="n">
        <f aca="false">IF(VLOOKUP(A47,[1]!CPIndex,2)=0,VLOOKUP(A47,[1]!CPIndex,6),0)</f>
        <v>0</v>
      </c>
      <c r="E47" s="576" t="n">
        <v>168.8</v>
      </c>
      <c r="F47" s="577" t="n">
        <f aca="false">IF(VLOOKUP(A47,[1]!CPIndex,2)=0,(F46*EXP(IF(driftswitch=1,D47,$C$4)-1/2*$D$4^2+$D$4*B47)),VLOOKUP(A47,[1]!CPIndex,2))</f>
        <v>168.8</v>
      </c>
      <c r="G47" s="585" t="n">
        <f aca="false">IF(shiftswitch4=1,(F47-F46)/F46,(E47-E46)/E46)</f>
        <v>0.00237529691211405</v>
      </c>
      <c r="H47" s="578" t="n">
        <f aca="false">G47+1</f>
        <v>1.00237529691211</v>
      </c>
      <c r="I47" s="0" t="n">
        <v>167.815511875</v>
      </c>
      <c r="J47" s="590" t="n">
        <v>2032</v>
      </c>
      <c r="K47" s="592" t="n">
        <f aca="false">PRODUCT(H432:H443)-1</f>
        <v>0.0323905309663979</v>
      </c>
      <c r="L47" s="521"/>
      <c r="M47" s="521"/>
      <c r="N47" s="521"/>
      <c r="O47" s="521"/>
      <c r="P47" s="521"/>
      <c r="Q47" s="521"/>
      <c r="R47" s="521"/>
      <c r="S47" s="521"/>
      <c r="T47" s="521"/>
      <c r="U47" s="521"/>
      <c r="V47" s="521"/>
      <c r="W47" s="521"/>
      <c r="X47" s="521"/>
      <c r="Y47" s="521"/>
      <c r="Z47" s="521"/>
      <c r="AA47" s="521"/>
      <c r="AB47" s="521"/>
      <c r="AC47" s="521"/>
      <c r="AD47" s="521"/>
      <c r="AE47" s="521"/>
      <c r="AF47" s="521"/>
      <c r="AG47" s="521"/>
      <c r="AH47" s="521"/>
      <c r="AI47" s="521"/>
      <c r="AJ47" s="521"/>
      <c r="AK47" s="521"/>
      <c r="AL47" s="521"/>
      <c r="AM47" s="521"/>
      <c r="AN47" s="521"/>
      <c r="AO47" s="521"/>
      <c r="AP47" s="521"/>
      <c r="AQ47" s="521"/>
      <c r="AR47" s="521"/>
      <c r="AS47" s="521"/>
      <c r="AT47" s="521"/>
      <c r="AU47" s="521"/>
      <c r="AV47" s="521"/>
      <c r="AW47" s="521"/>
      <c r="AX47" s="521"/>
      <c r="AY47" s="521"/>
    </row>
    <row r="48" customFormat="false" ht="12.75" hidden="false" customHeight="false" outlineLevel="0" collapsed="false">
      <c r="A48" s="575" t="n">
        <v>36526</v>
      </c>
      <c r="B48" s="190" t="n">
        <v>0.0247081578726211</v>
      </c>
      <c r="C48" s="576" t="n">
        <v>0</v>
      </c>
      <c r="D48" s="577" t="n">
        <f aca="false">IF(VLOOKUP(A48,[1]!CPIndex,2)=0,VLOOKUP(A48,[1]!CPIndex,6),0)</f>
        <v>0</v>
      </c>
      <c r="E48" s="576" t="n">
        <v>169.1</v>
      </c>
      <c r="F48" s="577" t="n">
        <f aca="false">IF(VLOOKUP(A48,[1]!CPIndex,2)=0,(F47*EXP(IF(driftswitch=1,D48,$C$4)-1/2*$D$4^2+$D$4*B48)),VLOOKUP(A48,[1]!CPIndex,2))</f>
        <v>169.1</v>
      </c>
      <c r="G48" s="585" t="n">
        <f aca="false">IF(shiftswitch4=1,(F48-F47)/F47,(E48-E47)/E47)</f>
        <v>0.00177725118483402</v>
      </c>
      <c r="H48" s="578" t="n">
        <f aca="false">G48+1</f>
        <v>1.00177725118483</v>
      </c>
      <c r="I48" s="0" t="n">
        <v>168.126966982501</v>
      </c>
      <c r="J48" s="590" t="n">
        <v>2033</v>
      </c>
      <c r="K48" s="592" t="n">
        <f aca="false">PRODUCT(H444:H455)-1</f>
        <v>0.0323905309663979</v>
      </c>
      <c r="L48" s="521"/>
      <c r="M48" s="521"/>
      <c r="N48" s="521"/>
      <c r="O48" s="521"/>
      <c r="P48" s="521"/>
      <c r="Q48" s="521"/>
      <c r="R48" s="521"/>
      <c r="S48" s="521"/>
      <c r="T48" s="521"/>
      <c r="U48" s="521"/>
      <c r="V48" s="521"/>
      <c r="W48" s="521"/>
      <c r="X48" s="521"/>
      <c r="Y48" s="521"/>
      <c r="Z48" s="521"/>
      <c r="AA48" s="521"/>
      <c r="AB48" s="521"/>
      <c r="AC48" s="521"/>
      <c r="AD48" s="521"/>
      <c r="AE48" s="521"/>
      <c r="AF48" s="521"/>
      <c r="AG48" s="521"/>
      <c r="AH48" s="521"/>
      <c r="AI48" s="521"/>
      <c r="AJ48" s="521"/>
      <c r="AK48" s="521"/>
      <c r="AL48" s="521"/>
      <c r="AM48" s="521"/>
      <c r="AN48" s="521"/>
      <c r="AO48" s="521"/>
      <c r="AP48" s="521"/>
      <c r="AQ48" s="521"/>
      <c r="AR48" s="521"/>
      <c r="AS48" s="521"/>
      <c r="AT48" s="521"/>
      <c r="AU48" s="521"/>
      <c r="AV48" s="521"/>
      <c r="AW48" s="521"/>
      <c r="AX48" s="521"/>
      <c r="AY48" s="521"/>
    </row>
    <row r="49" customFormat="false" ht="12.75" hidden="false" customHeight="false" outlineLevel="0" collapsed="false">
      <c r="A49" s="575" t="n">
        <v>36557</v>
      </c>
      <c r="B49" s="190" t="n">
        <v>0.0031331065369852</v>
      </c>
      <c r="C49" s="576" t="n">
        <v>0.0023080189417772</v>
      </c>
      <c r="D49" s="577" t="n">
        <f aca="false">IF(VLOOKUP(A49,[1]!CPIndex,2)=0,VLOOKUP(A49,[1]!CPIndex,6),0)</f>
        <v>0</v>
      </c>
      <c r="E49" s="576" t="n">
        <v>169.490607197444</v>
      </c>
      <c r="F49" s="577" t="n">
        <f aca="false">IF(VLOOKUP(A49,[1]!CPIndex,2)=0,(F48*EXP(IF(driftswitch=1,D49,$C$4)-1/2*$D$4^2+$D$4*B49)),VLOOKUP(A49,[1]!CPIndex,2))</f>
        <v>169.7</v>
      </c>
      <c r="G49" s="585" t="n">
        <f aca="false">IF(shiftswitch4=1,(F49-F48)/F48,(E49-E48)/E48)</f>
        <v>0.00230991837637043</v>
      </c>
      <c r="H49" s="578" t="n">
        <f aca="false">G49+1</f>
        <v>1.00230991837637</v>
      </c>
      <c r="I49" s="0" t="n">
        <v>168.439000131226</v>
      </c>
      <c r="J49" s="590" t="n">
        <v>2034</v>
      </c>
      <c r="K49" s="592" t="n">
        <f aca="false">PRODUCT(H456:H467)-1</f>
        <v>0.0323905309663979</v>
      </c>
      <c r="L49" s="521"/>
      <c r="M49" s="521"/>
      <c r="N49" s="521"/>
      <c r="O49" s="521"/>
      <c r="P49" s="521"/>
      <c r="Q49" s="521"/>
      <c r="R49" s="521"/>
      <c r="S49" s="521"/>
      <c r="T49" s="521"/>
      <c r="U49" s="521"/>
      <c r="V49" s="521"/>
      <c r="W49" s="521"/>
      <c r="X49" s="521"/>
      <c r="Y49" s="521"/>
      <c r="Z49" s="521"/>
      <c r="AA49" s="521"/>
      <c r="AB49" s="521"/>
      <c r="AC49" s="521"/>
      <c r="AD49" s="521"/>
      <c r="AE49" s="521"/>
      <c r="AF49" s="521"/>
      <c r="AG49" s="521"/>
      <c r="AH49" s="521"/>
      <c r="AI49" s="521"/>
      <c r="AJ49" s="521"/>
      <c r="AK49" s="521"/>
      <c r="AL49" s="521"/>
      <c r="AM49" s="521"/>
      <c r="AN49" s="521"/>
      <c r="AO49" s="521"/>
      <c r="AP49" s="521"/>
      <c r="AQ49" s="521"/>
      <c r="AR49" s="521"/>
      <c r="AS49" s="521"/>
      <c r="AT49" s="521"/>
      <c r="AU49" s="521"/>
      <c r="AV49" s="521"/>
      <c r="AW49" s="521"/>
      <c r="AX49" s="521"/>
      <c r="AY49" s="521"/>
    </row>
    <row r="50" customFormat="false" ht="13.5" hidden="false" customHeight="false" outlineLevel="0" collapsed="false">
      <c r="A50" s="575" t="n">
        <v>36586</v>
      </c>
      <c r="B50" s="190" t="n">
        <v>0.0279475177046162</v>
      </c>
      <c r="C50" s="576" t="n">
        <v>0.00236406450420366</v>
      </c>
      <c r="D50" s="577" t="n">
        <f aca="false">IF(VLOOKUP(A50,[1]!CPIndex,2)=0,VLOOKUP(A50,[1]!CPIndex,6),0)</f>
        <v>0.0026458811094018</v>
      </c>
      <c r="E50" s="576" t="n">
        <v>169.89163807122</v>
      </c>
      <c r="F50" s="577" t="n">
        <f aca="false">IF(VLOOKUP(A50,[1]!CPIndex,2)=0,(F49*EXP(IF(driftswitch=1,D50,$C$4)-1/2*$D$4^2+$D$4*B50)),VLOOKUP(A50,[1]!CPIndex,2))</f>
        <v>170.155349941504</v>
      </c>
      <c r="G50" s="585" t="n">
        <f aca="false">IF(shiftswitch4=1,(F50-F49)/F49,(E50-E49)/E49)</f>
        <v>0.00236609497368122</v>
      </c>
      <c r="H50" s="578" t="n">
        <f aca="false">G50+1</f>
        <v>1.00236609497368</v>
      </c>
      <c r="I50" s="0" t="n">
        <v>168.751612393984</v>
      </c>
      <c r="J50" s="593" t="n">
        <v>2035</v>
      </c>
      <c r="K50" s="594" t="n">
        <f aca="false">PRODUCT(H468:H479)-1</f>
        <v>0.0323905309663979</v>
      </c>
      <c r="L50" s="521"/>
      <c r="M50" s="521"/>
      <c r="N50" s="521"/>
      <c r="O50" s="521"/>
      <c r="P50" s="521"/>
      <c r="Q50" s="521"/>
      <c r="R50" s="521"/>
      <c r="S50" s="521"/>
      <c r="T50" s="521"/>
      <c r="U50" s="521"/>
      <c r="V50" s="521"/>
      <c r="W50" s="521"/>
      <c r="X50" s="521"/>
      <c r="Y50" s="521"/>
      <c r="Z50" s="521"/>
      <c r="AA50" s="521"/>
      <c r="AB50" s="521"/>
      <c r="AC50" s="521"/>
      <c r="AD50" s="521"/>
      <c r="AE50" s="521"/>
      <c r="AF50" s="521"/>
      <c r="AG50" s="521"/>
      <c r="AH50" s="521"/>
      <c r="AI50" s="521"/>
      <c r="AJ50" s="521"/>
      <c r="AK50" s="521"/>
      <c r="AL50" s="521"/>
      <c r="AM50" s="521"/>
      <c r="AN50" s="521"/>
      <c r="AO50" s="521"/>
      <c r="AP50" s="521"/>
      <c r="AQ50" s="521"/>
      <c r="AR50" s="521"/>
      <c r="AS50" s="521"/>
      <c r="AT50" s="521"/>
      <c r="AU50" s="521"/>
      <c r="AV50" s="521"/>
      <c r="AW50" s="521"/>
      <c r="AX50" s="521"/>
      <c r="AY50" s="521"/>
    </row>
    <row r="51" customFormat="false" ht="12.75" hidden="false" customHeight="false" outlineLevel="0" collapsed="false">
      <c r="A51" s="575" t="n">
        <v>36617</v>
      </c>
      <c r="B51" s="190" t="n">
        <v>-0.0303508927903968</v>
      </c>
      <c r="C51" s="576" t="n">
        <v>0.00242007239870126</v>
      </c>
      <c r="D51" s="577" t="n">
        <f aca="false">IF(VLOOKUP(A51,[1]!CPIndex,2)=0,VLOOKUP(A51,[1]!CPIndex,6),0)</f>
        <v>0.00266686801045785</v>
      </c>
      <c r="E51" s="576" t="n">
        <v>170.303155876212</v>
      </c>
      <c r="F51" s="577" t="n">
        <f aca="false">IF(VLOOKUP(A51,[1]!CPIndex,2)=0,(F50*EXP(IF(driftswitch=1,D51,$C$4)-1/2*$D$4^2+$D$4*B51)),VLOOKUP(A51,[1]!CPIndex,2))</f>
        <v>170.603204947483</v>
      </c>
      <c r="G51" s="585" t="n">
        <f aca="false">IF(shiftswitch4=1,(F51-F50)/F50,(E51-E50)/E50)</f>
        <v>0.00242223696035909</v>
      </c>
      <c r="H51" s="578" t="n">
        <f aca="false">G51+1</f>
        <v>1.00242223696036</v>
      </c>
      <c r="I51" s="0" t="n">
        <v>169.064804845574</v>
      </c>
    </row>
    <row r="52" customFormat="false" ht="12.75" hidden="false" customHeight="false" outlineLevel="0" collapsed="false">
      <c r="A52" s="575" t="n">
        <v>36647</v>
      </c>
      <c r="B52" s="190" t="n">
        <v>-0.0297173704354946</v>
      </c>
      <c r="C52" s="576" t="n">
        <v>0.00247604267586885</v>
      </c>
      <c r="D52" s="577" t="n">
        <f aca="false">IF(VLOOKUP(A52,[1]!CPIndex,2)=0,VLOOKUP(A52,[1]!CPIndex,6),0)</f>
        <v>0.00268784962744431</v>
      </c>
      <c r="E52" s="576" t="n">
        <v>170.725225745638</v>
      </c>
      <c r="F52" s="577" t="n">
        <f aca="false">IF(VLOOKUP(A52,[1]!CPIndex,2)=0,(F51*EXP(IF(driftswitch=1,D52,$C$4)-1/2*$D$4^2+$D$4*B52)),VLOOKUP(A52,[1]!CPIndex,2))</f>
        <v>171.055961698554</v>
      </c>
      <c r="G52" s="585" t="n">
        <f aca="false">IF(shiftswitch4=1,(F52-F51)/F51,(E52-E51)/E51)</f>
        <v>0.00247834438096003</v>
      </c>
      <c r="H52" s="578" t="n">
        <f aca="false">G52+1</f>
        <v>1.00247834438096</v>
      </c>
      <c r="I52" s="0" t="n">
        <v>169.378578562792</v>
      </c>
    </row>
    <row r="53" customFormat="false" ht="12.75" hidden="false" customHeight="false" outlineLevel="0" collapsed="false">
      <c r="A53" s="575" t="n">
        <v>36678</v>
      </c>
      <c r="B53" s="190" t="n">
        <v>-0.00127390175021026</v>
      </c>
      <c r="C53" s="576" t="n">
        <v>0.00253197538620336</v>
      </c>
      <c r="D53" s="577" t="n">
        <f aca="false">IF(VLOOKUP(A53,[1]!CPIndex,2)=0,VLOOKUP(A53,[1]!CPIndex,6),0)</f>
        <v>0.00270882596302165</v>
      </c>
      <c r="E53" s="576" t="n">
        <v>171.157914707891</v>
      </c>
      <c r="F53" s="577" t="n">
        <f aca="false">IF(VLOOKUP(A53,[1]!CPIndex,2)=0,(F52*EXP(IF(driftswitch=1,D53,$C$4)-1/2*$D$4^2+$D$4*B53)),VLOOKUP(A53,[1]!CPIndex,2))</f>
        <v>171.51954943121</v>
      </c>
      <c r="G53" s="585" t="n">
        <f aca="false">IF(shiftswitch4=1,(F53-F52)/F52,(E53-E52)/E52)</f>
        <v>0.00253441727995267</v>
      </c>
      <c r="H53" s="578" t="n">
        <f aca="false">G53+1</f>
        <v>1.00253441727995</v>
      </c>
      <c r="I53" s="0" t="n">
        <v>169.692934624428</v>
      </c>
    </row>
    <row r="54" customFormat="false" ht="12.75" hidden="false" customHeight="false" outlineLevel="0" collapsed="false">
      <c r="A54" s="575" t="n">
        <v>36708</v>
      </c>
      <c r="B54" s="190" t="n">
        <v>0.0212665540907925</v>
      </c>
      <c r="C54" s="576" t="n">
        <v>0.00258787058010028</v>
      </c>
      <c r="D54" s="577" t="n">
        <f aca="false">IF(VLOOKUP(A54,[1]!CPIndex,2)=0,VLOOKUP(A54,[1]!CPIndex,6),0)</f>
        <v>0.00272979701984762</v>
      </c>
      <c r="E54" s="576" t="n">
        <v>171.601291703941</v>
      </c>
      <c r="F54" s="577" t="n">
        <f aca="false">IF(VLOOKUP(A54,[1]!CPIndex,2)=0,(F53*EXP(IF(driftswitch=1,D54,$C$4)-1/2*$D$4^2+$D$4*B54)),VLOOKUP(A54,[1]!CPIndex,2))</f>
        <v>171.992793440423</v>
      </c>
      <c r="G54" s="585" t="n">
        <f aca="false">IF(shiftswitch4=1,(F54-F53)/F53,(E54-E53)/E53)</f>
        <v>0.0025904557017196</v>
      </c>
      <c r="H54" s="578" t="n">
        <f aca="false">G54+1</f>
        <v>1.00259045570172</v>
      </c>
      <c r="I54" s="0" t="n">
        <v>170.007874111279</v>
      </c>
    </row>
    <row r="55" customFormat="false" ht="12.75" hidden="false" customHeight="false" outlineLevel="0" collapsed="false">
      <c r="A55" s="575" t="n">
        <v>36739</v>
      </c>
      <c r="B55" s="190" t="n">
        <v>-0.0330911585694267</v>
      </c>
      <c r="C55" s="576" t="n">
        <v>0.0026437283078535</v>
      </c>
      <c r="D55" s="577" t="n">
        <f aca="false">IF(VLOOKUP(A55,[1]!CPIndex,2)=0,VLOOKUP(A55,[1]!CPIndex,6),0)</f>
        <v>0.00275076280057879</v>
      </c>
      <c r="E55" s="576" t="n">
        <v>172.055427605283</v>
      </c>
      <c r="F55" s="577" t="n">
        <f aca="false">IF(VLOOKUP(A55,[1]!CPIndex,2)=0,(F54*EXP(IF(driftswitch=1,D55,$C$4)-1/2*$D$4^2+$D$4*B55)),VLOOKUP(A55,[1]!CPIndex,2))</f>
        <v>172.459368250435</v>
      </c>
      <c r="G55" s="585" t="n">
        <f aca="false">IF(shiftswitch4=1,(F55-F54)/F54,(E55-E54)/E54)</f>
        <v>0.00264645969055538</v>
      </c>
      <c r="H55" s="578" t="n">
        <f aca="false">G55+1</f>
        <v>1.00264645969056</v>
      </c>
      <c r="I55" s="0" t="n">
        <v>170.323398106145</v>
      </c>
    </row>
    <row r="56" customFormat="false" ht="12.75" hidden="false" customHeight="false" outlineLevel="0" collapsed="false">
      <c r="A56" s="575" t="n">
        <v>36770</v>
      </c>
      <c r="B56" s="190" t="n">
        <v>-0.0616518021483434</v>
      </c>
      <c r="C56" s="576" t="n">
        <v>0.00269954861965599</v>
      </c>
      <c r="D56" s="577" t="n">
        <f aca="false">IF(VLOOKUP(A56,[1]!CPIndex,2)=0,VLOOKUP(A56,[1]!CPIndex,6),0)</f>
        <v>0.00277172330786901</v>
      </c>
      <c r="E56" s="576" t="n">
        <v>172.520395232462</v>
      </c>
      <c r="F56" s="577" t="n">
        <f aca="false">IF(VLOOKUP(A56,[1]!CPIndex,2)=0,(F55*EXP(IF(driftswitch=1,D56,$C$4)-1/2*$D$4^2+$D$4*B56)),VLOOKUP(A56,[1]!CPIndex,2))</f>
        <v>172.92472702094</v>
      </c>
      <c r="G56" s="585" t="n">
        <f aca="false">IF(shiftswitch4=1,(F56-F55)/F55,(E56-E55)/E55)</f>
        <v>0.00270242929066873</v>
      </c>
      <c r="H56" s="578" t="n">
        <f aca="false">G56+1</f>
        <v>1.00270242929067</v>
      </c>
      <c r="I56" s="0" t="n">
        <v>170.639507693836</v>
      </c>
    </row>
    <row r="57" customFormat="false" ht="12.75" hidden="false" customHeight="false" outlineLevel="0" collapsed="false">
      <c r="A57" s="575" t="n">
        <v>36800</v>
      </c>
      <c r="B57" s="190" t="n">
        <v>-0.0392776625192911</v>
      </c>
      <c r="C57" s="576" t="n">
        <v>0.00275533156559967</v>
      </c>
      <c r="D57" s="577" t="n">
        <f aca="false">IF(VLOOKUP(A57,[1]!CPIndex,2)=0,VLOOKUP(A57,[1]!CPIndex,6),0)</f>
        <v>0.0027926785443707</v>
      </c>
      <c r="E57" s="576" t="n">
        <v>172.996269374164</v>
      </c>
      <c r="F57" s="577" t="n">
        <f aca="false">IF(VLOOKUP(A57,[1]!CPIndex,2)=0,(F56*EXP(IF(driftswitch=1,D57,$C$4)-1/2*$D$4^2+$D$4*B57)),VLOOKUP(A57,[1]!CPIndex,2))</f>
        <v>173.399771700661</v>
      </c>
      <c r="G57" s="585" t="n">
        <f aca="false">IF(shiftswitch4=1,(F57-F56)/F56,(E57-E56)/E56)</f>
        <v>0.00275836454618145</v>
      </c>
      <c r="H57" s="578" t="n">
        <f aca="false">G57+1</f>
        <v>1.00275836454618</v>
      </c>
      <c r="I57" s="0" t="n">
        <v>170.956203961176</v>
      </c>
    </row>
    <row r="58" customFormat="false" ht="12.75" hidden="false" customHeight="false" outlineLevel="0" collapsed="false">
      <c r="A58" s="575" t="n">
        <v>36831</v>
      </c>
      <c r="B58" s="190" t="n">
        <v>-0.0236616214597006</v>
      </c>
      <c r="C58" s="576" t="n">
        <v>0.0028110771956765</v>
      </c>
      <c r="D58" s="577" t="n">
        <f aca="false">IF(VLOOKUP(A58,[1]!CPIndex,2)=0,VLOOKUP(A58,[1]!CPIndex,6),0)</f>
        <v>0.00281362851273382</v>
      </c>
      <c r="E58" s="576" t="n">
        <v>173.483126806888</v>
      </c>
      <c r="F58" s="577" t="n">
        <f aca="false">IF(VLOOKUP(A58,[1]!CPIndex,2)=0,(F57*EXP(IF(driftswitch=1,D58,$C$4)-1/2*$D$4^2+$D$4*B58)),VLOOKUP(A58,[1]!CPIndex,2))</f>
        <v>173.883121330707</v>
      </c>
      <c r="G58" s="585" t="n">
        <f aca="false">IF(shiftswitch4=1,(F58-F57)/F57,(E58-E57)/E57)</f>
        <v>0.00281426550113045</v>
      </c>
      <c r="H58" s="578" t="n">
        <f aca="false">G58+1</f>
        <v>1.00281426550113</v>
      </c>
      <c r="I58" s="0" t="n">
        <v>171.273487997006</v>
      </c>
    </row>
    <row r="59" customFormat="false" ht="12.75" hidden="false" customHeight="false" outlineLevel="0" collapsed="false">
      <c r="A59" s="575" t="n">
        <v>36861</v>
      </c>
      <c r="B59" s="190" t="n">
        <v>0.035804401988209</v>
      </c>
      <c r="C59" s="576" t="n">
        <v>0.00286678555977771</v>
      </c>
      <c r="D59" s="577" t="n">
        <f aca="false">IF(VLOOKUP(A59,[1]!CPIndex,2)=0,VLOOKUP(A59,[1]!CPIndex,6),0)</f>
        <v>0.00283457321560646</v>
      </c>
      <c r="E59" s="576" t="n">
        <v>173.981046315201</v>
      </c>
      <c r="F59" s="577" t="n">
        <f aca="false">IF(VLOOKUP(A59,[1]!CPIndex,2)=0,(F58*EXP(IF(driftswitch=1,D59,$C$4)-1/2*$D$4^2+$D$4*B59)),VLOOKUP(A59,[1]!CPIndex,2))</f>
        <v>174.384291193387</v>
      </c>
      <c r="G59" s="585" t="n">
        <f aca="false">IF(shiftswitch4=1,(F59-F58)/F58,(E59-E58)/E58)</f>
        <v>0.00287013219946567</v>
      </c>
      <c r="H59" s="578" t="n">
        <f aca="false">G59+1</f>
        <v>1.00287013219947</v>
      </c>
      <c r="I59" s="0" t="n">
        <v>171.591360892188</v>
      </c>
    </row>
    <row r="60" customFormat="false" ht="12.75" hidden="false" customHeight="false" outlineLevel="0" collapsed="false">
      <c r="A60" s="575" t="n">
        <v>36892</v>
      </c>
      <c r="B60" s="190" t="n">
        <v>0.0204262110410766</v>
      </c>
      <c r="C60" s="576" t="n">
        <v>0.00283994280440522</v>
      </c>
      <c r="D60" s="577" t="n">
        <f aca="false">IF(VLOOKUP(A60,[1]!CPIndex,2)=0,VLOOKUP(A60,[1]!CPIndex,6),0)</f>
        <v>0.00281040578346851</v>
      </c>
      <c r="E60" s="576" t="n">
        <v>174.475711446627</v>
      </c>
      <c r="F60" s="577" t="n">
        <f aca="false">IF(VLOOKUP(A60,[1]!CPIndex,2)=0,(F59*EXP(IF(driftswitch=1,D60,$C$4)-1/2*$D$4^2+$D$4*B60)),VLOOKUP(A60,[1]!CPIndex,2))</f>
        <v>174.879353942665</v>
      </c>
      <c r="G60" s="585" t="n">
        <f aca="false">IF(shiftswitch4=1,(F60-F59)/F59,(E60-E59)/E59)</f>
        <v>0.00284321276313416</v>
      </c>
      <c r="H60" s="578" t="n">
        <f aca="false">G60+1</f>
        <v>1.00284321276313</v>
      </c>
    </row>
    <row r="61" customFormat="false" ht="12.75" hidden="false" customHeight="false" outlineLevel="0" collapsed="false">
      <c r="A61" s="575" t="n">
        <v>36923</v>
      </c>
      <c r="B61" s="190" t="n">
        <v>-0.0188620553815624</v>
      </c>
      <c r="C61" s="576" t="n">
        <v>0.00281309139984451</v>
      </c>
      <c r="D61" s="577" t="n">
        <f aca="false">IF(VLOOKUP(A61,[1]!CPIndex,2)=0,VLOOKUP(A61,[1]!CPIndex,6),0)</f>
        <v>0.00278623134051978</v>
      </c>
      <c r="E61" s="576" t="n">
        <v>174.967084841213</v>
      </c>
      <c r="F61" s="577" t="n">
        <f aca="false">IF(VLOOKUP(A61,[1]!CPIndex,2)=0,(F60*EXP(IF(driftswitch=1,D61,$C$4)-1/2*$D$4^2+$D$4*B61)),VLOOKUP(A61,[1]!CPIndex,2))</f>
        <v>175.363064021808</v>
      </c>
      <c r="G61" s="585" t="n">
        <f aca="false">IF(shiftswitch4=1,(F61-F60)/F60,(E61-E60)/E60)</f>
        <v>0.00281628537583805</v>
      </c>
      <c r="H61" s="578" t="n">
        <f aca="false">G61+1</f>
        <v>1.00281628537584</v>
      </c>
    </row>
    <row r="62" customFormat="false" ht="12.75" hidden="false" customHeight="false" outlineLevel="0" collapsed="false">
      <c r="A62" s="575" t="n">
        <v>36951</v>
      </c>
      <c r="B62" s="190" t="n">
        <v>-0.0130662561200736</v>
      </c>
      <c r="C62" s="576" t="n">
        <v>0.00278623134051978</v>
      </c>
      <c r="D62" s="577" t="n">
        <f aca="false">IF(VLOOKUP(A62,[1]!CPIndex,2)=0,VLOOKUP(A62,[1]!CPIndex,6),0)</f>
        <v>0.00276204988269178</v>
      </c>
      <c r="E62" s="576" t="n">
        <v>175.455129285031</v>
      </c>
      <c r="F62" s="577" t="n">
        <f aca="false">IF(VLOOKUP(A62,[1]!CPIndex,2)=0,(F61*EXP(IF(driftswitch=1,D62,$C$4)-1/2*$D$4^2+$D$4*B62)),VLOOKUP(A62,[1]!CPIndex,2))</f>
        <v>175.845119888275</v>
      </c>
      <c r="G62" s="585" t="n">
        <f aca="false">IF(shiftswitch4=1,(F62-F61)/F61,(E62-E61)/E61)</f>
        <v>0.00278935003266496</v>
      </c>
      <c r="H62" s="578" t="n">
        <f aca="false">G62+1</f>
        <v>1.00278935003267</v>
      </c>
    </row>
    <row r="63" customFormat="false" ht="12.75" hidden="false" customHeight="false" outlineLevel="0" collapsed="false">
      <c r="A63" s="575" t="n">
        <v>36982</v>
      </c>
      <c r="B63" s="190" t="n">
        <v>-0.0448153426946602</v>
      </c>
      <c r="C63" s="576" t="n">
        <v>0.00275936262085023</v>
      </c>
      <c r="D63" s="577" t="n">
        <f aca="false">IF(VLOOKUP(A63,[1]!CPIndex,2)=0,VLOOKUP(A63,[1]!CPIndex,6),0)</f>
        <v>0.00273786140591221</v>
      </c>
      <c r="E63" s="576" t="n">
        <v>175.939807714752</v>
      </c>
      <c r="F63" s="577" t="n">
        <f aca="false">IF(VLOOKUP(A63,[1]!CPIndex,2)=0,(F62*EXP(IF(driftswitch=1,D63,$C$4)-1/2*$D$4^2+$D$4*B63)),VLOOKUP(A63,[1]!CPIndex,2))</f>
        <v>176.317314492875</v>
      </c>
      <c r="G63" s="585" t="n">
        <f aca="false">IF(shiftswitch4=1,(F63-F62)/F62,(E63-E62)/E62)</f>
        <v>0.00276240672869902</v>
      </c>
      <c r="H63" s="578" t="n">
        <f aca="false">G63+1</f>
        <v>1.0027624067287</v>
      </c>
    </row>
    <row r="64" customFormat="false" ht="12.75" hidden="false" customHeight="false" outlineLevel="0" collapsed="false">
      <c r="A64" s="575" t="n">
        <v>37012</v>
      </c>
      <c r="B64" s="190" t="n">
        <v>0.00827120502596695</v>
      </c>
      <c r="C64" s="576" t="n">
        <v>0.0027324852352492</v>
      </c>
      <c r="D64" s="577" t="n">
        <f aca="false">IF(VLOOKUP(A64,[1]!CPIndex,2)=0,VLOOKUP(A64,[1]!CPIndex,6),0)</f>
        <v>0.00271366590610514</v>
      </c>
      <c r="E64" s="576" t="n">
        <v>176.421083222224</v>
      </c>
      <c r="F64" s="577" t="n">
        <f aca="false">IF(VLOOKUP(A64,[1]!CPIndex,2)=0,(F63*EXP(IF(driftswitch=1,D64,$C$4)-1/2*$D$4^2+$D$4*B64)),VLOOKUP(A64,[1]!CPIndex,2))</f>
        <v>176.798103434103</v>
      </c>
      <c r="G64" s="585" t="n">
        <f aca="false">IF(shiftswitch4=1,(F64-F63)/F63,(E64-E63)/E63)</f>
        <v>0.0027354554590187</v>
      </c>
      <c r="H64" s="578" t="n">
        <f aca="false">G64+1</f>
        <v>1.00273545545902</v>
      </c>
    </row>
    <row r="65" customFormat="false" ht="12.75" hidden="false" customHeight="false" outlineLevel="0" collapsed="false">
      <c r="A65" s="575" t="n">
        <v>37043</v>
      </c>
      <c r="B65" s="190" t="n">
        <v>-0.00223382519902694</v>
      </c>
      <c r="C65" s="576" t="n">
        <v>0.00270559917812501</v>
      </c>
      <c r="D65" s="577" t="n">
        <f aca="false">IF(VLOOKUP(A65,[1]!CPIndex,2)=0,VLOOKUP(A65,[1]!CPIndex,6),0)</f>
        <v>0.00268946337919123</v>
      </c>
      <c r="E65" s="576" t="n">
        <v>176.89891905903</v>
      </c>
      <c r="F65" s="577" t="n">
        <f aca="false">IF(VLOOKUP(A65,[1]!CPIndex,2)=0,(F64*EXP(IF(driftswitch=1,D65,$C$4)-1/2*$D$4^2+$D$4*B65)),VLOOKUP(A65,[1]!CPIndex,2))</f>
        <v>177.2736103389</v>
      </c>
      <c r="G65" s="585" t="n">
        <f aca="false">IF(shiftswitch4=1,(F65-F64)/F64,(E65-E64)/E64)</f>
        <v>0.00270849621869821</v>
      </c>
      <c r="H65" s="578" t="n">
        <f aca="false">G65+1</f>
        <v>1.0027084962187</v>
      </c>
    </row>
    <row r="66" customFormat="false" ht="12.75" hidden="false" customHeight="false" outlineLevel="0" collapsed="false">
      <c r="A66" s="575" t="n">
        <v>37073</v>
      </c>
      <c r="B66" s="190" t="n">
        <v>-0.00260549482936181</v>
      </c>
      <c r="C66" s="576" t="n">
        <v>0.00267870444388055</v>
      </c>
      <c r="D66" s="577" t="n">
        <f aca="false">IF(VLOOKUP(A66,[1]!CPIndex,2)=0,VLOOKUP(A66,[1]!CPIndex,6),0)</f>
        <v>0.00266525382108755</v>
      </c>
      <c r="E66" s="576" t="n">
        <v>177.373278641052</v>
      </c>
      <c r="F66" s="577" t="n">
        <f aca="false">IF(VLOOKUP(A66,[1]!CPIndex,2)=0,(F65*EXP(IF(driftswitch=1,D66,$C$4)-1/2*$D$4^2+$D$4*B66)),VLOOKUP(A66,[1]!CPIndex,2))</f>
        <v>177.746011256515</v>
      </c>
      <c r="G66" s="585" t="n">
        <f aca="false">IF(shiftswitch4=1,(F66-F65)/F65,(E66-E65)/E65)</f>
        <v>0.00268152900280751</v>
      </c>
      <c r="H66" s="578" t="n">
        <f aca="false">G66+1</f>
        <v>1.00268152900281</v>
      </c>
    </row>
    <row r="67" customFormat="false" ht="12.75" hidden="false" customHeight="false" outlineLevel="0" collapsed="false">
      <c r="A67" s="575" t="n">
        <v>37104</v>
      </c>
      <c r="B67" s="190" t="n">
        <v>-0.0185801900916902</v>
      </c>
      <c r="C67" s="576" t="n">
        <v>0.00265180102691304</v>
      </c>
      <c r="D67" s="577" t="n">
        <f aca="false">IF(VLOOKUP(A67,[1]!CPIndex,2)=0,VLOOKUP(A67,[1]!CPIndex,6),0)</f>
        <v>0.00264103722770752</v>
      </c>
      <c r="E67" s="576" t="n">
        <v>177.844125553025</v>
      </c>
      <c r="F67" s="577" t="n">
        <f aca="false">IF(VLOOKUP(A67,[1]!CPIndex,2)=0,(F66*EXP(IF(driftswitch=1,D67,$C$4)-1/2*$D$4^2+$D$4*B67)),VLOOKUP(A67,[1]!CPIndex,2))</f>
        <v>178.211835334876</v>
      </c>
      <c r="G67" s="585" t="n">
        <f aca="false">IF(shiftswitch4=1,(F67-F66)/F66,(E67-E66)/E66)</f>
        <v>0.00265455380641107</v>
      </c>
      <c r="H67" s="578" t="n">
        <f aca="false">G67+1</f>
        <v>1.00265455380641</v>
      </c>
    </row>
    <row r="68" customFormat="false" ht="12.75" hidden="false" customHeight="false" outlineLevel="0" collapsed="false">
      <c r="A68" s="575" t="n">
        <v>37135</v>
      </c>
      <c r="B68" s="190" t="n">
        <v>-0.0458771340655278</v>
      </c>
      <c r="C68" s="576" t="n">
        <v>0.00262488892161428</v>
      </c>
      <c r="D68" s="577" t="n">
        <f aca="false">IF(VLOOKUP(A68,[1]!CPIndex,2)=0,VLOOKUP(A68,[1]!CPIndex,6),0)</f>
        <v>0.00261681359496096</v>
      </c>
      <c r="E68" s="576" t="n">
        <v>178.31142355308</v>
      </c>
      <c r="F68" s="577" t="n">
        <f aca="false">IF(VLOOKUP(A68,[1]!CPIndex,2)=0,(F67*EXP(IF(driftswitch=1,D68,$C$4)-1/2*$D$4^2+$D$4*B68)),VLOOKUP(A68,[1]!CPIndex,2))</f>
        <v>178.668521925282</v>
      </c>
      <c r="G68" s="585" t="n">
        <f aca="false">IF(shiftswitch4=1,(F68-F67)/F67,(E68-E67)/E67)</f>
        <v>0.00262757062456959</v>
      </c>
      <c r="H68" s="578" t="n">
        <f aca="false">G68+1</f>
        <v>1.00262757062457</v>
      </c>
    </row>
    <row r="69" customFormat="false" ht="12.75" hidden="false" customHeight="false" outlineLevel="0" collapsed="false">
      <c r="A69" s="575" t="n">
        <v>37165</v>
      </c>
      <c r="B69" s="190" t="n">
        <v>0.00998846486064192</v>
      </c>
      <c r="C69" s="576" t="n">
        <v>0.00259796812237081</v>
      </c>
      <c r="D69" s="577" t="n">
        <f aca="false">IF(VLOOKUP(A69,[1]!CPIndex,2)=0,VLOOKUP(A69,[1]!CPIndex,6),0)</f>
        <v>0.00259258291875429</v>
      </c>
      <c r="E69" s="576" t="n">
        <v>178.775136577289</v>
      </c>
      <c r="F69" s="577" t="n">
        <f aca="false">IF(VLOOKUP(A69,[1]!CPIndex,2)=0,(F68*EXP(IF(driftswitch=1,D69,$C$4)-1/2*$D$4^2+$D$4*B69)),VLOOKUP(A69,[1]!CPIndex,2))</f>
        <v>179.134411171169</v>
      </c>
      <c r="G69" s="585" t="n">
        <f aca="false">IF(shiftswitch4=1,(F69-F68)/F68,(E69-E68)/E68)</f>
        <v>0.00260057945233851</v>
      </c>
      <c r="H69" s="578" t="n">
        <f aca="false">G69+1</f>
        <v>1.00260057945234</v>
      </c>
    </row>
    <row r="70" customFormat="false" ht="12.75" hidden="false" customHeight="false" outlineLevel="0" collapsed="false">
      <c r="A70" s="575" t="n">
        <v>37196</v>
      </c>
      <c r="B70" s="190" t="n">
        <v>0.021763755055024</v>
      </c>
      <c r="C70" s="576" t="n">
        <v>0.00257103862356377</v>
      </c>
      <c r="D70" s="577" t="n">
        <f aca="false">IF(VLOOKUP(A70,[1]!CPIndex,2)=0,VLOOKUP(A70,[1]!CPIndex,6),0)</f>
        <v>0.00256834519499051</v>
      </c>
      <c r="E70" s="576" t="n">
        <v>179.235228744192</v>
      </c>
      <c r="F70" s="577" t="n">
        <f aca="false">IF(VLOOKUP(A70,[1]!CPIndex,2)=0,(F69*EXP(IF(driftswitch=1,D70,$C$4)-1/2*$D$4^2+$D$4*B70)),VLOOKUP(A70,[1]!CPIndex,2))</f>
        <v>179.599776912629</v>
      </c>
      <c r="G70" s="585" t="n">
        <f aca="false">IF(shiftswitch4=1,(F70-F69)/F69,(E70-E69)/E69)</f>
        <v>0.00257358028476886</v>
      </c>
      <c r="H70" s="578" t="n">
        <f aca="false">G70+1</f>
        <v>1.00257358028477</v>
      </c>
    </row>
    <row r="71" customFormat="false" ht="12.75" hidden="false" customHeight="false" outlineLevel="0" collapsed="false">
      <c r="A71" s="575" t="n">
        <v>37226</v>
      </c>
      <c r="B71" s="190" t="n">
        <v>-0.027606189606493</v>
      </c>
      <c r="C71" s="576" t="n">
        <v>0.00254410041956859</v>
      </c>
      <c r="D71" s="577" t="n">
        <f aca="false">IF(VLOOKUP(A71,[1]!CPIndex,2)=0,VLOOKUP(A71,[1]!CPIndex,6),0)</f>
        <v>0.00254410041956859</v>
      </c>
      <c r="E71" s="576" t="n">
        <v>179.691664359314</v>
      </c>
      <c r="F71" s="577" t="n">
        <f aca="false">IF(VLOOKUP(A71,[1]!CPIndex,2)=0,(F70*EXP(IF(driftswitch=1,D71,$C$4)-1/2*$D$4^2+$D$4*B71)),VLOOKUP(A71,[1]!CPIndex,2))</f>
        <v>180.050995285992</v>
      </c>
      <c r="G71" s="585" t="n">
        <f aca="false">IF(shiftswitch4=1,(F71-F70)/F70,(E71-E70)/E70)</f>
        <v>0.00254657311690673</v>
      </c>
      <c r="H71" s="578" t="n">
        <f aca="false">G71+1</f>
        <v>1.00254657311691</v>
      </c>
    </row>
    <row r="72" customFormat="false" ht="12.75" hidden="false" customHeight="false" outlineLevel="0" collapsed="false">
      <c r="A72" s="575" t="n">
        <v>37257</v>
      </c>
      <c r="B72" s="190" t="n">
        <v>0.0210191892655655</v>
      </c>
      <c r="C72" s="576" t="n">
        <v>0.0025373645077245</v>
      </c>
      <c r="D72" s="577" t="n">
        <f aca="false">IF(VLOOKUP(A72,[1]!CPIndex,2)=0,VLOOKUP(A72,[1]!CPIndex,6),0)</f>
        <v>0.0025373645077245</v>
      </c>
      <c r="E72" s="576" t="n">
        <v>180.148048855641</v>
      </c>
      <c r="F72" s="577" t="n">
        <f aca="false">IF(VLOOKUP(A72,[1]!CPIndex,2)=0,(F71*EXP(IF(driftswitch=1,D72,$C$4)-1/2*$D$4^2+$D$4*B72)),VLOOKUP(A72,[1]!CPIndex,2))</f>
        <v>180.51298349956</v>
      </c>
      <c r="G72" s="585" t="n">
        <f aca="false">IF(shiftswitch4=1,(F72-F71)/F71,(E72-E71)/E71)</f>
        <v>0.00253982007431478</v>
      </c>
      <c r="H72" s="578" t="n">
        <f aca="false">G72+1</f>
        <v>1.00253982007431</v>
      </c>
    </row>
    <row r="73" customFormat="false" ht="12.75" hidden="false" customHeight="false" outlineLevel="0" collapsed="false">
      <c r="A73" s="575" t="n">
        <v>37288</v>
      </c>
      <c r="B73" s="190" t="n">
        <v>0.0404554611450007</v>
      </c>
      <c r="C73" s="576" t="n">
        <v>0.00253062805136639</v>
      </c>
      <c r="D73" s="577" t="n">
        <f aca="false">IF(VLOOKUP(A73,[1]!CPIndex,2)=0,VLOOKUP(A73,[1]!CPIndex,6),0)</f>
        <v>0.00253062805136639</v>
      </c>
      <c r="E73" s="576" t="n">
        <v>180.604375848879</v>
      </c>
      <c r="F73" s="577" t="n">
        <f aca="false">IF(VLOOKUP(A73,[1]!CPIndex,2)=0,(F72*EXP(IF(driftswitch=1,D73,$C$4)-1/2*$D$4^2+$D$4*B73)),VLOOKUP(A73,[1]!CPIndex,2))</f>
        <v>180.979286997073</v>
      </c>
      <c r="G73" s="585" t="n">
        <f aca="false">IF(shiftswitch4=1,(F73-F72)/F72,(E73-E72)/E72)</f>
        <v>0.00253306653131705</v>
      </c>
      <c r="H73" s="578" t="n">
        <f aca="false">G73+1</f>
        <v>1.00253306653132</v>
      </c>
    </row>
    <row r="74" customFormat="false" ht="12.75" hidden="false" customHeight="false" outlineLevel="0" collapsed="false">
      <c r="A74" s="575" t="n">
        <v>37316</v>
      </c>
      <c r="B74" s="190" t="n">
        <v>0.0162536936351973</v>
      </c>
      <c r="C74" s="576" t="n">
        <v>0.00252389105040606</v>
      </c>
      <c r="D74" s="577" t="n">
        <f aca="false">IF(VLOOKUP(A74,[1]!CPIndex,2)=0,VLOOKUP(A74,[1]!CPIndex,6),0)</f>
        <v>0.00252389105040606</v>
      </c>
      <c r="E74" s="576" t="n">
        <v>181.060638938944</v>
      </c>
      <c r="F74" s="577" t="n">
        <f aca="false">IF(VLOOKUP(A74,[1]!CPIndex,2)=0,(F73*EXP(IF(driftswitch=1,D74,$C$4)-1/2*$D$4^2+$D$4*B74)),VLOOKUP(A74,[1]!CPIndex,2))</f>
        <v>181.440143386204</v>
      </c>
      <c r="G74" s="585" t="n">
        <f aca="false">IF(shiftswitch4=1,(F74-F73)/F73,(E74-E73)/E73)</f>
        <v>0.00252631248783601</v>
      </c>
      <c r="H74" s="578" t="n">
        <f aca="false">G74+1</f>
        <v>1.00252631248784</v>
      </c>
    </row>
    <row r="75" customFormat="false" ht="12.75" hidden="false" customHeight="false" outlineLevel="0" collapsed="false">
      <c r="A75" s="575" t="n">
        <v>37347</v>
      </c>
      <c r="B75" s="190" t="n">
        <v>0.0204231949196574</v>
      </c>
      <c r="C75" s="576" t="n">
        <v>0.0025171535047555</v>
      </c>
      <c r="D75" s="577" t="n">
        <f aca="false">IF(VLOOKUP(A75,[1]!CPIndex,2)=0,VLOOKUP(A75,[1]!CPIndex,6),0)</f>
        <v>0.0025171535047555</v>
      </c>
      <c r="E75" s="576" t="n">
        <v>181.516831710091</v>
      </c>
      <c r="F75" s="577" t="n">
        <f aca="false">IF(VLOOKUP(A75,[1]!CPIndex,2)=0,(F74*EXP(IF(driftswitch=1,D75,$C$4)-1/2*$D$4^2+$D$4*B75)),VLOOKUP(A75,[1]!CPIndex,2))</f>
        <v>181.901885479932</v>
      </c>
      <c r="G75" s="585" t="n">
        <f aca="false">IF(shiftswitch4=1,(F75-F74)/F74,(E75-E74)/E74)</f>
        <v>0.00251955794379437</v>
      </c>
      <c r="H75" s="578" t="n">
        <f aca="false">G75+1</f>
        <v>1.00251955794379</v>
      </c>
    </row>
    <row r="76" customFormat="false" ht="12.75" hidden="false" customHeight="false" outlineLevel="0" collapsed="false">
      <c r="A76" s="575" t="n">
        <v>37377</v>
      </c>
      <c r="B76" s="190" t="n">
        <v>-0.0211866736358102</v>
      </c>
      <c r="C76" s="576" t="n">
        <v>0.0025104154143267</v>
      </c>
      <c r="D76" s="577" t="n">
        <f aca="false">IF(VLOOKUP(A76,[1]!CPIndex,2)=0,VLOOKUP(A76,[1]!CPIndex,6),0)</f>
        <v>0.0025104154143267</v>
      </c>
      <c r="E76" s="576" t="n">
        <v>181.97294773105</v>
      </c>
      <c r="F76" s="577" t="n">
        <f aca="false">IF(VLOOKUP(A76,[1]!CPIndex,2)=0,(F75*EXP(IF(driftswitch=1,D76,$C$4)-1/2*$D$4^2+$D$4*B76)),VLOOKUP(A76,[1]!CPIndex,2))</f>
        <v>182.354192250159</v>
      </c>
      <c r="G76" s="585" t="n">
        <f aca="false">IF(shiftswitch4=1,(F76-F75)/F75,(E76-E75)/E75)</f>
        <v>0.00251280289911437</v>
      </c>
      <c r="H76" s="578" t="n">
        <f aca="false">G76+1</f>
        <v>1.00251280289911</v>
      </c>
    </row>
    <row r="77" customFormat="false" ht="12.75" hidden="false" customHeight="false" outlineLevel="0" collapsed="false">
      <c r="A77" s="575" t="n">
        <v>37408</v>
      </c>
      <c r="B77" s="190" t="n">
        <v>-0.0106137563274283</v>
      </c>
      <c r="C77" s="576" t="n">
        <v>0.00250367677903144</v>
      </c>
      <c r="D77" s="577" t="n">
        <f aca="false">IF(VLOOKUP(A77,[1]!CPIndex,2)=0,VLOOKUP(A77,[1]!CPIndex,6),0)</f>
        <v>0.00250367677903144</v>
      </c>
      <c r="E77" s="576" t="n">
        <v>182.42898055516</v>
      </c>
      <c r="F77" s="577" t="n">
        <f aca="false">IF(VLOOKUP(A77,[1]!CPIndex,2)=0,(F76*EXP(IF(driftswitch=1,D77,$C$4)-1/2*$D$4^2+$D$4*B77)),VLOOKUP(A77,[1]!CPIndex,2))</f>
        <v>182.808781529921</v>
      </c>
      <c r="G77" s="585" t="n">
        <f aca="false">IF(shiftswitch4=1,(F77-F76)/F76,(E77-E76)/E76)</f>
        <v>0.00250604735371843</v>
      </c>
      <c r="H77" s="578" t="n">
        <f aca="false">G77+1</f>
        <v>1.00250604735372</v>
      </c>
    </row>
    <row r="78" customFormat="false" ht="12.75" hidden="false" customHeight="false" outlineLevel="0" collapsed="false">
      <c r="A78" s="575" t="n">
        <v>37438</v>
      </c>
      <c r="B78" s="190" t="n">
        <v>0.0536933747491173</v>
      </c>
      <c r="C78" s="576" t="n">
        <v>0.0024969375987817</v>
      </c>
      <c r="D78" s="577" t="n">
        <f aca="false">IF(VLOOKUP(A78,[1]!CPIndex,2)=0,VLOOKUP(A78,[1]!CPIndex,6),0)</f>
        <v>0.0024969375987817</v>
      </c>
      <c r="E78" s="576" t="n">
        <v>182.884923720503</v>
      </c>
      <c r="F78" s="577" t="n">
        <f aca="false">IF(VLOOKUP(A78,[1]!CPIndex,2)=0,(F77*EXP(IF(driftswitch=1,D78,$C$4)-1/2*$D$4^2+$D$4*B78)),VLOOKUP(A78,[1]!CPIndex,2))</f>
        <v>183.277840562618</v>
      </c>
      <c r="G78" s="585" t="n">
        <f aca="false">IF(shiftswitch4=1,(F78-F77)/F77,(E78-E77)/E77)</f>
        <v>0.00249929130752899</v>
      </c>
      <c r="H78" s="578" t="n">
        <f aca="false">G78+1</f>
        <v>1.00249929130753</v>
      </c>
    </row>
    <row r="79" customFormat="false" ht="12.75" hidden="false" customHeight="false" outlineLevel="0" collapsed="false">
      <c r="A79" s="575" t="n">
        <v>37469</v>
      </c>
      <c r="B79" s="190" t="n">
        <v>0.0483281287043416</v>
      </c>
      <c r="C79" s="576" t="n">
        <v>0.00249019787348905</v>
      </c>
      <c r="D79" s="577" t="n">
        <f aca="false">IF(VLOOKUP(A79,[1]!CPIndex,2)=0,VLOOKUP(A79,[1]!CPIndex,6),0)</f>
        <v>0.00249019787348905</v>
      </c>
      <c r="E79" s="576" t="n">
        <v>183.340770750042</v>
      </c>
      <c r="F79" s="577" t="n">
        <f aca="false">IF(VLOOKUP(A79,[1]!CPIndex,2)=0,(F78*EXP(IF(driftswitch=1,D79,$C$4)-1/2*$D$4^2+$D$4*B79)),VLOOKUP(A79,[1]!CPIndex,2))</f>
        <v>183.74564583671</v>
      </c>
      <c r="G79" s="585" t="n">
        <f aca="false">IF(shiftswitch4=1,(F79-F78)/F78,(E79-E78)/E78)</f>
        <v>0.00249253476046813</v>
      </c>
      <c r="H79" s="578" t="n">
        <f aca="false">G79+1</f>
        <v>1.00249253476047</v>
      </c>
    </row>
    <row r="80" customFormat="false" ht="12.75" hidden="false" customHeight="false" outlineLevel="0" collapsed="false">
      <c r="A80" s="575" t="n">
        <v>37500</v>
      </c>
      <c r="B80" s="190" t="n">
        <v>0.0364577895681907</v>
      </c>
      <c r="C80" s="576" t="n">
        <v>0.00248345760306589</v>
      </c>
      <c r="D80" s="577" t="n">
        <f aca="false">IF(VLOOKUP(A80,[1]!CPIndex,2)=0,VLOOKUP(A80,[1]!CPIndex,6),0)</f>
        <v>0.00248345760306589</v>
      </c>
      <c r="E80" s="576" t="n">
        <v>183.796515151757</v>
      </c>
      <c r="F80" s="577" t="n">
        <f aca="false">IF(VLOOKUP(A80,[1]!CPIndex,2)=0,(F79*EXP(IF(driftswitch=1,D80,$C$4)-1/2*$D$4^2+$D$4*B80)),VLOOKUP(A80,[1]!CPIndex,2))</f>
        <v>184.210699946301</v>
      </c>
      <c r="G80" s="585" t="n">
        <f aca="false">IF(shiftswitch4=1,(F80-F79)/F79,(E80-E79)/E79)</f>
        <v>0.00248577771245875</v>
      </c>
      <c r="H80" s="578" t="n">
        <f aca="false">G80+1</f>
        <v>1.00248577771246</v>
      </c>
    </row>
    <row r="81" customFormat="false" ht="12.75" hidden="false" customHeight="false" outlineLevel="0" collapsed="false">
      <c r="A81" s="575" t="n">
        <v>37530</v>
      </c>
      <c r="B81" s="190" t="n">
        <v>-0.0300125213841648</v>
      </c>
      <c r="C81" s="576" t="n">
        <v>0.00247671678742355</v>
      </c>
      <c r="D81" s="577" t="n">
        <f aca="false">IF(VLOOKUP(A81,[1]!CPIndex,2)=0,VLOOKUP(A81,[1]!CPIndex,6),0)</f>
        <v>0.00247671678742355</v>
      </c>
      <c r="E81" s="576" t="n">
        <v>184.252150418786</v>
      </c>
      <c r="F81" s="577" t="n">
        <f aca="false">IF(VLOOKUP(A81,[1]!CPIndex,2)=0,(F80*EXP(IF(driftswitch=1,D81,$C$4)-1/2*$D$4^2+$D$4*B81)),VLOOKUP(A81,[1]!CPIndex,2))</f>
        <v>184.660509647871</v>
      </c>
      <c r="G81" s="585" t="n">
        <f aca="false">IF(shiftswitch4=1,(F81-F80)/F80,(E81-E80)/E80)</f>
        <v>0.00247902016342276</v>
      </c>
      <c r="H81" s="578" t="n">
        <f aca="false">G81+1</f>
        <v>1.00247902016342</v>
      </c>
    </row>
    <row r="82" customFormat="false" ht="12.75" hidden="false" customHeight="false" outlineLevel="0" collapsed="false">
      <c r="A82" s="575" t="n">
        <v>37561</v>
      </c>
      <c r="B82" s="190" t="n">
        <v>-0.0313205881210981</v>
      </c>
      <c r="C82" s="576" t="n">
        <v>0.00246997542647378</v>
      </c>
      <c r="D82" s="577" t="n">
        <f aca="false">IF(VLOOKUP(A82,[1]!CPIndex,2)=0,VLOOKUP(A82,[1]!CPIndex,6),0)</f>
        <v>0.00246997542647378</v>
      </c>
      <c r="E82" s="576" t="n">
        <v>184.707670029557</v>
      </c>
      <c r="F82" s="577" t="n">
        <f aca="false">IF(VLOOKUP(A82,[1]!CPIndex,2)=0,(F81*EXP(IF(driftswitch=1,D82,$C$4)-1/2*$D$4^2+$D$4*B82)),VLOOKUP(A82,[1]!CPIndex,2))</f>
        <v>185.10987043193</v>
      </c>
      <c r="G82" s="585" t="n">
        <f aca="false">IF(shiftswitch4=1,(F82-F81)/F81,(E82-E81)/E81)</f>
        <v>0.00247226211328273</v>
      </c>
      <c r="H82" s="578" t="n">
        <f aca="false">G82+1</f>
        <v>1.00247226211328</v>
      </c>
    </row>
    <row r="83" customFormat="false" ht="12.75" hidden="false" customHeight="false" outlineLevel="0" collapsed="false">
      <c r="A83" s="575" t="n">
        <v>37591</v>
      </c>
      <c r="B83" s="190" t="n">
        <v>0.0213793989067867</v>
      </c>
      <c r="C83" s="576" t="n">
        <v>0.00246323352012879</v>
      </c>
      <c r="D83" s="577" t="n">
        <f aca="false">IF(VLOOKUP(A83,[1]!CPIndex,2)=0,VLOOKUP(A83,[1]!CPIndex,6),0)</f>
        <v>0.00246323352012879</v>
      </c>
      <c r="E83" s="576" t="n">
        <v>185.163067447936</v>
      </c>
      <c r="F83" s="577" t="n">
        <f aca="false">IF(VLOOKUP(A83,[1]!CPIndex,2)=0,(F82*EXP(IF(driftswitch=1,D83,$C$4)-1/2*$D$4^2+$D$4*B83)),VLOOKUP(A83,[1]!CPIndex,2))</f>
        <v>185.57116465115</v>
      </c>
      <c r="G83" s="585" t="n">
        <f aca="false">IF(shiftswitch4=1,(F83-F82)/F82,(E83-E82)/E82)</f>
        <v>0.00246550356196101</v>
      </c>
      <c r="H83" s="578" t="n">
        <f aca="false">G83+1</f>
        <v>1.00246550356196</v>
      </c>
    </row>
    <row r="84" customFormat="false" ht="12.75" hidden="false" customHeight="false" outlineLevel="0" collapsed="false">
      <c r="A84" s="575" t="n">
        <v>37622</v>
      </c>
      <c r="B84" s="190" t="n">
        <v>0.0133876027193907</v>
      </c>
      <c r="C84" s="576" t="n">
        <v>0.00245649106829987</v>
      </c>
      <c r="D84" s="577" t="n">
        <f aca="false">IF(VLOOKUP(A84,[1]!CPIndex,2)=0,VLOOKUP(A84,[1]!CPIndex,6),0)</f>
        <v>0.00245649106829987</v>
      </c>
      <c r="E84" s="576" t="n">
        <v>185.618336123364</v>
      </c>
      <c r="F84" s="577" t="n">
        <f aca="false">IF(VLOOKUP(A84,[1]!CPIndex,2)=0,(F83*EXP(IF(driftswitch=1,D84,$C$4)-1/2*$D$4^2+$D$4*B84)),VLOOKUP(A84,[1]!CPIndex,2))</f>
        <v>186.03051593132</v>
      </c>
      <c r="G84" s="585" t="n">
        <f aca="false">IF(shiftswitch4=1,(F84-F83)/F83,(E84-E83)/E83)</f>
        <v>0.00245874450937933</v>
      </c>
      <c r="H84" s="578" t="n">
        <f aca="false">G84+1</f>
        <v>1.00245874450938</v>
      </c>
    </row>
    <row r="85" customFormat="false" ht="12.75" hidden="false" customHeight="false" outlineLevel="0" collapsed="false">
      <c r="A85" s="575" t="n">
        <v>37653</v>
      </c>
      <c r="B85" s="190" t="n">
        <v>0.0387993192614589</v>
      </c>
      <c r="C85" s="576" t="n">
        <v>0.002449748070899</v>
      </c>
      <c r="D85" s="577" t="n">
        <f aca="false">IF(VLOOKUP(A85,[1]!CPIndex,2)=0,VLOOKUP(A85,[1]!CPIndex,6),0)</f>
        <v>0.002449748070899</v>
      </c>
      <c r="E85" s="576" t="n">
        <v>186.073469490996</v>
      </c>
      <c r="F85" s="577" t="n">
        <f aca="false">IF(VLOOKUP(A85,[1]!CPIndex,2)=0,(F84*EXP(IF(driftswitch=1,D85,$C$4)-1/2*$D$4^2+$D$4*B85)),VLOOKUP(A85,[1]!CPIndex,2))</f>
        <v>186.495606114215</v>
      </c>
      <c r="G85" s="585" t="n">
        <f aca="false">IF(shiftswitch4=1,(F85-F84)/F84,(E85-E84)/E84)</f>
        <v>0.00245198495546052</v>
      </c>
      <c r="H85" s="578" t="n">
        <f aca="false">G85+1</f>
        <v>1.00245198495546</v>
      </c>
    </row>
    <row r="86" customFormat="false" ht="12.75" hidden="false" customHeight="false" outlineLevel="0" collapsed="false">
      <c r="A86" s="575" t="n">
        <v>37681</v>
      </c>
      <c r="B86" s="190" t="n">
        <v>-0.00902733217893386</v>
      </c>
      <c r="C86" s="576" t="n">
        <v>0.0024430045278377</v>
      </c>
      <c r="D86" s="577" t="n">
        <f aca="false">IF(VLOOKUP(A86,[1]!CPIndex,2)=0,VLOOKUP(A86,[1]!CPIndex,6),0)</f>
        <v>0.0024430045278377</v>
      </c>
      <c r="E86" s="576" t="n">
        <v>186.528460971848</v>
      </c>
      <c r="F86" s="577" t="n">
        <f aca="false">IF(VLOOKUP(A86,[1]!CPIndex,2)=0,(F85*EXP(IF(driftswitch=1,D86,$C$4)-1/2*$D$4^2+$D$4*B86)),VLOOKUP(A86,[1]!CPIndex,2))</f>
        <v>186.949543208025</v>
      </c>
      <c r="G86" s="585" t="n">
        <f aca="false">IF(shiftswitch4=1,(F86-F85)/F85,(E86-E85)/E85)</f>
        <v>0.00244522490012629</v>
      </c>
      <c r="H86" s="578" t="n">
        <f aca="false">G86+1</f>
        <v>1.00244522490013</v>
      </c>
    </row>
    <row r="87" customFormat="false" ht="12.75" hidden="false" customHeight="false" outlineLevel="0" collapsed="false">
      <c r="A87" s="575" t="n">
        <v>37712</v>
      </c>
      <c r="B87" s="190" t="n">
        <v>-0.0101445095202921</v>
      </c>
      <c r="C87" s="576" t="n">
        <v>0.00243626043902793</v>
      </c>
      <c r="D87" s="577" t="n">
        <f aca="false">IF(VLOOKUP(A87,[1]!CPIndex,2)=0,VLOOKUP(A87,[1]!CPIndex,6),0)</f>
        <v>0.00243626043902793</v>
      </c>
      <c r="E87" s="576" t="n">
        <v>186.983303972938</v>
      </c>
      <c r="F87" s="577" t="n">
        <f aca="false">IF(VLOOKUP(A87,[1]!CPIndex,2)=0,(F86*EXP(IF(driftswitch=1,D87,$C$4)-1/2*$D$4^2+$D$4*B87)),VLOOKUP(A87,[1]!CPIndex,2))</f>
        <v>187.40306247928</v>
      </c>
      <c r="G87" s="585" t="n">
        <f aca="false">IF(shiftswitch4=1,(F87-F86)/F86,(E87-E86)/E86)</f>
        <v>0.00243846434329949</v>
      </c>
      <c r="H87" s="578" t="n">
        <f aca="false">G87+1</f>
        <v>1.0024384643433</v>
      </c>
    </row>
    <row r="88" customFormat="false" ht="12.75" hidden="false" customHeight="false" outlineLevel="0" collapsed="false">
      <c r="A88" s="575" t="n">
        <v>37742</v>
      </c>
      <c r="B88" s="190" t="n">
        <v>0.0286997559345666</v>
      </c>
      <c r="C88" s="576" t="n">
        <v>0.00242951580438098</v>
      </c>
      <c r="D88" s="577" t="n">
        <f aca="false">IF(VLOOKUP(A88,[1]!CPIndex,2)=0,VLOOKUP(A88,[1]!CPIndex,6),0)</f>
        <v>0.00242951580438098</v>
      </c>
      <c r="E88" s="576" t="n">
        <v>187.437991887431</v>
      </c>
      <c r="F88" s="577" t="n">
        <f aca="false">IF(VLOOKUP(A88,[1]!CPIndex,2)=0,(F87*EXP(IF(driftswitch=1,D88,$C$4)-1/2*$D$4^2+$D$4*B88)),VLOOKUP(A88,[1]!CPIndex,2))</f>
        <v>187.865437218273</v>
      </c>
      <c r="G88" s="585" t="n">
        <f aca="false">IF(shiftswitch4=1,(F88-F87)/F87,(E88-E87)/E87)</f>
        <v>0.00243170328490192</v>
      </c>
      <c r="H88" s="578" t="n">
        <f aca="false">G88+1</f>
        <v>1.0024317032849</v>
      </c>
    </row>
    <row r="89" customFormat="false" ht="12.75" hidden="false" customHeight="false" outlineLevel="0" collapsed="false">
      <c r="A89" s="575" t="n">
        <v>37773</v>
      </c>
      <c r="B89" s="190" t="n">
        <v>-0.0131312490940912</v>
      </c>
      <c r="C89" s="576" t="n">
        <v>0.00242277062380882</v>
      </c>
      <c r="D89" s="577" t="n">
        <f aca="false">IF(VLOOKUP(A89,[1]!CPIndex,2)=0,VLOOKUP(A89,[1]!CPIndex,6),0)</f>
        <v>0.00242277062380882</v>
      </c>
      <c r="E89" s="576" t="n">
        <v>187.892518094782</v>
      </c>
      <c r="F89" s="577" t="n">
        <f aca="false">IF(VLOOKUP(A89,[1]!CPIndex,2)=0,(F88*EXP(IF(driftswitch=1,D89,$C$4)-1/2*$D$4^2+$D$4*B89)),VLOOKUP(A89,[1]!CPIndex,2))</f>
        <v>188.317942533071</v>
      </c>
      <c r="G89" s="585" t="n">
        <f aca="false">IF(shiftswitch4=1,(F89-F88)/F88,(E89-E88)/E88)</f>
        <v>0.00242494172485615</v>
      </c>
      <c r="H89" s="578" t="n">
        <f aca="false">G89+1</f>
        <v>1.00242494172486</v>
      </c>
    </row>
    <row r="90" customFormat="false" ht="12.75" hidden="false" customHeight="false" outlineLevel="0" collapsed="false">
      <c r="A90" s="575" t="n">
        <v>37803</v>
      </c>
      <c r="B90" s="190" t="n">
        <v>0.0262062678783913</v>
      </c>
      <c r="C90" s="576" t="n">
        <v>0.00241602489722296</v>
      </c>
      <c r="D90" s="577" t="n">
        <f aca="false">IF(VLOOKUP(A90,[1]!CPIndex,2)=0,VLOOKUP(A90,[1]!CPIndex,6),0)</f>
        <v>0.00241602489722296</v>
      </c>
      <c r="E90" s="576" t="n">
        <v>188.346875960885</v>
      </c>
      <c r="F90" s="577" t="n">
        <f aca="false">IF(VLOOKUP(A90,[1]!CPIndex,2)=0,(F89*EXP(IF(driftswitch=1,D90,$C$4)-1/2*$D$4^2+$D$4*B90)),VLOOKUP(A90,[1]!CPIndex,2))</f>
        <v>188.779445709195</v>
      </c>
      <c r="G90" s="585" t="n">
        <f aca="false">IF(shiftswitch4=1,(F90-F89)/F89,(E90-E89)/E89)</f>
        <v>0.00241817966308398</v>
      </c>
      <c r="H90" s="578" t="n">
        <f aca="false">G90+1</f>
        <v>1.00241817966308</v>
      </c>
    </row>
    <row r="91" customFormat="false" ht="12.75" hidden="false" customHeight="false" outlineLevel="0" collapsed="false">
      <c r="A91" s="575" t="n">
        <v>37834</v>
      </c>
      <c r="B91" s="190" t="n">
        <v>0.0145523187501427</v>
      </c>
      <c r="C91" s="576" t="n">
        <v>0.00240927862453489</v>
      </c>
      <c r="D91" s="577" t="n">
        <f aca="false">IF(VLOOKUP(A91,[1]!CPIndex,2)=0,VLOOKUP(A91,[1]!CPIndex,6),0)</f>
        <v>0.00240927862453489</v>
      </c>
      <c r="E91" s="576" t="n">
        <v>188.801058838216</v>
      </c>
      <c r="F91" s="577" t="n">
        <f aca="false">IF(VLOOKUP(A91,[1]!CPIndex,2)=0,(F90*EXP(IF(driftswitch=1,D91,$C$4)-1/2*$D$4^2+$D$4*B91)),VLOOKUP(A91,[1]!CPIndex,2))</f>
        <v>189.238076488005</v>
      </c>
      <c r="G91" s="585" t="n">
        <f aca="false">IF(shiftswitch4=1,(F91-F90)/F90,(E91-E90)/E90)</f>
        <v>0.00241141709950757</v>
      </c>
      <c r="H91" s="578" t="n">
        <f aca="false">G91+1</f>
        <v>1.00241141709951</v>
      </c>
    </row>
    <row r="92" customFormat="false" ht="12.75" hidden="false" customHeight="false" outlineLevel="0" collapsed="false">
      <c r="A92" s="575" t="n">
        <v>37865</v>
      </c>
      <c r="B92" s="190" t="n">
        <v>-0.0297828263209349</v>
      </c>
      <c r="C92" s="576" t="n">
        <v>0.00240253180565635</v>
      </c>
      <c r="D92" s="577" t="n">
        <f aca="false">IF(VLOOKUP(A92,[1]!CPIndex,2)=0,VLOOKUP(A92,[1]!CPIndex,6),0)</f>
        <v>0.00240253180565635</v>
      </c>
      <c r="E92" s="576" t="n">
        <v>189.255060065984</v>
      </c>
      <c r="F92" s="577" t="n">
        <f aca="false">IF(VLOOKUP(A92,[1]!CPIndex,2)=0,(F91*EXP(IF(driftswitch=1,D92,$C$4)-1/2*$D$4^2+$D$4*B92)),VLOOKUP(A92,[1]!CPIndex,2))</f>
        <v>189.686143635399</v>
      </c>
      <c r="G92" s="585" t="n">
        <f aca="false">IF(shiftswitch4=1,(F92-F91)/F91,(E92-E91)/E91)</f>
        <v>0.00240465403404927</v>
      </c>
      <c r="H92" s="578" t="n">
        <f aca="false">G92+1</f>
        <v>1.00240465403405</v>
      </c>
    </row>
    <row r="93" customFormat="false" ht="12.75" hidden="false" customHeight="false" outlineLevel="0" collapsed="false">
      <c r="A93" s="575" t="n">
        <v>37895</v>
      </c>
      <c r="B93" s="190" t="n">
        <v>0.00655261213672695</v>
      </c>
      <c r="C93" s="576" t="n">
        <v>0.00239578444049883</v>
      </c>
      <c r="D93" s="577" t="n">
        <f aca="false">IF(VLOOKUP(A93,[1]!CPIndex,2)=0,VLOOKUP(A93,[1]!CPIndex,6),0)</f>
        <v>0.00239578444049883</v>
      </c>
      <c r="E93" s="576" t="n">
        <v>189.708872970278</v>
      </c>
      <c r="F93" s="577" t="n">
        <f aca="false">IF(VLOOKUP(A93,[1]!CPIndex,2)=0,(F92*EXP(IF(driftswitch=1,D93,$C$4)-1/2*$D$4^2+$D$4*B93)),VLOOKUP(A93,[1]!CPIndex,2))</f>
        <v>190.142530675793</v>
      </c>
      <c r="G93" s="585" t="n">
        <f aca="false">IF(shiftswitch4=1,(F93-F92)/F92,(E93-E92)/E92)</f>
        <v>0.00239789046663114</v>
      </c>
      <c r="H93" s="578" t="n">
        <f aca="false">G93+1</f>
        <v>1.00239789046663</v>
      </c>
    </row>
    <row r="94" customFormat="false" ht="12.75" hidden="false" customHeight="false" outlineLevel="0" collapsed="false">
      <c r="A94" s="575" t="n">
        <v>37926</v>
      </c>
      <c r="B94" s="190" t="n">
        <v>-0.00269823723576328</v>
      </c>
      <c r="C94" s="576" t="n">
        <v>0.00238903652897384</v>
      </c>
      <c r="D94" s="577" t="n">
        <f aca="false">IF(VLOOKUP(A94,[1]!CPIndex,2)=0,VLOOKUP(A94,[1]!CPIndex,6),0)</f>
        <v>0.00238903652897384</v>
      </c>
      <c r="E94" s="576" t="n">
        <v>190.162490864215</v>
      </c>
      <c r="F94" s="577" t="n">
        <f aca="false">IF(VLOOKUP(A94,[1]!CPIndex,2)=0,(F93*EXP(IF(driftswitch=1,D94,$C$4)-1/2*$D$4^2+$D$4*B94)),VLOOKUP(A94,[1]!CPIndex,2))</f>
        <v>190.596549656829</v>
      </c>
      <c r="G94" s="585" t="n">
        <f aca="false">IF(shiftswitch4=1,(F94-F93)/F93,(E94-E93)/E93)</f>
        <v>0.00239112639717499</v>
      </c>
      <c r="H94" s="578" t="n">
        <f aca="false">G94+1</f>
        <v>1.00239112639718</v>
      </c>
    </row>
    <row r="95" customFormat="false" ht="12.75" hidden="false" customHeight="false" outlineLevel="0" collapsed="false">
      <c r="A95" s="575" t="n">
        <v>37956</v>
      </c>
      <c r="B95" s="190" t="n">
        <v>0.0494437550032705</v>
      </c>
      <c r="C95" s="576" t="n">
        <v>0.00238228807099264</v>
      </c>
      <c r="D95" s="577" t="n">
        <f aca="false">IF(VLOOKUP(A95,[1]!CPIndex,2)=0,VLOOKUP(A95,[1]!CPIndex,6),0)</f>
        <v>0.00238228807099264</v>
      </c>
      <c r="E95" s="576" t="n">
        <v>190.615907048093</v>
      </c>
      <c r="F95" s="577" t="n">
        <f aca="false">IF(VLOOKUP(A95,[1]!CPIndex,2)=0,(F94*EXP(IF(driftswitch=1,D95,$C$4)-1/2*$D$4^2+$D$4*B95)),VLOOKUP(A95,[1]!CPIndex,2))</f>
        <v>191.062680401171</v>
      </c>
      <c r="G95" s="585" t="n">
        <f aca="false">IF(shiftswitch4=1,(F95-F94)/F94,(E95-E94)/E94)</f>
        <v>0.00238436182560295</v>
      </c>
      <c r="H95" s="578" t="n">
        <f aca="false">G95+1</f>
        <v>1.0023843618256</v>
      </c>
    </row>
    <row r="96" customFormat="false" ht="12.75" hidden="false" customHeight="false" outlineLevel="0" collapsed="false">
      <c r="A96" s="575" t="n">
        <v>37987</v>
      </c>
      <c r="B96" s="190" t="n">
        <v>0.0627090768321165</v>
      </c>
      <c r="C96" s="576" t="n">
        <v>0.00237891363705349</v>
      </c>
      <c r="D96" s="577" t="n">
        <f aca="false">IF(VLOOKUP(A96,[1]!CPIndex,2)=0,VLOOKUP(A96,[1]!CPIndex,6),0)</f>
        <v>0.00237891363705349</v>
      </c>
      <c r="E96" s="576" t="n">
        <v>191.069759586842</v>
      </c>
      <c r="F96" s="577" t="n">
        <f aca="false">IF(VLOOKUP(A96,[1]!CPIndex,2)=0,(F95*EXP(IF(driftswitch=1,D96,$C$4)-1/2*$D$4^2+$D$4*B96)),VLOOKUP(A96,[1]!CPIndex,2))</f>
        <v>191.532446139838</v>
      </c>
      <c r="G96" s="585" t="n">
        <f aca="false">IF(shiftswitch4=1,(F96-F95)/F95,(E96-E95)/E95)</f>
        <v>0.00238097935149922</v>
      </c>
      <c r="H96" s="578" t="n">
        <f aca="false">G96+1</f>
        <v>1.0023809793515</v>
      </c>
    </row>
    <row r="97" customFormat="false" ht="12.75" hidden="false" customHeight="false" outlineLevel="0" collapsed="false">
      <c r="A97" s="575" t="n">
        <v>38018</v>
      </c>
      <c r="B97" s="190" t="n">
        <v>-0.025422719819334</v>
      </c>
      <c r="C97" s="576" t="n">
        <v>0.00237553906646718</v>
      </c>
      <c r="D97" s="577" t="n">
        <f aca="false">IF(VLOOKUP(A97,[1]!CPIndex,2)=0,VLOOKUP(A97,[1]!CPIndex,6),0)</f>
        <v>0.00237553906646718</v>
      </c>
      <c r="E97" s="576" t="n">
        <v>191.52404642661</v>
      </c>
      <c r="F97" s="577" t="n">
        <f aca="false">IF(VLOOKUP(A97,[1]!CPIndex,2)=0,(F96*EXP(IF(driftswitch=1,D97,$C$4)-1/2*$D$4^2+$D$4*B97)),VLOOKUP(A97,[1]!CPIndex,2))</f>
        <v>191.981798536607</v>
      </c>
      <c r="G97" s="585" t="n">
        <f aca="false">IF(shiftswitch4=1,(F97-F96)/F96,(E97-E96)/E96)</f>
        <v>0.00237759675183756</v>
      </c>
      <c r="H97" s="578" t="n">
        <f aca="false">G97+1</f>
        <v>1.00237759675184</v>
      </c>
    </row>
    <row r="98" customFormat="false" ht="12.75" hidden="false" customHeight="false" outlineLevel="0" collapsed="false">
      <c r="A98" s="575" t="n">
        <v>38047</v>
      </c>
      <c r="B98" s="190" t="n">
        <v>0.00680987624915415</v>
      </c>
      <c r="C98" s="576" t="n">
        <v>0.00237216435922261</v>
      </c>
      <c r="D98" s="577" t="n">
        <f aca="false">IF(VLOOKUP(A98,[1]!CPIndex,2)=0,VLOOKUP(A98,[1]!CPIndex,6),0)</f>
        <v>0.00237216435922261</v>
      </c>
      <c r="E98" s="576" t="n">
        <v>191.978765504069</v>
      </c>
      <c r="F98" s="577" t="n">
        <f aca="false">IF(VLOOKUP(A98,[1]!CPIndex,2)=0,(F97*EXP(IF(driftswitch=1,D98,$C$4)-1/2*$D$4^2+$D$4*B98)),VLOOKUP(A98,[1]!CPIndex,2))</f>
        <v>192.43922467734</v>
      </c>
      <c r="G98" s="585" t="n">
        <f aca="false">IF(shiftswitch4=1,(F98-F97)/F97,(E98-E97)/E97)</f>
        <v>0.00237421402660783</v>
      </c>
      <c r="H98" s="578" t="n">
        <f aca="false">G98+1</f>
        <v>1.00237421402661</v>
      </c>
    </row>
    <row r="99" customFormat="false" ht="12.75" hidden="false" customHeight="false" outlineLevel="0" collapsed="false">
      <c r="A99" s="575" t="n">
        <v>38078</v>
      </c>
      <c r="B99" s="190" t="n">
        <v>0.0517492335519777</v>
      </c>
      <c r="C99" s="576" t="n">
        <v>0.00236878951530871</v>
      </c>
      <c r="D99" s="577" t="n">
        <f aca="false">IF(VLOOKUP(A99,[1]!CPIndex,2)=0,VLOOKUP(A99,[1]!CPIndex,6),0)</f>
        <v>0.00236878951530871</v>
      </c>
      <c r="E99" s="576" t="n">
        <v>192.433914746418</v>
      </c>
      <c r="F99" s="577" t="n">
        <f aca="false">IF(VLOOKUP(A99,[1]!CPIndex,2)=0,(F98*EXP(IF(driftswitch=1,D99,$C$4)-1/2*$D$4^2+$D$4*B99)),VLOOKUP(A99,[1]!CPIndex,2))</f>
        <v>192.907807832033</v>
      </c>
      <c r="G99" s="585" t="n">
        <f aca="false">IF(shiftswitch4=1,(F99-F98)/F98,(E99-E98)/E98)</f>
        <v>0.00237083117580034</v>
      </c>
      <c r="H99" s="578" t="n">
        <f aca="false">G99+1</f>
        <v>1.0023708311758</v>
      </c>
    </row>
    <row r="100" customFormat="false" ht="12.75" hidden="false" customHeight="false" outlineLevel="0" collapsed="false">
      <c r="A100" s="575" t="n">
        <v>38108</v>
      </c>
      <c r="B100" s="190" t="n">
        <v>-0.0327910518104256</v>
      </c>
      <c r="C100" s="576" t="n">
        <v>0.00236541453471437</v>
      </c>
      <c r="D100" s="577" t="n">
        <f aca="false">IF(VLOOKUP(A100,[1]!CPIndex,2)=0,VLOOKUP(A100,[1]!CPIndex,6),0)</f>
        <v>0.00236541453471437</v>
      </c>
      <c r="E100" s="576" t="n">
        <v>192.889492071389</v>
      </c>
      <c r="F100" s="577" t="n">
        <f aca="false">IF(VLOOKUP(A100,[1]!CPIndex,2)=0,(F99*EXP(IF(driftswitch=1,D100,$C$4)-1/2*$D$4^2+$D$4*B100)),VLOOKUP(A100,[1]!CPIndex,2))</f>
        <v>193.356667770348</v>
      </c>
      <c r="G100" s="585" t="n">
        <f aca="false">IF(shiftswitch4=1,(F100-F99)/F99,(E100-E99)/E99)</f>
        <v>0.00236744819940566</v>
      </c>
      <c r="H100" s="578" t="n">
        <f aca="false">G100+1</f>
        <v>1.00236744819941</v>
      </c>
    </row>
    <row r="101" customFormat="false" ht="12.75" hidden="false" customHeight="false" outlineLevel="0" collapsed="false">
      <c r="A101" s="575" t="n">
        <v>38139</v>
      </c>
      <c r="B101" s="190" t="n">
        <v>0.06901038019168</v>
      </c>
      <c r="C101" s="576" t="n">
        <v>0.0023620394174285</v>
      </c>
      <c r="D101" s="577" t="n">
        <f aca="false">IF(VLOOKUP(A101,[1]!CPIndex,2)=0,VLOOKUP(A101,[1]!CPIndex,6),0)</f>
        <v>0.0023620394174285</v>
      </c>
      <c r="E101" s="576" t="n">
        <v>193.345495387252</v>
      </c>
      <c r="F101" s="577" t="n">
        <f aca="false">IF(VLOOKUP(A101,[1]!CPIndex,2)=0,(F100*EXP(IF(driftswitch=1,D101,$C$4)-1/2*$D$4^2+$D$4*B101)),VLOOKUP(A101,[1]!CPIndex,2))</f>
        <v>193.83031309362</v>
      </c>
      <c r="G101" s="585" t="n">
        <f aca="false">IF(shiftswitch4=1,(F101-F100)/F100,(E101-E100)/E100)</f>
        <v>0.00236406509741369</v>
      </c>
      <c r="H101" s="578" t="n">
        <f aca="false">G101+1</f>
        <v>1.00236406509741</v>
      </c>
    </row>
    <row r="102" customFormat="false" ht="12.75" hidden="false" customHeight="false" outlineLevel="0" collapsed="false">
      <c r="A102" s="575" t="n">
        <v>38169</v>
      </c>
      <c r="B102" s="190" t="n">
        <v>-0.00187851174390176</v>
      </c>
      <c r="C102" s="576" t="n">
        <v>0.00235866416344024</v>
      </c>
      <c r="D102" s="577" t="n">
        <f aca="false">IF(VLOOKUP(A102,[1]!CPIndex,2)=0,VLOOKUP(A102,[1]!CPIndex,6),0)</f>
        <v>0.00235866416344024</v>
      </c>
      <c r="E102" s="576" t="n">
        <v>193.801922592824</v>
      </c>
      <c r="F102" s="577" t="n">
        <f aca="false">IF(VLOOKUP(A102,[1]!CPIndex,2)=0,(F101*EXP(IF(driftswitch=1,D102,$C$4)-1/2*$D$4^2+$D$4*B102)),VLOOKUP(A102,[1]!CPIndex,2))</f>
        <v>194.287433553596</v>
      </c>
      <c r="G102" s="585" t="n">
        <f aca="false">IF(shiftswitch4=1,(F102-F101)/F101,(E102-E101)/E101)</f>
        <v>0.00236068186981501</v>
      </c>
      <c r="H102" s="578" t="n">
        <f aca="false">G102+1</f>
        <v>1.00236068186982</v>
      </c>
    </row>
    <row r="103" customFormat="false" ht="12.75" hidden="false" customHeight="false" outlineLevel="0" collapsed="false">
      <c r="A103" s="575" t="n">
        <v>38200</v>
      </c>
      <c r="B103" s="190" t="n">
        <v>-0.0258900814150756</v>
      </c>
      <c r="C103" s="576" t="n">
        <v>0.00235528877273826</v>
      </c>
      <c r="D103" s="577" t="n">
        <f aca="false">IF(VLOOKUP(A103,[1]!CPIndex,2)=0,VLOOKUP(A103,[1]!CPIndex,6),0)</f>
        <v>0.00235528877273826</v>
      </c>
      <c r="E103" s="576" t="n">
        <v>194.258771577466</v>
      </c>
      <c r="F103" s="577" t="n">
        <f aca="false">IF(VLOOKUP(A103,[1]!CPIndex,2)=0,(F102*EXP(IF(driftswitch=1,D103,$C$4)-1/2*$D$4^2+$D$4*B103)),VLOOKUP(A103,[1]!CPIndex,2))</f>
        <v>194.739193303261</v>
      </c>
      <c r="G103" s="585" t="n">
        <f aca="false">IF(shiftswitch4=1,(F103-F102)/F102,(E103-E102)/E102)</f>
        <v>0.00235729851659935</v>
      </c>
      <c r="H103" s="578" t="n">
        <f aca="false">G103+1</f>
        <v>1.0023572985166</v>
      </c>
    </row>
    <row r="104" customFormat="false" ht="12.75" hidden="false" customHeight="false" outlineLevel="0" collapsed="false">
      <c r="A104" s="575" t="n">
        <v>38231</v>
      </c>
      <c r="B104" s="190" t="n">
        <v>0.00984150820945398</v>
      </c>
      <c r="C104" s="576" t="n">
        <v>0.0023519132453117</v>
      </c>
      <c r="D104" s="577" t="n">
        <f aca="false">IF(VLOOKUP(A104,[1]!CPIndex,2)=0,VLOOKUP(A104,[1]!CPIndex,6),0)</f>
        <v>0.0023519132453117</v>
      </c>
      <c r="E104" s="576" t="n">
        <v>194.716040221098</v>
      </c>
      <c r="F104" s="577" t="n">
        <f aca="false">IF(VLOOKUP(A104,[1]!CPIndex,2)=0,(F103*EXP(IF(driftswitch=1,D104,$C$4)-1/2*$D$4^2+$D$4*B104)),VLOOKUP(A104,[1]!CPIndex,2))</f>
        <v>195.199967979309</v>
      </c>
      <c r="G104" s="585" t="n">
        <f aca="false">IF(shiftswitch4=1,(F104-F103)/F103,(E104-E103)/E103)</f>
        <v>0.00235391503775761</v>
      </c>
      <c r="H104" s="578" t="n">
        <f aca="false">G104+1</f>
        <v>1.00235391503776</v>
      </c>
    </row>
    <row r="105" customFormat="false" ht="12.75" hidden="false" customHeight="false" outlineLevel="0" collapsed="false">
      <c r="A105" s="575" t="n">
        <v>38261</v>
      </c>
      <c r="B105" s="190" t="n">
        <v>0.0413348024382201</v>
      </c>
      <c r="C105" s="576" t="n">
        <v>0.00234853758114924</v>
      </c>
      <c r="D105" s="577" t="n">
        <f aca="false">IF(VLOOKUP(A105,[1]!CPIndex,2)=0,VLOOKUP(A105,[1]!CPIndex,6),0)</f>
        <v>0.00234853758114924</v>
      </c>
      <c r="E105" s="576" t="n">
        <v>195.173726394202</v>
      </c>
      <c r="F105" s="577" t="n">
        <f aca="false">IF(VLOOKUP(A105,[1]!CPIndex,2)=0,(F104*EXP(IF(driftswitch=1,D105,$C$4)-1/2*$D$4^2+$D$4*B105)),VLOOKUP(A105,[1]!CPIndex,2))</f>
        <v>195.66879119157</v>
      </c>
      <c r="G105" s="585" t="n">
        <f aca="false">IF(shiftswitch4=1,(F105-F104)/F104,(E105-E104)/E104)</f>
        <v>0.00235053143327952</v>
      </c>
      <c r="H105" s="578" t="n">
        <f aca="false">G105+1</f>
        <v>1.00235053143328</v>
      </c>
    </row>
    <row r="106" customFormat="false" ht="12.75" hidden="false" customHeight="false" outlineLevel="0" collapsed="false">
      <c r="A106" s="575" t="n">
        <v>38292</v>
      </c>
      <c r="B106" s="190" t="n">
        <v>-0.0112220152172009</v>
      </c>
      <c r="C106" s="576" t="n">
        <v>0.00234516178024001</v>
      </c>
      <c r="D106" s="577" t="n">
        <f aca="false">IF(VLOOKUP(A106,[1]!CPIndex,2)=0,VLOOKUP(A106,[1]!CPIndex,6),0)</f>
        <v>0.00234516178024001</v>
      </c>
      <c r="E106" s="576" t="n">
        <v>195.631827957824</v>
      </c>
      <c r="F106" s="577" t="n">
        <f aca="false">IF(VLOOKUP(A106,[1]!CPIndex,2)=0,(F105*EXP(IF(driftswitch=1,D106,$C$4)-1/2*$D$4^2+$D$4*B106)),VLOOKUP(A106,[1]!CPIndex,2))</f>
        <v>196.125333537246</v>
      </c>
      <c r="G106" s="585" t="n">
        <f aca="false">IF(shiftswitch4=1,(F106-F105)/F105,(E106-E105)/E105)</f>
        <v>0.00234714770315535</v>
      </c>
      <c r="H106" s="578" t="n">
        <f aca="false">G106+1</f>
        <v>1.00234714770316</v>
      </c>
    </row>
    <row r="107" customFormat="false" ht="12.75" hidden="false" customHeight="false" outlineLevel="0" collapsed="false">
      <c r="A107" s="575" t="n">
        <v>38322</v>
      </c>
      <c r="B107" s="190" t="n">
        <v>0.037939995659855</v>
      </c>
      <c r="C107" s="576" t="n">
        <v>0.00234178584257292</v>
      </c>
      <c r="D107" s="577" t="n">
        <f aca="false">IF(VLOOKUP(A107,[1]!CPIndex,2)=0,VLOOKUP(A107,[1]!CPIndex,6),0)</f>
        <v>0.00234178584257292</v>
      </c>
      <c r="E107" s="576" t="n">
        <v>196.090342763588</v>
      </c>
      <c r="F107" s="577" t="n">
        <f aca="false">IF(VLOOKUP(A107,[1]!CPIndex,2)=0,(F106*EXP(IF(driftswitch=1,D107,$C$4)-1/2*$D$4^2+$D$4*B107)),VLOOKUP(A107,[1]!CPIndex,2))</f>
        <v>196.59422672611</v>
      </c>
      <c r="G107" s="585" t="n">
        <f aca="false">IF(shiftswitch4=1,(F107-F106)/F106,(E107-E106)/E106)</f>
        <v>0.00234376384737584</v>
      </c>
      <c r="H107" s="578" t="n">
        <f aca="false">G107+1</f>
        <v>1.00234376384738</v>
      </c>
    </row>
    <row r="108" customFormat="false" ht="12.75" hidden="false" customHeight="false" outlineLevel="0" collapsed="false">
      <c r="A108" s="575" t="n">
        <v>38353</v>
      </c>
      <c r="B108" s="190" t="n">
        <v>-0.0375200376935601</v>
      </c>
      <c r="C108" s="576" t="n">
        <v>0.00233840976813664</v>
      </c>
      <c r="D108" s="577" t="n">
        <f aca="false">IF(VLOOKUP(A108,[1]!CPIndex,2)=0,VLOOKUP(A108,[1]!CPIndex,6),0)</f>
        <v>0.00233840976813664</v>
      </c>
      <c r="E108" s="576" t="n">
        <v>196.549268653695</v>
      </c>
      <c r="F108" s="577" t="n">
        <f aca="false">IF(VLOOKUP(A108,[1]!CPIndex,2)=0,(F107*EXP(IF(driftswitch=1,D108,$C$4)-1/2*$D$4^2+$D$4*B108)),VLOOKUP(A108,[1]!CPIndex,2))</f>
        <v>197.045190903006</v>
      </c>
      <c r="G108" s="585" t="n">
        <f aca="false">IF(shiftswitch4=1,(F108-F107)/F107,(E108-E107)/E107)</f>
        <v>0.00234037986593078</v>
      </c>
      <c r="H108" s="578" t="n">
        <f aca="false">G108+1</f>
        <v>1.00234037986593</v>
      </c>
    </row>
    <row r="109" customFormat="false" ht="12.75" hidden="false" customHeight="false" outlineLevel="0" collapsed="false">
      <c r="A109" s="575" t="n">
        <v>38384</v>
      </c>
      <c r="B109" s="190" t="n">
        <v>0.00481099746967355</v>
      </c>
      <c r="C109" s="576" t="n">
        <v>0.00233503355692054</v>
      </c>
      <c r="D109" s="577" t="n">
        <f aca="false">IF(VLOOKUP(A109,[1]!CPIndex,2)=0,VLOOKUP(A109,[1]!CPIndex,6),0)</f>
        <v>0.00233503355692054</v>
      </c>
      <c r="E109" s="576" t="n">
        <v>197.008603460936</v>
      </c>
      <c r="F109" s="577" t="n">
        <f aca="false">IF(VLOOKUP(A109,[1]!CPIndex,2)=0,(F108*EXP(IF(driftswitch=1,D109,$C$4)-1/2*$D$4^2+$D$4*B109)),VLOOKUP(A109,[1]!CPIndex,2))</f>
        <v>197.506859495439</v>
      </c>
      <c r="G109" s="585" t="n">
        <f aca="false">IF(shiftswitch4=1,(F109-F108)/F108,(E109-E108)/E108)</f>
        <v>0.00233699575881036</v>
      </c>
      <c r="H109" s="578" t="n">
        <f aca="false">G109+1</f>
        <v>1.00233699575881</v>
      </c>
    </row>
    <row r="110" customFormat="false" ht="12.75" hidden="false" customHeight="false" outlineLevel="0" collapsed="false">
      <c r="A110" s="575" t="n">
        <v>38412</v>
      </c>
      <c r="B110" s="190" t="n">
        <v>-0.011587924059995</v>
      </c>
      <c r="C110" s="576" t="n">
        <v>0.00233165720891307</v>
      </c>
      <c r="D110" s="577" t="n">
        <f aca="false">IF(VLOOKUP(A110,[1]!CPIndex,2)=0,VLOOKUP(A110,[1]!CPIndex,6),0)</f>
        <v>0.00233165720891307</v>
      </c>
      <c r="E110" s="576" t="n">
        <v>197.468345008695</v>
      </c>
      <c r="F110" s="577" t="n">
        <f aca="false">IF(VLOOKUP(A110,[1]!CPIndex,2)=0,(F109*EXP(IF(driftswitch=1,D110,$C$4)-1/2*$D$4^2+$D$4*B110)),VLOOKUP(A110,[1]!CPIndex,2))</f>
        <v>197.96492748547</v>
      </c>
      <c r="G110" s="585" t="n">
        <f aca="false">IF(shiftswitch4=1,(F110-F109)/F109,(E110-E109)/E109)</f>
        <v>0.00233361152600533</v>
      </c>
      <c r="H110" s="578" t="n">
        <f aca="false">G110+1</f>
        <v>1.00233361152601</v>
      </c>
    </row>
    <row r="111" customFormat="false" ht="12.75" hidden="false" customHeight="false" outlineLevel="0" collapsed="false">
      <c r="A111" s="575" t="n">
        <v>38443</v>
      </c>
      <c r="B111" s="190" t="n">
        <v>-0.0478672311633882</v>
      </c>
      <c r="C111" s="576" t="n">
        <v>0.00232828072410336</v>
      </c>
      <c r="D111" s="577" t="n">
        <f aca="false">IF(VLOOKUP(A111,[1]!CPIndex,2)=0,VLOOKUP(A111,[1]!CPIndex,6),0)</f>
        <v>0.00232828072410336</v>
      </c>
      <c r="E111" s="576" t="n">
        <v>197.928491110956</v>
      </c>
      <c r="F111" s="577" t="n">
        <f aca="false">IF(VLOOKUP(A111,[1]!CPIndex,2)=0,(F110*EXP(IF(driftswitch=1,D111,$C$4)-1/2*$D$4^2+$D$4*B111)),VLOOKUP(A111,[1]!CPIndex,2))</f>
        <v>198.414487746392</v>
      </c>
      <c r="G111" s="585" t="n">
        <f aca="false">IF(shiftswitch4=1,(F111-F110)/F110,(E111-E110)/E110)</f>
        <v>0.00233022716750518</v>
      </c>
      <c r="H111" s="578" t="n">
        <f aca="false">G111+1</f>
        <v>1.00233022716751</v>
      </c>
    </row>
    <row r="112" customFormat="false" ht="12.75" hidden="false" customHeight="false" outlineLevel="0" collapsed="false">
      <c r="A112" s="575" t="n">
        <v>38473</v>
      </c>
      <c r="B112" s="190" t="n">
        <v>-0.00165242552287163</v>
      </c>
      <c r="C112" s="576" t="n">
        <v>0.00232490410248054</v>
      </c>
      <c r="D112" s="577" t="n">
        <f aca="false">IF(VLOOKUP(A112,[1]!CPIndex,2)=0,VLOOKUP(A112,[1]!CPIndex,6),0)</f>
        <v>0.00232490410248054</v>
      </c>
      <c r="E112" s="576" t="n">
        <v>198.389039572315</v>
      </c>
      <c r="F112" s="577" t="n">
        <f aca="false">IF(VLOOKUP(A112,[1]!CPIndex,2)=0,(F111*EXP(IF(driftswitch=1,D112,$C$4)-1/2*$D$4^2+$D$4*B112)),VLOOKUP(A112,[1]!CPIndex,2))</f>
        <v>198.87576073464</v>
      </c>
      <c r="G112" s="585" t="n">
        <f aca="false">IF(shiftswitch4=1,(F112-F111)/F111,(E112-E111)/E111)</f>
        <v>0.00232684268330104</v>
      </c>
      <c r="H112" s="578" t="n">
        <f aca="false">G112+1</f>
        <v>1.0023268426833</v>
      </c>
    </row>
    <row r="113" customFormat="false" ht="12.75" hidden="false" customHeight="false" outlineLevel="0" collapsed="false">
      <c r="A113" s="575" t="n">
        <v>38504</v>
      </c>
      <c r="B113" s="190" t="n">
        <v>0.0368640929676489</v>
      </c>
      <c r="C113" s="576" t="n">
        <v>0.00232152734403306</v>
      </c>
      <c r="D113" s="577" t="n">
        <f aca="false">IF(VLOOKUP(A113,[1]!CPIndex,2)=0,VLOOKUP(A113,[1]!CPIndex,6),0)</f>
        <v>0.00232152734403306</v>
      </c>
      <c r="E113" s="576" t="n">
        <v>198.849988187979</v>
      </c>
      <c r="F113" s="577" t="n">
        <f aca="false">IF(VLOOKUP(A113,[1]!CPIndex,2)=0,(F112*EXP(IF(driftswitch=1,D113,$C$4)-1/2*$D$4^2+$D$4*B113)),VLOOKUP(A113,[1]!CPIndex,2))</f>
        <v>199.346925905747</v>
      </c>
      <c r="G113" s="585" t="n">
        <f aca="false">IF(shiftswitch4=1,(F113-F112)/F112,(E113-E112)/E112)</f>
        <v>0.00232345807338241</v>
      </c>
      <c r="H113" s="578" t="n">
        <f aca="false">G113+1</f>
        <v>1.00232345807338</v>
      </c>
    </row>
    <row r="114" customFormat="false" ht="12.75" hidden="false" customHeight="false" outlineLevel="0" collapsed="false">
      <c r="A114" s="575" t="n">
        <v>38534</v>
      </c>
      <c r="B114" s="190" t="n">
        <v>0.0271457453400823</v>
      </c>
      <c r="C114" s="576" t="n">
        <v>0.00231815044875007</v>
      </c>
      <c r="D114" s="577" t="n">
        <f aca="false">IF(VLOOKUP(A114,[1]!CPIndex,2)=0,VLOOKUP(A114,[1]!CPIndex,6),0)</f>
        <v>0.00231815044875007</v>
      </c>
      <c r="E114" s="576" t="n">
        <v>199.311334743784</v>
      </c>
      <c r="F114" s="577" t="n">
        <f aca="false">IF(VLOOKUP(A114,[1]!CPIndex,2)=0,(F113*EXP(IF(driftswitch=1,D114,$C$4)-1/2*$D$4^2+$D$4*B114)),VLOOKUP(A114,[1]!CPIndex,2))</f>
        <v>199.816131635652</v>
      </c>
      <c r="G114" s="585" t="n">
        <f aca="false">IF(shiftswitch4=1,(F114-F113)/F113,(E114-E113)/E113)</f>
        <v>0.00232007333773975</v>
      </c>
      <c r="H114" s="578" t="n">
        <f aca="false">G114+1</f>
        <v>1.00232007333774</v>
      </c>
    </row>
    <row r="115" customFormat="false" ht="12.75" hidden="false" customHeight="false" outlineLevel="0" collapsed="false">
      <c r="A115" s="575" t="n">
        <v>38565</v>
      </c>
      <c r="B115" s="190" t="n">
        <v>0.0166259808450713</v>
      </c>
      <c r="C115" s="576" t="n">
        <v>0.00231477341662045</v>
      </c>
      <c r="D115" s="577" t="n">
        <f aca="false">IF(VLOOKUP(A115,[1]!CPIndex,2)=0,VLOOKUP(A115,[1]!CPIndex,6),0)</f>
        <v>0.00231477341662045</v>
      </c>
      <c r="E115" s="576" t="n">
        <v>199.773077016194</v>
      </c>
      <c r="F115" s="577" t="n">
        <f aca="false">IF(VLOOKUP(A115,[1]!CPIndex,2)=0,(F114*EXP(IF(driftswitch=1,D115,$C$4)-1/2*$D$4^2+$D$4*B115)),VLOOKUP(A115,[1]!CPIndex,2))</f>
        <v>200.283160370725</v>
      </c>
      <c r="G115" s="585" t="n">
        <f aca="false">IF(shiftswitch4=1,(F115-F114)/F114,(E115-E114)/E114)</f>
        <v>0.00231668847636328</v>
      </c>
      <c r="H115" s="578" t="n">
        <f aca="false">G115+1</f>
        <v>1.00231668847636</v>
      </c>
    </row>
    <row r="116" customFormat="false" ht="12.75" hidden="false" customHeight="false" outlineLevel="0" collapsed="false">
      <c r="A116" s="575" t="n">
        <v>38596</v>
      </c>
      <c r="B116" s="190" t="n">
        <v>0.0193025995525937</v>
      </c>
      <c r="C116" s="576" t="n">
        <v>0.00231139624763334</v>
      </c>
      <c r="D116" s="577" t="n">
        <f aca="false">IF(VLOOKUP(A116,[1]!CPIndex,2)=0,VLOOKUP(A116,[1]!CPIndex,6),0)</f>
        <v>0.00231139624763334</v>
      </c>
      <c r="E116" s="576" t="n">
        <v>200.235212772312</v>
      </c>
      <c r="F116" s="577" t="n">
        <f aca="false">IF(VLOOKUP(A116,[1]!CPIndex,2)=0,(F115*EXP(IF(driftswitch=1,D116,$C$4)-1/2*$D$4^2+$D$4*B116)),VLOOKUP(A116,[1]!CPIndex,2))</f>
        <v>200.751267070739</v>
      </c>
      <c r="G116" s="585" t="n">
        <f aca="false">IF(shiftswitch4=1,(F116-F115)/F115,(E116-E115)/E115)</f>
        <v>0.0023133034892435</v>
      </c>
      <c r="H116" s="578" t="n">
        <f aca="false">G116+1</f>
        <v>1.00231330348924</v>
      </c>
    </row>
    <row r="117" customFormat="false" ht="12.75" hidden="false" customHeight="false" outlineLevel="0" collapsed="false">
      <c r="A117" s="575" t="n">
        <v>38626</v>
      </c>
      <c r="B117" s="190" t="n">
        <v>-0.0153424076814831</v>
      </c>
      <c r="C117" s="576" t="n">
        <v>0.0023080189417772</v>
      </c>
      <c r="D117" s="577" t="n">
        <f aca="false">IF(VLOOKUP(A117,[1]!CPIndex,2)=0,VLOOKUP(A117,[1]!CPIndex,6),0)</f>
        <v>0.0023080189417772</v>
      </c>
      <c r="E117" s="576" t="n">
        <v>200.697739769891</v>
      </c>
      <c r="F117" s="577" t="n">
        <f aca="false">IF(VLOOKUP(A117,[1]!CPIndex,2)=0,(F116*EXP(IF(driftswitch=1,D117,$C$4)-1/2*$D$4^2+$D$4*B117)),VLOOKUP(A117,[1]!CPIndex,2))</f>
        <v>201.211169271895</v>
      </c>
      <c r="G117" s="585" t="n">
        <f aca="false">IF(shiftswitch4=1,(F117-F116)/F116,(E117-E116)/E116)</f>
        <v>0.00230991837637041</v>
      </c>
      <c r="H117" s="578" t="n">
        <f aca="false">G117+1</f>
        <v>1.00230991837637</v>
      </c>
    </row>
    <row r="118" customFormat="false" ht="12.75" hidden="false" customHeight="false" outlineLevel="0" collapsed="false">
      <c r="A118" s="575" t="n">
        <v>38657</v>
      </c>
      <c r="B118" s="190" t="n">
        <v>-0.00953275532598322</v>
      </c>
      <c r="C118" s="576" t="n">
        <v>0.00230464149904137</v>
      </c>
      <c r="D118" s="577" t="n">
        <f aca="false">IF(VLOOKUP(A118,[1]!CPIndex,2)=0,VLOOKUP(A118,[1]!CPIndex,6),0)</f>
        <v>0.00230464149904137</v>
      </c>
      <c r="E118" s="576" t="n">
        <v>201.160655757339</v>
      </c>
      <c r="F118" s="577" t="n">
        <f aca="false">IF(VLOOKUP(A118,[1]!CPIndex,2)=0,(F117*EXP(IF(driftswitch=1,D118,$C$4)-1/2*$D$4^2+$D$4*B118)),VLOOKUP(A118,[1]!CPIndex,2))</f>
        <v>201.672892536791</v>
      </c>
      <c r="G118" s="585" t="n">
        <f aca="false">IF(shiftswitch4=1,(F118-F117)/F117,(E118-E117)/E117)</f>
        <v>0.00230653313773409</v>
      </c>
      <c r="H118" s="578" t="n">
        <f aca="false">G118+1</f>
        <v>1.00230653313773</v>
      </c>
    </row>
    <row r="119" customFormat="false" ht="12.75" hidden="false" customHeight="false" outlineLevel="0" collapsed="false">
      <c r="A119" s="575" t="n">
        <v>38687</v>
      </c>
      <c r="B119" s="190" t="n">
        <v>0.00228995556621427</v>
      </c>
      <c r="C119" s="576" t="n">
        <v>0.00230126391941455</v>
      </c>
      <c r="D119" s="577" t="n">
        <f aca="false">IF(VLOOKUP(A119,[1]!CPIndex,2)=0,VLOOKUP(A119,[1]!CPIndex,6),0)</f>
        <v>0.00230126391941455</v>
      </c>
      <c r="E119" s="576" t="n">
        <v>201.623958473727</v>
      </c>
      <c r="F119" s="577" t="n">
        <f aca="false">IF(VLOOKUP(A119,[1]!CPIndex,2)=0,(F118*EXP(IF(driftswitch=1,D119,$C$4)-1/2*$D$4^2+$D$4*B119)),VLOOKUP(A119,[1]!CPIndex,2))</f>
        <v>202.137947316433</v>
      </c>
      <c r="G119" s="585" t="n">
        <f aca="false">IF(shiftswitch4=1,(F119-F118)/F118,(E119-E118)/E118)</f>
        <v>0.00230314777332529</v>
      </c>
      <c r="H119" s="578" t="n">
        <f aca="false">G119+1</f>
        <v>1.00230314777333</v>
      </c>
    </row>
    <row r="120" customFormat="false" ht="12.75" hidden="false" customHeight="false" outlineLevel="0" collapsed="false">
      <c r="A120" s="575" t="n">
        <v>38718</v>
      </c>
      <c r="B120" s="190" t="n">
        <v>-0.0222422746507113</v>
      </c>
      <c r="C120" s="576" t="n">
        <v>0.00229585950725036</v>
      </c>
      <c r="D120" s="577" t="n">
        <f aca="false">IF(VLOOKUP(A120,[1]!CPIndex,2)=0,VLOOKUP(A120,[1]!CPIndex,6),0)</f>
        <v>0.00229585950725036</v>
      </c>
      <c r="E120" s="576" t="n">
        <v>202.087236079067</v>
      </c>
      <c r="F120" s="577" t="n">
        <f aca="false">IF(VLOOKUP(A120,[1]!CPIndex,2)=0,(F119*EXP(IF(driftswitch=1,D120,$C$4)-1/2*$D$4^2+$D$4*B120)),VLOOKUP(A120,[1]!CPIndex,2))</f>
        <v>202.596834431211</v>
      </c>
      <c r="G120" s="585" t="n">
        <f aca="false">IF(shiftswitch4=1,(F120-F119)/F119,(E120-E119)/E119)</f>
        <v>0.00229773092863853</v>
      </c>
      <c r="H120" s="578" t="n">
        <f aca="false">G120+1</f>
        <v>1.00229773092864</v>
      </c>
    </row>
    <row r="121" customFormat="false" ht="12.75" hidden="false" customHeight="false" outlineLevel="0" collapsed="false">
      <c r="A121" s="575" t="n">
        <v>38749</v>
      </c>
      <c r="B121" s="190" t="n">
        <v>0.0121753402952991</v>
      </c>
      <c r="C121" s="576" t="n">
        <v>0.00229045474457162</v>
      </c>
      <c r="D121" s="577" t="n">
        <f aca="false">IF(VLOOKUP(A121,[1]!CPIndex,2)=0,VLOOKUP(A121,[1]!CPIndex,6),0)</f>
        <v>0.00229045474457162</v>
      </c>
      <c r="E121" s="576" t="n">
        <v>202.550483431437</v>
      </c>
      <c r="F121" s="577" t="n">
        <f aca="false">IF(VLOOKUP(A121,[1]!CPIndex,2)=0,(F120*EXP(IF(driftswitch=1,D121,$C$4)-1/2*$D$4^2+$D$4*B121)),VLOOKUP(A121,[1]!CPIndex,2))</f>
        <v>203.064306733107</v>
      </c>
      <c r="G121" s="585" t="n">
        <f aca="false">IF(shiftswitch4=1,(F121-F120)/F120,(E121-E120)/E120)</f>
        <v>0.00229231376190882</v>
      </c>
      <c r="H121" s="578" t="n">
        <f aca="false">G121+1</f>
        <v>1.00229231376191</v>
      </c>
    </row>
    <row r="122" customFormat="false" ht="12.75" hidden="false" customHeight="false" outlineLevel="0" collapsed="false">
      <c r="A122" s="575" t="n">
        <v>38777</v>
      </c>
      <c r="B122" s="190" t="n">
        <v>-0.0198815705664293</v>
      </c>
      <c r="C122" s="576" t="n">
        <v>0.0022850496313327</v>
      </c>
      <c r="D122" s="577" t="n">
        <f aca="false">IF(VLOOKUP(A122,[1]!CPIndex,2)=0,VLOOKUP(A122,[1]!CPIndex,6),0)</f>
        <v>0.0022850496313327</v>
      </c>
      <c r="E122" s="576" t="n">
        <v>203.01369537711</v>
      </c>
      <c r="F122" s="577" t="n">
        <f aca="false">IF(VLOOKUP(A122,[1]!CPIndex,2)=0,(F121*EXP(IF(driftswitch=1,D122,$C$4)-1/2*$D$4^2+$D$4*B122)),VLOOKUP(A122,[1]!CPIndex,2))</f>
        <v>203.523690800485</v>
      </c>
      <c r="G122" s="585" t="n">
        <f aca="false">IF(shiftswitch4=1,(F122-F121)/F121,(E122-E121)/E121)</f>
        <v>0.00228689627309547</v>
      </c>
      <c r="H122" s="578" t="n">
        <f aca="false">G122+1</f>
        <v>1.0022868962731</v>
      </c>
    </row>
    <row r="123" customFormat="false" ht="12.75" hidden="false" customHeight="false" outlineLevel="0" collapsed="false">
      <c r="A123" s="575" t="n">
        <v>38808</v>
      </c>
      <c r="B123" s="190" t="n">
        <v>-0.00192835922098019</v>
      </c>
      <c r="C123" s="576" t="n">
        <v>0.00227964416748799</v>
      </c>
      <c r="D123" s="577" t="n">
        <f aca="false">IF(VLOOKUP(A123,[1]!CPIndex,2)=0,VLOOKUP(A123,[1]!CPIndex,6),0)</f>
        <v>0.00227964416748799</v>
      </c>
      <c r="E123" s="576" t="n">
        <v>203.476866750636</v>
      </c>
      <c r="F123" s="577" t="n">
        <f aca="false">IF(VLOOKUP(A123,[1]!CPIndex,2)=0,(F122*EXP(IF(driftswitch=1,D123,$C$4)-1/2*$D$4^2+$D$4*B123)),VLOOKUP(A123,[1]!CPIndex,2))</f>
        <v>203.987539370522</v>
      </c>
      <c r="G123" s="585" t="n">
        <f aca="false">IF(shiftswitch4=1,(F123-F122)/F122,(E123-E122)/E122)</f>
        <v>0.00228147846215849</v>
      </c>
      <c r="H123" s="578" t="n">
        <f aca="false">G123+1</f>
        <v>1.00228147846216</v>
      </c>
    </row>
    <row r="124" customFormat="false" ht="12.75" hidden="false" customHeight="false" outlineLevel="0" collapsed="false">
      <c r="A124" s="575" t="n">
        <v>38838</v>
      </c>
      <c r="B124" s="190" t="n">
        <v>0.0557746412025098</v>
      </c>
      <c r="C124" s="576" t="n">
        <v>0.00227423835299208</v>
      </c>
      <c r="D124" s="577" t="n">
        <f aca="false">IF(VLOOKUP(A124,[1]!CPIndex,2)=0,VLOOKUP(A124,[1]!CPIndex,6),0)</f>
        <v>0.00227423835299208</v>
      </c>
      <c r="E124" s="576" t="n">
        <v>203.939992374928</v>
      </c>
      <c r="F124" s="577" t="n">
        <f aca="false">IF(VLOOKUP(A124,[1]!CPIndex,2)=0,(F123*EXP(IF(driftswitch=1,D124,$C$4)-1/2*$D$4^2+$D$4*B124)),VLOOKUP(A124,[1]!CPIndex,2))</f>
        <v>204.465926597224</v>
      </c>
      <c r="G124" s="585" t="n">
        <f aca="false">IF(shiftswitch4=1,(F124-F123)/F123,(E124-E123)/E123)</f>
        <v>0.00227606032905795</v>
      </c>
      <c r="H124" s="578" t="n">
        <f aca="false">G124+1</f>
        <v>1.00227606032906</v>
      </c>
    </row>
    <row r="125" customFormat="false" ht="12.75" hidden="false" customHeight="false" outlineLevel="0" collapsed="false">
      <c r="A125" s="575" t="n">
        <v>38869</v>
      </c>
      <c r="B125" s="190" t="n">
        <v>-0.0553433294554742</v>
      </c>
      <c r="C125" s="576" t="n">
        <v>0.00226883218779933</v>
      </c>
      <c r="D125" s="577" t="n">
        <f aca="false">IF(VLOOKUP(A125,[1]!CPIndex,2)=0,VLOOKUP(A125,[1]!CPIndex,6),0)</f>
        <v>0.00226883218779933</v>
      </c>
      <c r="E125" s="576" t="n">
        <v>204.403067061348</v>
      </c>
      <c r="F125" s="577" t="n">
        <f aca="false">IF(VLOOKUP(A125,[1]!CPIndex,2)=0,(F124*EXP(IF(driftswitch=1,D125,$C$4)-1/2*$D$4^2+$D$4*B125)),VLOOKUP(A125,[1]!CPIndex,2))</f>
        <v>204.916173471976</v>
      </c>
      <c r="G125" s="585" t="n">
        <f aca="false">IF(shiftswitch4=1,(F125-F124)/F124,(E125-E124)/E124)</f>
        <v>0.00227064187375375</v>
      </c>
      <c r="H125" s="578" t="n">
        <f aca="false">G125+1</f>
        <v>1.00227064187375</v>
      </c>
    </row>
    <row r="126" customFormat="false" ht="12.75" hidden="false" customHeight="false" outlineLevel="0" collapsed="false">
      <c r="A126" s="575" t="n">
        <v>38899</v>
      </c>
      <c r="B126" s="190" t="n">
        <v>-0.000527963475885218</v>
      </c>
      <c r="C126" s="576" t="n">
        <v>0.00226342567186435</v>
      </c>
      <c r="D126" s="577" t="n">
        <f aca="false">IF(VLOOKUP(A126,[1]!CPIndex,2)=0,VLOOKUP(A126,[1]!CPIndex,6),0)</f>
        <v>0.00226342567186435</v>
      </c>
      <c r="E126" s="576" t="n">
        <v>204.86608560979</v>
      </c>
      <c r="F126" s="577" t="n">
        <f aca="false">IF(VLOOKUP(A126,[1]!CPIndex,2)=0,(F125*EXP(IF(driftswitch=1,D126,$C$4)-1/2*$D$4^2+$D$4*B126)),VLOOKUP(A126,[1]!CPIndex,2))</f>
        <v>205.380220255471</v>
      </c>
      <c r="G126" s="585" t="n">
        <f aca="false">IF(shiftswitch4=1,(F126-F125)/F125,(E126-E125)/E125)</f>
        <v>0.0022652230962057</v>
      </c>
      <c r="H126" s="578" t="n">
        <f aca="false">G126+1</f>
        <v>1.00226522309621</v>
      </c>
    </row>
    <row r="127" customFormat="false" ht="12.75" hidden="false" customHeight="false" outlineLevel="0" collapsed="false">
      <c r="A127" s="575" t="n">
        <v>38930</v>
      </c>
      <c r="B127" s="190" t="n">
        <v>-0.0297330670680487</v>
      </c>
      <c r="C127" s="576" t="n">
        <v>0.00225801880514171</v>
      </c>
      <c r="D127" s="577" t="n">
        <f aca="false">IF(VLOOKUP(A127,[1]!CPIndex,2)=0,VLOOKUP(A127,[1]!CPIndex,6),0)</f>
        <v>0.00225801880514171</v>
      </c>
      <c r="E127" s="576" t="n">
        <v>205.329042808773</v>
      </c>
      <c r="F127" s="577" t="n">
        <f aca="false">IF(VLOOKUP(A127,[1]!CPIndex,2)=0,(F126*EXP(IF(driftswitch=1,D127,$C$4)-1/2*$D$4^2+$D$4*B127)),VLOOKUP(A127,[1]!CPIndex,2))</f>
        <v>205.836772278399</v>
      </c>
      <c r="G127" s="585" t="n">
        <f aca="false">IF(shiftswitch4=1,(F127-F126)/F126,(E127-E126)/E126)</f>
        <v>0.00225980399637375</v>
      </c>
      <c r="H127" s="578" t="n">
        <f aca="false">G127+1</f>
        <v>1.00225980399637</v>
      </c>
    </row>
    <row r="128" customFormat="false" ht="12.75" hidden="false" customHeight="false" outlineLevel="0" collapsed="false">
      <c r="A128" s="575" t="n">
        <v>38961</v>
      </c>
      <c r="B128" s="190" t="n">
        <v>-0.00274602094225894</v>
      </c>
      <c r="C128" s="576" t="n">
        <v>0.0022526115875858</v>
      </c>
      <c r="D128" s="577" t="n">
        <f aca="false">IF(VLOOKUP(A128,[1]!CPIndex,2)=0,VLOOKUP(A128,[1]!CPIndex,6),0)</f>
        <v>0.0022526115875858</v>
      </c>
      <c r="E128" s="576" t="n">
        <v>205.79193343552</v>
      </c>
      <c r="F128" s="577" t="n">
        <f aca="false">IF(VLOOKUP(A128,[1]!CPIndex,2)=0,(F127*EXP(IF(driftswitch=1,D128,$C$4)-1/2*$D$4^2+$D$4*B128)),VLOOKUP(A128,[1]!CPIndex,2))</f>
        <v>206.300107103116</v>
      </c>
      <c r="G128" s="585" t="n">
        <f aca="false">IF(shiftswitch4=1,(F128-F127)/F127,(E128-E127)/E127)</f>
        <v>0.00225438457421805</v>
      </c>
      <c r="H128" s="578" t="n">
        <f aca="false">G128+1</f>
        <v>1.00225438457422</v>
      </c>
    </row>
    <row r="129" customFormat="false" ht="12.75" hidden="false" customHeight="false" outlineLevel="0" collapsed="false">
      <c r="A129" s="575" t="n">
        <v>38991</v>
      </c>
      <c r="B129" s="190" t="n">
        <v>0.00962755610446533</v>
      </c>
      <c r="C129" s="576" t="n">
        <v>0.0022472040191512</v>
      </c>
      <c r="D129" s="577" t="n">
        <f aca="false">IF(VLOOKUP(A129,[1]!CPIndex,2)=0,VLOOKUP(A129,[1]!CPIndex,6),0)</f>
        <v>0.0022472040191512</v>
      </c>
      <c r="E129" s="576" t="n">
        <v>206.254752256052</v>
      </c>
      <c r="F129" s="577" t="n">
        <f aca="false">IF(VLOOKUP(A129,[1]!CPIndex,2)=0,(F128*EXP(IF(driftswitch=1,D129,$C$4)-1/2*$D$4^2+$D$4*B129)),VLOOKUP(A129,[1]!CPIndex,2))</f>
        <v>206.766529994066</v>
      </c>
      <c r="G129" s="585" t="n">
        <f aca="false">IF(shiftswitch4=1,(F129-F128)/F128,(E129-E128)/E128)</f>
        <v>0.00224896482969834</v>
      </c>
      <c r="H129" s="578" t="n">
        <f aca="false">G129+1</f>
        <v>1.0022489648297</v>
      </c>
    </row>
    <row r="130" customFormat="false" ht="12.75" hidden="false" customHeight="false" outlineLevel="0" collapsed="false">
      <c r="A130" s="575" t="n">
        <v>39022</v>
      </c>
      <c r="B130" s="190" t="n">
        <v>-0.00254797501839107</v>
      </c>
      <c r="C130" s="576" t="n">
        <v>0.00224179609979227</v>
      </c>
      <c r="D130" s="577" t="n">
        <f aca="false">IF(VLOOKUP(A130,[1]!CPIndex,2)=0,VLOOKUP(A130,[1]!CPIndex,6),0)</f>
        <v>0.00224179609979227</v>
      </c>
      <c r="E130" s="576" t="n">
        <v>206.717494025273</v>
      </c>
      <c r="F130" s="577" t="n">
        <f aca="false">IF(VLOOKUP(A130,[1]!CPIndex,2)=0,(F129*EXP(IF(driftswitch=1,D130,$C$4)-1/2*$D$4^2+$D$4*B130)),VLOOKUP(A130,[1]!CPIndex,2))</f>
        <v>207.229767126415</v>
      </c>
      <c r="G130" s="585" t="n">
        <f aca="false">IF(shiftswitch4=1,(F130-F129)/F129,(E130-E129)/E129)</f>
        <v>0.00224354476277467</v>
      </c>
      <c r="H130" s="578" t="n">
        <f aca="false">G130+1</f>
        <v>1.00224354476277</v>
      </c>
    </row>
    <row r="131" customFormat="false" ht="12.75" hidden="false" customHeight="false" outlineLevel="0" collapsed="false">
      <c r="A131" s="575" t="n">
        <v>39052</v>
      </c>
      <c r="B131" s="190" t="n">
        <v>0.0163400695360073</v>
      </c>
      <c r="C131" s="576" t="n">
        <v>0.00223638782946339</v>
      </c>
      <c r="D131" s="577" t="n">
        <f aca="false">IF(VLOOKUP(A131,[1]!CPIndex,2)=0,VLOOKUP(A131,[1]!CPIndex,6),0)</f>
        <v>0.00223638782946339</v>
      </c>
      <c r="E131" s="576" t="n">
        <v>207.180153487061</v>
      </c>
      <c r="F131" s="577" t="n">
        <f aca="false">IF(VLOOKUP(A131,[1]!CPIndex,2)=0,(F130*EXP(IF(driftswitch=1,D131,$C$4)-1/2*$D$4^2+$D$4*B131)),VLOOKUP(A131,[1]!CPIndex,2))</f>
        <v>207.697769119765</v>
      </c>
      <c r="G131" s="585" t="n">
        <f aca="false">IF(shiftswitch4=1,(F131-F130)/F130,(E131-E130)/E130)</f>
        <v>0.00223812437340659</v>
      </c>
      <c r="H131" s="578" t="n">
        <f aca="false">G131+1</f>
        <v>1.00223812437341</v>
      </c>
    </row>
    <row r="132" customFormat="false" ht="12.75" hidden="false" customHeight="false" outlineLevel="0" collapsed="false">
      <c r="A132" s="575" t="n">
        <v>39083</v>
      </c>
      <c r="B132" s="190" t="n">
        <v>0.0578641704493438</v>
      </c>
      <c r="C132" s="576" t="n">
        <v>0.00223300748226072</v>
      </c>
      <c r="D132" s="577" t="n">
        <f aca="false">IF(VLOOKUP(A132,[1]!CPIndex,2)=0,VLOOKUP(A132,[1]!CPIndex,6),0)</f>
        <v>0.00223300748226072</v>
      </c>
      <c r="E132" s="576" t="n">
        <v>207.643146531151</v>
      </c>
      <c r="F132" s="577" t="n">
        <f aca="false">IF(VLOOKUP(A132,[1]!CPIndex,2)=0,(F131*EXP(IF(driftswitch=1,D132,$C$4)-1/2*$D$4^2+$D$4*B132)),VLOOKUP(A132,[1]!CPIndex,2))</f>
        <v>208.176811849052</v>
      </c>
      <c r="G132" s="585" t="n">
        <f aca="false">IF(shiftswitch4=1,(F132-F131)/F131,(E132-E131)/E131)</f>
        <v>0.00223473646629265</v>
      </c>
      <c r="H132" s="578" t="n">
        <f aca="false">G132+1</f>
        <v>1.00223473646629</v>
      </c>
    </row>
    <row r="133" customFormat="false" ht="12.75" hidden="false" customHeight="false" outlineLevel="0" collapsed="false">
      <c r="A133" s="575" t="n">
        <v>39114</v>
      </c>
      <c r="B133" s="190" t="n">
        <v>-0.0429604924105958</v>
      </c>
      <c r="C133" s="576" t="n">
        <v>0.0022296269979315</v>
      </c>
      <c r="D133" s="577" t="n">
        <f aca="false">IF(VLOOKUP(A133,[1]!CPIndex,2)=0,VLOOKUP(A133,[1]!CPIndex,6),0)</f>
        <v>0.0022296269979315</v>
      </c>
      <c r="E133" s="576" t="n">
        <v>208.106470740827</v>
      </c>
      <c r="F133" s="577" t="n">
        <f aca="false">IF(VLOOKUP(A133,[1]!CPIndex,2)=0,(F132*EXP(IF(driftswitch=1,D133,$C$4)-1/2*$D$4^2+$D$4*B133)),VLOOKUP(A133,[1]!CPIndex,2))</f>
        <v>208.630245002338</v>
      </c>
      <c r="G133" s="585" t="n">
        <f aca="false">IF(shiftswitch4=1,(F133-F132)/F132,(E133-E132)/E132)</f>
        <v>0.00223134843319841</v>
      </c>
      <c r="H133" s="578" t="n">
        <f aca="false">G133+1</f>
        <v>1.0022313484332</v>
      </c>
    </row>
    <row r="134" customFormat="false" ht="12.75" hidden="false" customHeight="false" outlineLevel="0" collapsed="false">
      <c r="A134" s="575" t="n">
        <v>39142</v>
      </c>
      <c r="B134" s="190" t="n">
        <v>-0.0820655472429265</v>
      </c>
      <c r="C134" s="576" t="n">
        <v>0.00222624637646464</v>
      </c>
      <c r="D134" s="577" t="n">
        <f aca="false">IF(VLOOKUP(A134,[1]!CPIndex,2)=0,VLOOKUP(A134,[1]!CPIndex,6),0)</f>
        <v>0.00222624637646464</v>
      </c>
      <c r="E134" s="576" t="n">
        <v>208.570123690424</v>
      </c>
      <c r="F134" s="577" t="n">
        <f aca="false">IF(VLOOKUP(A134,[1]!CPIndex,2)=0,(F133*EXP(IF(driftswitch=1,D134,$C$4)-1/2*$D$4^2+$D$4*B134)),VLOOKUP(A134,[1]!CPIndex,2))</f>
        <v>209.073850203763</v>
      </c>
      <c r="G134" s="585" t="n">
        <f aca="false">IF(shiftswitch4=1,(F134-F133)/F133,(E134-E133)/E133)</f>
        <v>0.00222796027411423</v>
      </c>
      <c r="H134" s="578" t="n">
        <f aca="false">G134+1</f>
        <v>1.00222796027411</v>
      </c>
    </row>
    <row r="135" customFormat="false" ht="12.75" hidden="false" customHeight="false" outlineLevel="0" collapsed="false">
      <c r="A135" s="575" t="n">
        <v>39173</v>
      </c>
      <c r="B135" s="190" t="n">
        <v>0.0281682336280073</v>
      </c>
      <c r="C135" s="576" t="n">
        <v>0.00222286561784881</v>
      </c>
      <c r="D135" s="577" t="n">
        <f aca="false">IF(VLOOKUP(A135,[1]!CPIndex,2)=0,VLOOKUP(A135,[1]!CPIndex,6),0)</f>
        <v>0.00222286561784881</v>
      </c>
      <c r="E135" s="576" t="n">
        <v>209.034102945334</v>
      </c>
      <c r="F135" s="577" t="n">
        <f aca="false">IF(VLOOKUP(A135,[1]!CPIndex,2)=0,(F134*EXP(IF(driftswitch=1,D135,$C$4)-1/2*$D$4^2+$D$4*B135)),VLOOKUP(A135,[1]!CPIndex,2))</f>
        <v>209.546247736843</v>
      </c>
      <c r="G135" s="585" t="n">
        <f aca="false">IF(shiftswitch4=1,(F135-F134)/F134,(E135-E134)/E134)</f>
        <v>0.00222457198902988</v>
      </c>
      <c r="H135" s="578" t="n">
        <f aca="false">G135+1</f>
        <v>1.00222457198903</v>
      </c>
    </row>
    <row r="136" customFormat="false" ht="12.75" hidden="false" customHeight="false" outlineLevel="0" collapsed="false">
      <c r="A136" s="575" t="n">
        <v>39203</v>
      </c>
      <c r="B136" s="190" t="n">
        <v>0.0394579535095347</v>
      </c>
      <c r="C136" s="576" t="n">
        <v>0.00221948472207335</v>
      </c>
      <c r="D136" s="577" t="n">
        <f aca="false">IF(VLOOKUP(A136,[1]!CPIndex,2)=0,VLOOKUP(A136,[1]!CPIndex,6),0)</f>
        <v>0.00221948472207335</v>
      </c>
      <c r="E136" s="576" t="n">
        <v>209.498406062025</v>
      </c>
      <c r="F136" s="577" t="n">
        <f aca="false">IF(VLOOKUP(A136,[1]!CPIndex,2)=0,(F135*EXP(IF(driftswitch=1,D136,$C$4)-1/2*$D$4^2+$D$4*B136)),VLOOKUP(A136,[1]!CPIndex,2))</f>
        <v>210.021934149045</v>
      </c>
      <c r="G136" s="585" t="n">
        <f aca="false">IF(shiftswitch4=1,(F136-F135)/F135,(E136-E135)/E135)</f>
        <v>0.0022211835779364</v>
      </c>
      <c r="H136" s="578" t="n">
        <f aca="false">G136+1</f>
        <v>1.00222118357794</v>
      </c>
    </row>
    <row r="137" customFormat="false" ht="12.75" hidden="false" customHeight="false" outlineLevel="0" collapsed="false">
      <c r="A137" s="575" t="n">
        <v>39234</v>
      </c>
      <c r="B137" s="190" t="n">
        <v>-0.0340164574578514</v>
      </c>
      <c r="C137" s="576" t="n">
        <v>0.00221610368912672</v>
      </c>
      <c r="D137" s="577" t="n">
        <f aca="false">IF(VLOOKUP(A137,[1]!CPIndex,2)=0,VLOOKUP(A137,[1]!CPIndex,6),0)</f>
        <v>0.00221610368912672</v>
      </c>
      <c r="E137" s="576" t="n">
        <v>209.96303058805</v>
      </c>
      <c r="F137" s="577" t="n">
        <f aca="false">IF(VLOOKUP(A137,[1]!CPIndex,2)=0,(F136*EXP(IF(driftswitch=1,D137,$C$4)-1/2*$D$4^2+$D$4*B137)),VLOOKUP(A137,[1]!CPIndex,2))</f>
        <v>210.478867355388</v>
      </c>
      <c r="G137" s="585" t="n">
        <f aca="false">IF(shiftswitch4=1,(F137-F136)/F136,(E137-E136)/E136)</f>
        <v>0.00221779504082332</v>
      </c>
      <c r="H137" s="578" t="n">
        <f aca="false">G137+1</f>
        <v>1.00221779504082</v>
      </c>
    </row>
    <row r="138" customFormat="false" ht="12.75" hidden="false" customHeight="false" outlineLevel="0" collapsed="false">
      <c r="A138" s="575" t="n">
        <v>39264</v>
      </c>
      <c r="B138" s="190" t="n">
        <v>0.0255959753945947</v>
      </c>
      <c r="C138" s="576" t="n">
        <v>0.00221272251899804</v>
      </c>
      <c r="D138" s="577" t="n">
        <f aca="false">IF(VLOOKUP(A138,[1]!CPIndex,2)=0,VLOOKUP(A138,[1]!CPIndex,6),0)</f>
        <v>0.00221272251899804</v>
      </c>
      <c r="E138" s="576" t="n">
        <v>210.427974062061</v>
      </c>
      <c r="F138" s="577" t="n">
        <f aca="false">IF(VLOOKUP(A138,[1]!CPIndex,2)=0,(F137*EXP(IF(driftswitch=1,D138,$C$4)-1/2*$D$4^2+$D$4*B138)),VLOOKUP(A138,[1]!CPIndex,2))</f>
        <v>210.951628879792</v>
      </c>
      <c r="G138" s="585" t="n">
        <f aca="false">IF(shiftswitch4=1,(F138-F137)/F137,(E138-E137)/E137)</f>
        <v>0.00221440637768119</v>
      </c>
      <c r="H138" s="578" t="n">
        <f aca="false">G138+1</f>
        <v>1.00221440637768</v>
      </c>
    </row>
    <row r="139" customFormat="false" ht="12.75" hidden="false" customHeight="false" outlineLevel="0" collapsed="false">
      <c r="A139" s="575" t="n">
        <v>39295</v>
      </c>
      <c r="B139" s="190" t="n">
        <v>-0.0302140476503297</v>
      </c>
      <c r="C139" s="576" t="n">
        <v>0.00220934121167576</v>
      </c>
      <c r="D139" s="577" t="n">
        <f aca="false">IF(VLOOKUP(A139,[1]!CPIndex,2)=0,VLOOKUP(A139,[1]!CPIndex,6),0)</f>
        <v>0.00220934121167576</v>
      </c>
      <c r="E139" s="576" t="n">
        <v>210.893234013825</v>
      </c>
      <c r="F139" s="577" t="n">
        <f aca="false">IF(VLOOKUP(A139,[1]!CPIndex,2)=0,(F138*EXP(IF(driftswitch=1,D139,$C$4)-1/2*$D$4^2+$D$4*B139)),VLOOKUP(A139,[1]!CPIndex,2))</f>
        <v>211.410149006621</v>
      </c>
      <c r="G139" s="585" t="n">
        <f aca="false">IF(shiftswitch4=1,(F139-F138)/F138,(E139-E138)/E138)</f>
        <v>0.00221101758849974</v>
      </c>
      <c r="H139" s="578" t="n">
        <f aca="false">G139+1</f>
        <v>1.0022110175885</v>
      </c>
    </row>
    <row r="140" customFormat="false" ht="12.75" hidden="false" customHeight="false" outlineLevel="0" collapsed="false">
      <c r="A140" s="575" t="n">
        <v>39326</v>
      </c>
      <c r="B140" s="190" t="n">
        <v>-0.0138805580661988</v>
      </c>
      <c r="C140" s="576" t="n">
        <v>0.00220595976714946</v>
      </c>
      <c r="D140" s="577" t="n">
        <f aca="false">IF(VLOOKUP(A140,[1]!CPIndex,2)=0,VLOOKUP(A140,[1]!CPIndex,6),0)</f>
        <v>0.00220595976714946</v>
      </c>
      <c r="E140" s="576" t="n">
        <v>211.358807964232</v>
      </c>
      <c r="F140" s="577" t="n">
        <f aca="false">IF(VLOOKUP(A140,[1]!CPIndex,2)=0,(F139*EXP(IF(driftswitch=1,D140,$C$4)-1/2*$D$4^2+$D$4*B140)),VLOOKUP(A140,[1]!CPIndex,2))</f>
        <v>211.873227970521</v>
      </c>
      <c r="G140" s="585" t="n">
        <f aca="false">IF(shiftswitch4=1,(F140-F139)/F139,(E140-E139)/E139)</f>
        <v>0.00220762867326973</v>
      </c>
      <c r="H140" s="578" t="n">
        <f aca="false">G140+1</f>
        <v>1.00220762867327</v>
      </c>
    </row>
    <row r="141" customFormat="false" ht="12.75" hidden="false" customHeight="false" outlineLevel="0" collapsed="false">
      <c r="A141" s="575" t="n">
        <v>39356</v>
      </c>
      <c r="B141" s="190" t="n">
        <v>0.0704317192812757</v>
      </c>
      <c r="C141" s="576" t="n">
        <v>0.00220257818540735</v>
      </c>
      <c r="D141" s="577" t="n">
        <f aca="false">IF(VLOOKUP(A141,[1]!CPIndex,2)=0,VLOOKUP(A141,[1]!CPIndex,6),0)</f>
        <v>0.00220257818540735</v>
      </c>
      <c r="E141" s="576" t="n">
        <v>211.824693425315</v>
      </c>
      <c r="F141" s="577" t="n">
        <f aca="false">IF(VLOOKUP(A141,[1]!CPIndex,2)=0,(F140*EXP(IF(driftswitch=1,D141,$C$4)-1/2*$D$4^2+$D$4*B141)),VLOOKUP(A141,[1]!CPIndex,2))</f>
        <v>212.358738903757</v>
      </c>
      <c r="G141" s="585" t="n">
        <f aca="false">IF(shiftswitch4=1,(F141-F140)/F140,(E141-E140)/E140)</f>
        <v>0.00220423963198099</v>
      </c>
      <c r="H141" s="578" t="n">
        <f aca="false">G141+1</f>
        <v>1.00220423963198</v>
      </c>
    </row>
    <row r="142" customFormat="false" ht="12.75" hidden="false" customHeight="false" outlineLevel="0" collapsed="false">
      <c r="A142" s="575" t="n">
        <v>39387</v>
      </c>
      <c r="B142" s="190" t="n">
        <v>-0.00195623460942733</v>
      </c>
      <c r="C142" s="576" t="n">
        <v>0.00219919646643857</v>
      </c>
      <c r="D142" s="577" t="n">
        <f aca="false">IF(VLOOKUP(A142,[1]!CPIndex,2)=0,VLOOKUP(A142,[1]!CPIndex,6),0)</f>
        <v>0.00219919646643857</v>
      </c>
      <c r="E142" s="576" t="n">
        <v>212.290887900259</v>
      </c>
      <c r="F142" s="577" t="n">
        <f aca="false">IF(VLOOKUP(A142,[1]!CPIndex,2)=0,(F141*EXP(IF(driftswitch=1,D142,$C$4)-1/2*$D$4^2+$D$4*B142)),VLOOKUP(A142,[1]!CPIndex,2))</f>
        <v>212.82559397919</v>
      </c>
      <c r="G142" s="585" t="n">
        <f aca="false">IF(shiftswitch4=1,(F142-F141)/F141,(E142-E141)/E141)</f>
        <v>0.00220085046462383</v>
      </c>
      <c r="H142" s="578" t="n">
        <f aca="false">G142+1</f>
        <v>1.00220085046462</v>
      </c>
    </row>
    <row r="143" customFormat="false" ht="12.75" hidden="false" customHeight="false" outlineLevel="0" collapsed="false">
      <c r="A143" s="575" t="n">
        <v>39417</v>
      </c>
      <c r="B143" s="190" t="n">
        <v>-0.0113267484674905</v>
      </c>
      <c r="C143" s="576" t="n">
        <v>0.00219581461023179</v>
      </c>
      <c r="D143" s="577" t="n">
        <f aca="false">IF(VLOOKUP(A143,[1]!CPIndex,2)=0,VLOOKUP(A143,[1]!CPIndex,6),0)</f>
        <v>0.00219581461023179</v>
      </c>
      <c r="E143" s="576" t="n">
        <v>212.757388883417</v>
      </c>
      <c r="F143" s="577" t="n">
        <f aca="false">IF(VLOOKUP(A143,[1]!CPIndex,2)=0,(F142*EXP(IF(driftswitch=1,D143,$C$4)-1/2*$D$4^2+$D$4*B143)),VLOOKUP(A143,[1]!CPIndex,2))</f>
        <v>213.290282969567</v>
      </c>
      <c r="G143" s="585" t="n">
        <f aca="false">IF(shiftswitch4=1,(F143-F142)/F142,(E143-E142)/E142)</f>
        <v>0.00219746117118833</v>
      </c>
      <c r="H143" s="578" t="n">
        <f aca="false">G143+1</f>
        <v>1.00219746117119</v>
      </c>
    </row>
    <row r="144" customFormat="false" ht="12.75" hidden="false" customHeight="false" outlineLevel="0" collapsed="false">
      <c r="A144" s="575" t="n">
        <v>39448</v>
      </c>
      <c r="B144" s="190" t="n">
        <v>0.0212931829625936</v>
      </c>
      <c r="C144" s="576" t="n">
        <v>0.00219243261677612</v>
      </c>
      <c r="D144" s="577" t="n">
        <f aca="false">IF(VLOOKUP(A144,[1]!CPIndex,2)=0,VLOOKUP(A144,[1]!CPIndex,6),0)</f>
        <v>0.00219243261677612</v>
      </c>
      <c r="E144" s="576" t="n">
        <v>213.224193860324</v>
      </c>
      <c r="F144" s="577" t="n">
        <f aca="false">IF(VLOOKUP(A144,[1]!CPIndex,2)=0,(F143*EXP(IF(driftswitch=1,D144,$C$4)-1/2*$D$4^2+$D$4*B144)),VLOOKUP(A144,[1]!CPIndex,2))</f>
        <v>213.763884756706</v>
      </c>
      <c r="G144" s="585" t="n">
        <f aca="false">IF(shiftswitch4=1,(F144-F143)/F143,(E144-E143)/E143)</f>
        <v>0.00219407175166481</v>
      </c>
      <c r="H144" s="578" t="n">
        <f aca="false">G144+1</f>
        <v>1.00219407175166</v>
      </c>
    </row>
    <row r="145" customFormat="false" ht="12.75" hidden="false" customHeight="false" outlineLevel="0" collapsed="false">
      <c r="A145" s="575" t="n">
        <v>39479</v>
      </c>
      <c r="B145" s="190" t="n">
        <v>-0.00266253357699855</v>
      </c>
      <c r="C145" s="576" t="n">
        <v>0.00218905048606047</v>
      </c>
      <c r="D145" s="577" t="n">
        <f aca="false">IF(VLOOKUP(A145,[1]!CPIndex,2)=0,VLOOKUP(A145,[1]!CPIndex,6),0)</f>
        <v>0.00218905048606047</v>
      </c>
      <c r="E145" s="576" t="n">
        <v>213.691300307712</v>
      </c>
      <c r="F145" s="577" t="n">
        <f aca="false">IF(VLOOKUP(A145,[1]!CPIndex,2)=0,(F144*EXP(IF(driftswitch=1,D145,$C$4)-1/2*$D$4^2+$D$4*B145)),VLOOKUP(A145,[1]!CPIndex,2))</f>
        <v>214.231468261285</v>
      </c>
      <c r="G145" s="585" t="n">
        <f aca="false">IF(shiftswitch4=1,(F145-F144)/F144,(E145-E144)/E144)</f>
        <v>0.00219068220604361</v>
      </c>
      <c r="H145" s="578" t="n">
        <f aca="false">G145+1</f>
        <v>1.00219068220604</v>
      </c>
    </row>
    <row r="146" customFormat="false" ht="12.75" hidden="false" customHeight="false" outlineLevel="0" collapsed="false">
      <c r="A146" s="575" t="n">
        <v>39508</v>
      </c>
      <c r="B146" s="190" t="n">
        <v>-0.00647851891725578</v>
      </c>
      <c r="C146" s="576" t="n">
        <v>0.00218566821807351</v>
      </c>
      <c r="D146" s="577" t="n">
        <f aca="false">IF(VLOOKUP(A146,[1]!CPIndex,2)=0,VLOOKUP(A146,[1]!CPIndex,6),0)</f>
        <v>0.00218566821807351</v>
      </c>
      <c r="E146" s="576" t="n">
        <v>214.158705693523</v>
      </c>
      <c r="F146" s="577" t="n">
        <f aca="false">IF(VLOOKUP(A146,[1]!CPIndex,2)=0,(F145*EXP(IF(driftswitch=1,D146,$C$4)-1/2*$D$4^2+$D$4*B146)),VLOOKUP(A146,[1]!CPIndex,2))</f>
        <v>214.698335422104</v>
      </c>
      <c r="G146" s="585" t="n">
        <f aca="false">IF(shiftswitch4=1,(F146-F145)/F145,(E146-E145)/E145)</f>
        <v>0.00218729253431465</v>
      </c>
      <c r="H146" s="578" t="n">
        <f aca="false">G146+1</f>
        <v>1.00218729253431</v>
      </c>
    </row>
    <row r="147" customFormat="false" ht="12.75" hidden="false" customHeight="false" outlineLevel="0" collapsed="false">
      <c r="A147" s="575" t="n">
        <v>39539</v>
      </c>
      <c r="B147" s="190" t="n">
        <v>-0.0309015132464019</v>
      </c>
      <c r="C147" s="576" t="n">
        <v>0.00218228581280392</v>
      </c>
      <c r="D147" s="577" t="n">
        <f aca="false">IF(VLOOKUP(A147,[1]!CPIndex,2)=0,VLOOKUP(A147,[1]!CPIndex,6),0)</f>
        <v>0.00218228581280392</v>
      </c>
      <c r="E147" s="576" t="n">
        <v>214.626407476926</v>
      </c>
      <c r="F147" s="577" t="n">
        <f aca="false">IF(VLOOKUP(A147,[1]!CPIndex,2)=0,(F146*EXP(IF(driftswitch=1,D147,$C$4)-1/2*$D$4^2+$D$4*B147)),VLOOKUP(A147,[1]!CPIndex,2))</f>
        <v>215.15899513774</v>
      </c>
      <c r="G147" s="585" t="n">
        <f aca="false">IF(shiftswitch4=1,(F147-F146)/F146,(E147-E146)/E146)</f>
        <v>0.00218390273646828</v>
      </c>
      <c r="H147" s="578" t="n">
        <f aca="false">G147+1</f>
        <v>1.00218390273647</v>
      </c>
    </row>
    <row r="148" customFormat="false" ht="12.75" hidden="false" customHeight="false" outlineLevel="0" collapsed="false">
      <c r="A148" s="575" t="n">
        <v>39569</v>
      </c>
      <c r="B148" s="190" t="n">
        <v>-0.000807659640392917</v>
      </c>
      <c r="C148" s="576" t="n">
        <v>0.00217890327024103</v>
      </c>
      <c r="D148" s="577" t="n">
        <f aca="false">IF(VLOOKUP(A148,[1]!CPIndex,2)=0,VLOOKUP(A148,[1]!CPIndex,6),0)</f>
        <v>0.00217890327024103</v>
      </c>
      <c r="E148" s="576" t="n">
        <v>215.094403108329</v>
      </c>
      <c r="F148" s="577" t="n">
        <f aca="false">IF(VLOOKUP(A148,[1]!CPIndex,2)=0,(F147*EXP(IF(driftswitch=1,D148,$C$4)-1/2*$D$4^2+$D$4*B148)),VLOOKUP(A148,[1]!CPIndex,2))</f>
        <v>215.627936761648</v>
      </c>
      <c r="G148" s="585" t="n">
        <f aca="false">IF(shiftswitch4=1,(F148-F147)/F147,(E148-E147)/E147)</f>
        <v>0.00218051281249482</v>
      </c>
      <c r="H148" s="578" t="n">
        <f aca="false">G148+1</f>
        <v>1.00218051281249</v>
      </c>
    </row>
    <row r="149" customFormat="false" ht="12.75" hidden="false" customHeight="false" outlineLevel="0" collapsed="false">
      <c r="A149" s="575" t="n">
        <v>39600</v>
      </c>
      <c r="B149" s="190" t="n">
        <v>0.00824043347885438</v>
      </c>
      <c r="C149" s="576" t="n">
        <v>0.00217552059037331</v>
      </c>
      <c r="D149" s="577" t="n">
        <f aca="false">IF(VLOOKUP(A149,[1]!CPIndex,2)=0,VLOOKUP(A149,[1]!CPIndex,6),0)</f>
        <v>0.00217552059037331</v>
      </c>
      <c r="E149" s="576" t="n">
        <v>215.562690029397</v>
      </c>
      <c r="F149" s="577" t="n">
        <f aca="false">IF(VLOOKUP(A149,[1]!CPIndex,2)=0,(F148*EXP(IF(driftswitch=1,D149,$C$4)-1/2*$D$4^2+$D$4*B149)),VLOOKUP(A149,[1]!CPIndex,2))</f>
        <v>216.099586940034</v>
      </c>
      <c r="G149" s="585" t="n">
        <f aca="false">IF(shiftswitch4=1,(F149-F148)/F148,(E149-E148)/E148)</f>
        <v>0.00217712276238386</v>
      </c>
      <c r="H149" s="578" t="n">
        <f aca="false">G149+1</f>
        <v>1.00217712276238</v>
      </c>
    </row>
    <row r="150" customFormat="false" ht="12.75" hidden="false" customHeight="false" outlineLevel="0" collapsed="false">
      <c r="A150" s="575" t="n">
        <v>39630</v>
      </c>
      <c r="B150" s="190" t="n">
        <v>-0.103742932760013</v>
      </c>
      <c r="C150" s="576" t="n">
        <v>0.00217213777318964</v>
      </c>
      <c r="D150" s="577" t="n">
        <f aca="false">IF(VLOOKUP(A150,[1]!CPIndex,2)=0,VLOOKUP(A150,[1]!CPIndex,6),0)</f>
        <v>0.00217213777318964</v>
      </c>
      <c r="E150" s="576" t="n">
        <v>216.031265673067</v>
      </c>
      <c r="F150" s="577" t="n">
        <f aca="false">IF(VLOOKUP(A150,[1]!CPIndex,2)=0,(F149*EXP(IF(driftswitch=1,D150,$C$4)-1/2*$D$4^2+$D$4*B150)),VLOOKUP(A150,[1]!CPIndex,2))</f>
        <v>216.541552878913</v>
      </c>
      <c r="G150" s="585" t="n">
        <f aca="false">IF(shiftswitch4=1,(F150-F149)/F149,(E150-E149)/E149)</f>
        <v>0.00217373258612613</v>
      </c>
      <c r="H150" s="578" t="n">
        <f aca="false">G150+1</f>
        <v>1.00217373258613</v>
      </c>
    </row>
    <row r="151" customFormat="false" ht="12.75" hidden="false" customHeight="false" outlineLevel="0" collapsed="false">
      <c r="A151" s="575" t="n">
        <v>39661</v>
      </c>
      <c r="B151" s="190" t="n">
        <v>-0.045196224073803</v>
      </c>
      <c r="C151" s="576" t="n">
        <v>0.00216875481867914</v>
      </c>
      <c r="D151" s="577" t="n">
        <f aca="false">IF(VLOOKUP(A151,[1]!CPIndex,2)=0,VLOOKUP(A151,[1]!CPIndex,6),0)</f>
        <v>0.00216875481867914</v>
      </c>
      <c r="E151" s="576" t="n">
        <v>216.500127463561</v>
      </c>
      <c r="F151" s="577" t="n">
        <f aca="false">IF(VLOOKUP(A151,[1]!CPIndex,2)=0,(F150*EXP(IF(driftswitch=1,D151,$C$4)-1/2*$D$4^2+$D$4*B151)),VLOOKUP(A151,[1]!CPIndex,2))</f>
        <v>216.999395903455</v>
      </c>
      <c r="G151" s="585" t="n">
        <f aca="false">IF(shiftswitch4=1,(F151-F150)/F150,(E151-E150)/E150)</f>
        <v>0.00217034228371178</v>
      </c>
      <c r="H151" s="578" t="n">
        <f aca="false">G151+1</f>
        <v>1.00217034228371</v>
      </c>
    </row>
    <row r="152" customFormat="false" ht="12.75" hidden="false" customHeight="false" outlineLevel="0" collapsed="false">
      <c r="A152" s="575" t="n">
        <v>39692</v>
      </c>
      <c r="B152" s="190" t="n">
        <v>0.0882122964283559</v>
      </c>
      <c r="C152" s="576" t="n">
        <v>0.0021653717268305</v>
      </c>
      <c r="D152" s="577" t="n">
        <f aca="false">IF(VLOOKUP(A152,[1]!CPIndex,2)=0,VLOOKUP(A152,[1]!CPIndex,6),0)</f>
        <v>0.0021653717268305</v>
      </c>
      <c r="E152" s="576" t="n">
        <v>216.969272816405</v>
      </c>
      <c r="F152" s="577" t="n">
        <f aca="false">IF(VLOOKUP(A152,[1]!CPIndex,2)=0,(F151*EXP(IF(driftswitch=1,D152,$C$4)-1/2*$D$4^2+$D$4*B152)),VLOOKUP(A152,[1]!CPIndex,2))</f>
        <v>217.493342651605</v>
      </c>
      <c r="G152" s="585" t="n">
        <f aca="false">IF(shiftswitch4=1,(F152-F151)/F151,(E152-E151)/E151)</f>
        <v>0.00216695185513104</v>
      </c>
      <c r="H152" s="578" t="n">
        <f aca="false">G152+1</f>
        <v>1.00216695185513</v>
      </c>
    </row>
    <row r="153" customFormat="false" ht="12.75" hidden="false" customHeight="false" outlineLevel="0" collapsed="false">
      <c r="A153" s="575" t="n">
        <v>39722</v>
      </c>
      <c r="B153" s="190" t="n">
        <v>-0.00841934311505789</v>
      </c>
      <c r="C153" s="576" t="n">
        <v>0.00216198849763238</v>
      </c>
      <c r="D153" s="577" t="n">
        <f aca="false">IF(VLOOKUP(A153,[1]!CPIndex,2)=0,VLOOKUP(A153,[1]!CPIndex,6),0)</f>
        <v>0.00216198849763238</v>
      </c>
      <c r="E153" s="576" t="n">
        <v>217.43869913844</v>
      </c>
      <c r="F153" s="577" t="n">
        <f aca="false">IF(VLOOKUP(A153,[1]!CPIndex,2)=0,(F152*EXP(IF(driftswitch=1,D153,$C$4)-1/2*$D$4^2+$D$4*B153)),VLOOKUP(A153,[1]!CPIndex,2))</f>
        <v>217.961633934144</v>
      </c>
      <c r="G153" s="585" t="n">
        <f aca="false">IF(shiftswitch4=1,(F153-F152)/F152,(E153-E152)/E152)</f>
        <v>0.00216356130037366</v>
      </c>
      <c r="H153" s="578" t="n">
        <f aca="false">G153+1</f>
        <v>1.00216356130037</v>
      </c>
    </row>
    <row r="154" customFormat="false" ht="12.75" hidden="false" customHeight="false" outlineLevel="0" collapsed="false">
      <c r="A154" s="575" t="n">
        <v>39753</v>
      </c>
      <c r="B154" s="190" t="n">
        <v>0.0114276563001391</v>
      </c>
      <c r="C154" s="576" t="n">
        <v>0.00215860513107412</v>
      </c>
      <c r="D154" s="577" t="n">
        <f aca="false">IF(VLOOKUP(A154,[1]!CPIndex,2)=0,VLOOKUP(A154,[1]!CPIndex,6),0)</f>
        <v>0.00215860513107412</v>
      </c>
      <c r="E154" s="576" t="n">
        <v>217.908403827846</v>
      </c>
      <c r="F154" s="577" t="n">
        <f aca="false">IF(VLOOKUP(A154,[1]!CPIndex,2)=0,(F153*EXP(IF(driftswitch=1,D154,$C$4)-1/2*$D$4^2+$D$4*B154)),VLOOKUP(A154,[1]!CPIndex,2))</f>
        <v>218.435554505697</v>
      </c>
      <c r="G154" s="585" t="n">
        <f aca="false">IF(shiftswitch4=1,(F154-F153)/F153,(E154-E153)/E153)</f>
        <v>0.00216017061943029</v>
      </c>
      <c r="H154" s="578" t="n">
        <f aca="false">G154+1</f>
        <v>1.00216017061943</v>
      </c>
    </row>
    <row r="155" customFormat="false" ht="12.75" hidden="false" customHeight="false" outlineLevel="0" collapsed="false">
      <c r="A155" s="575" t="n">
        <v>39783</v>
      </c>
      <c r="B155" s="190" t="n">
        <v>0.0418480628586282</v>
      </c>
      <c r="C155" s="576" t="n">
        <v>0.00215522162714396</v>
      </c>
      <c r="D155" s="577" t="n">
        <f aca="false">IF(VLOOKUP(A155,[1]!CPIndex,2)=0,VLOOKUP(A155,[1]!CPIndex,6),0)</f>
        <v>0.00215522162714396</v>
      </c>
      <c r="E155" s="576" t="n">
        <v>218.378384274151</v>
      </c>
      <c r="F155" s="577" t="n">
        <f aca="false">IF(VLOOKUP(A155,[1]!CPIndex,2)=0,(F154*EXP(IF(driftswitch=1,D155,$C$4)-1/2*$D$4^2+$D$4*B155)),VLOOKUP(A155,[1]!CPIndex,2))</f>
        <v>218.917998505963</v>
      </c>
      <c r="G155" s="585" t="n">
        <f aca="false">IF(shiftswitch4=1,(F155-F154)/F154,(E155-E154)/E154)</f>
        <v>0.00215677981229084</v>
      </c>
      <c r="H155" s="578" t="n">
        <f aca="false">G155+1</f>
        <v>1.00215677981229</v>
      </c>
    </row>
    <row r="156" customFormat="false" ht="12.75" hidden="false" customHeight="false" outlineLevel="0" collapsed="false">
      <c r="A156" s="575" t="n">
        <v>39814</v>
      </c>
      <c r="B156" s="190" t="n">
        <v>0.0119850871790611</v>
      </c>
      <c r="C156" s="576" t="n">
        <v>0.00215251472508493</v>
      </c>
      <c r="D156" s="577" t="n">
        <f aca="false">IF(VLOOKUP(A156,[1]!CPIndex,2)=0,VLOOKUP(A156,[1]!CPIndex,6),0)</f>
        <v>0.00215251472508493</v>
      </c>
      <c r="E156" s="576" t="n">
        <v>218.848785961763</v>
      </c>
      <c r="F156" s="577" t="n">
        <f aca="false">IF(VLOOKUP(A156,[1]!CPIndex,2)=0,(F155*EXP(IF(driftswitch=1,D156,$C$4)-1/2*$D$4^2+$D$4*B156)),VLOOKUP(A156,[1]!CPIndex,2))</f>
        <v>219.39281354093</v>
      </c>
      <c r="G156" s="585" t="n">
        <f aca="false">IF(shiftswitch4=1,(F156-F155)/F155,(E156-E155)/E155)</f>
        <v>0.00215406707571164</v>
      </c>
      <c r="H156" s="578" t="n">
        <f aca="false">G156+1</f>
        <v>1.00215406707571</v>
      </c>
    </row>
    <row r="157" customFormat="false" ht="12.75" hidden="false" customHeight="false" outlineLevel="0" collapsed="false">
      <c r="A157" s="575" t="n">
        <v>39845</v>
      </c>
      <c r="B157" s="190" t="n">
        <v>0.0143110737108024</v>
      </c>
      <c r="C157" s="576" t="n">
        <v>0.00214980773509509</v>
      </c>
      <c r="D157" s="577" t="n">
        <f aca="false">IF(VLOOKUP(A157,[1]!CPIndex,2)=0,VLOOKUP(A157,[1]!CPIndex,6),0)</f>
        <v>0.00214980773509509</v>
      </c>
      <c r="E157" s="576" t="n">
        <v>219.319607229378</v>
      </c>
      <c r="F157" s="577" t="n">
        <f aca="false">IF(VLOOKUP(A157,[1]!CPIndex,2)=0,(F156*EXP(IF(driftswitch=1,D157,$C$4)-1/2*$D$4^2+$D$4*B157)),VLOOKUP(A157,[1]!CPIndex,2))</f>
        <v>219.868695530432</v>
      </c>
      <c r="G157" s="585" t="n">
        <f aca="false">IF(shiftswitch4=1,(F157-F156)/F156,(E157-E156)/E156)</f>
        <v>0.00215135425835555</v>
      </c>
      <c r="H157" s="578" t="n">
        <f aca="false">G157+1</f>
        <v>1.00215135425836</v>
      </c>
    </row>
    <row r="158" customFormat="false" ht="12.75" hidden="false" customHeight="false" outlineLevel="0" collapsed="false">
      <c r="A158" s="575" t="n">
        <v>39873</v>
      </c>
      <c r="B158" s="190" t="n">
        <v>-0.0780451541483729</v>
      </c>
      <c r="C158" s="576" t="n">
        <v>0.00214710065716887</v>
      </c>
      <c r="D158" s="577" t="n">
        <f aca="false">IF(VLOOKUP(A158,[1]!CPIndex,2)=0,VLOOKUP(A158,[1]!CPIndex,6),0)</f>
        <v>0.00214710065716887</v>
      </c>
      <c r="E158" s="576" t="n">
        <v>219.790846408577</v>
      </c>
      <c r="F158" s="577" t="n">
        <f aca="false">IF(VLOOKUP(A158,[1]!CPIndex,2)=0,(F157*EXP(IF(driftswitch=1,D158,$C$4)-1/2*$D$4^2+$D$4*B158)),VLOOKUP(A158,[1]!CPIndex,2))</f>
        <v>220.31985394184</v>
      </c>
      <c r="G158" s="585" t="n">
        <f aca="false">IF(shiftswitch4=1,(F158-F157)/F157,(E158-E157)/E157)</f>
        <v>0.00214864136021764</v>
      </c>
      <c r="H158" s="578" t="n">
        <f aca="false">G158+1</f>
        <v>1.00214864136022</v>
      </c>
    </row>
    <row r="159" customFormat="false" ht="12.75" hidden="false" customHeight="false" outlineLevel="0" collapsed="false">
      <c r="A159" s="575" t="n">
        <v>39904</v>
      </c>
      <c r="B159" s="190" t="n">
        <v>-0.0561888092774063</v>
      </c>
      <c r="C159" s="576" t="n">
        <v>0.00214439349130049</v>
      </c>
      <c r="D159" s="577" t="n">
        <f aca="false">IF(VLOOKUP(A159,[1]!CPIndex,2)=0,VLOOKUP(A159,[1]!CPIndex,6),0)</f>
        <v>0.00214439349130049</v>
      </c>
      <c r="E159" s="576" t="n">
        <v>220.262501823834</v>
      </c>
      <c r="F159" s="577" t="n">
        <f aca="false">IF(VLOOKUP(A159,[1]!CPIndex,2)=0,(F158*EXP(IF(driftswitch=1,D159,$C$4)-1/2*$D$4^2+$D$4*B159)),VLOOKUP(A159,[1]!CPIndex,2))</f>
        <v>220.777306399398</v>
      </c>
      <c r="G159" s="585" t="n">
        <f aca="false">IF(shiftswitch4=1,(F159-F158)/F158,(E159-E158)/E158)</f>
        <v>0.00214592838129301</v>
      </c>
      <c r="H159" s="578" t="n">
        <f aca="false">G159+1</f>
        <v>1.00214592838129</v>
      </c>
    </row>
    <row r="160" customFormat="false" ht="12.75" hidden="false" customHeight="false" outlineLevel="0" collapsed="false">
      <c r="A160" s="575" t="n">
        <v>39934</v>
      </c>
      <c r="B160" s="190" t="n">
        <v>0.0438265185128228</v>
      </c>
      <c r="C160" s="576" t="n">
        <v>0.00214168623748436</v>
      </c>
      <c r="D160" s="577" t="n">
        <f aca="false">IF(VLOOKUP(A160,[1]!CPIndex,2)=0,VLOOKUP(A160,[1]!CPIndex,6),0)</f>
        <v>0.00214168623748436</v>
      </c>
      <c r="E160" s="576" t="n">
        <v>220.734571792511</v>
      </c>
      <c r="F160" s="577" t="n">
        <f aca="false">IF(VLOOKUP(A160,[1]!CPIndex,2)=0,(F159*EXP(IF(driftswitch=1,D160,$C$4)-1/2*$D$4^2+$D$4*B160)),VLOOKUP(A160,[1]!CPIndex,2))</f>
        <v>221.262468821112</v>
      </c>
      <c r="G160" s="585" t="n">
        <f aca="false">IF(shiftswitch4=1,(F160-F159)/F159,(E160-E159)/E159)</f>
        <v>0.00214321532157658</v>
      </c>
      <c r="H160" s="578" t="n">
        <f aca="false">G160+1</f>
        <v>1.00214321532158</v>
      </c>
    </row>
    <row r="161" customFormat="false" ht="12.75" hidden="false" customHeight="false" outlineLevel="0" collapsed="false">
      <c r="A161" s="575" t="n">
        <v>39965</v>
      </c>
      <c r="B161" s="190" t="n">
        <v>0.024604807867479</v>
      </c>
      <c r="C161" s="576" t="n">
        <v>0.00213897889571492</v>
      </c>
      <c r="D161" s="577" t="n">
        <f aca="false">IF(VLOOKUP(A161,[1]!CPIndex,2)=0,VLOOKUP(A161,[1]!CPIndex,6),0)</f>
        <v>0.00213897889571492</v>
      </c>
      <c r="E161" s="576" t="n">
        <v>221.207054624869</v>
      </c>
      <c r="F161" s="577" t="n">
        <f aca="false">IF(VLOOKUP(A161,[1]!CPIndex,2)=0,(F160*EXP(IF(driftswitch=1,D161,$C$4)-1/2*$D$4^2+$D$4*B161)),VLOOKUP(A161,[1]!CPIndex,2))</f>
        <v>221.742827164925</v>
      </c>
      <c r="G161" s="585" t="n">
        <f aca="false">IF(shiftswitch4=1,(F161-F160)/F160,(E161-E160)/E160)</f>
        <v>0.00214050218106341</v>
      </c>
      <c r="H161" s="578" t="n">
        <f aca="false">G161+1</f>
        <v>1.00214050218106</v>
      </c>
    </row>
    <row r="162" customFormat="false" ht="12.75" hidden="false" customHeight="false" outlineLevel="0" collapsed="false">
      <c r="A162" s="575" t="n">
        <v>39995</v>
      </c>
      <c r="B162" s="190" t="n">
        <v>-0.0340941328021248</v>
      </c>
      <c r="C162" s="576" t="n">
        <v>0.00213627146598595</v>
      </c>
      <c r="D162" s="577" t="n">
        <f aca="false">IF(VLOOKUP(A162,[1]!CPIndex,2)=0,VLOOKUP(A162,[1]!CPIndex,6),0)</f>
        <v>0.00213627146598595</v>
      </c>
      <c r="E162" s="576" t="n">
        <v>221.679948624065</v>
      </c>
      <c r="F162" s="577" t="n">
        <f aca="false">IF(VLOOKUP(A162,[1]!CPIndex,2)=0,(F161*EXP(IF(driftswitch=1,D162,$C$4)-1/2*$D$4^2+$D$4*B162)),VLOOKUP(A162,[1]!CPIndex,2))</f>
        <v>222.207499506954</v>
      </c>
      <c r="G162" s="585" t="n">
        <f aca="false">IF(shiftswitch4=1,(F162-F161)/F161,(E162-E161)/E161)</f>
        <v>0.0021377889597482</v>
      </c>
      <c r="H162" s="578" t="n">
        <f aca="false">G162+1</f>
        <v>1.00213778895975</v>
      </c>
    </row>
    <row r="163" customFormat="false" ht="12.75" hidden="false" customHeight="false" outlineLevel="0" collapsed="false">
      <c r="A163" s="575" t="n">
        <v>40026</v>
      </c>
      <c r="B163" s="190" t="n">
        <v>0.011171690847477</v>
      </c>
      <c r="C163" s="576" t="n">
        <v>0.00213356394829208</v>
      </c>
      <c r="D163" s="577" t="n">
        <f aca="false">IF(VLOOKUP(A163,[1]!CPIndex,2)=0,VLOOKUP(A163,[1]!CPIndex,6),0)</f>
        <v>0.00213356394829208</v>
      </c>
      <c r="E163" s="576" t="n">
        <v>222.153252086156</v>
      </c>
      <c r="F163" s="577" t="n">
        <f aca="false">IF(VLOOKUP(A163,[1]!CPIndex,2)=0,(F162*EXP(IF(driftswitch=1,D163,$C$4)-1/2*$D$4^2+$D$4*B163)),VLOOKUP(A163,[1]!CPIndex,2))</f>
        <v>222.685005151289</v>
      </c>
      <c r="G163" s="585" t="n">
        <f aca="false">IF(shiftswitch4=1,(F163-F162)/F162,(E163-E162)/E162)</f>
        <v>0.00213507565762588</v>
      </c>
      <c r="H163" s="578" t="n">
        <f aca="false">G163+1</f>
        <v>1.00213507565763</v>
      </c>
    </row>
    <row r="164" customFormat="false" ht="12.75" hidden="false" customHeight="false" outlineLevel="0" collapsed="false">
      <c r="A164" s="575" t="n">
        <v>40057</v>
      </c>
      <c r="B164" s="190" t="n">
        <v>0.0114153106813684</v>
      </c>
      <c r="C164" s="576" t="n">
        <v>0.00213085634262753</v>
      </c>
      <c r="D164" s="577" t="n">
        <f aca="false">IF(VLOOKUP(A164,[1]!CPIndex,2)=0,VLOOKUP(A164,[1]!CPIndex,6),0)</f>
        <v>0.00213085634262753</v>
      </c>
      <c r="E164" s="576" t="n">
        <v>222.626963300105</v>
      </c>
      <c r="F164" s="577" t="n">
        <f aca="false">IF(VLOOKUP(A164,[1]!CPIndex,2)=0,(F163*EXP(IF(driftswitch=1,D164,$C$4)-1/2*$D$4^2+$D$4*B164)),VLOOKUP(A164,[1]!CPIndex,2))</f>
        <v>223.162999896473</v>
      </c>
      <c r="G164" s="585" t="n">
        <f aca="false">IF(shiftswitch4=1,(F164-F163)/F163,(E164-E163)/E163)</f>
        <v>0.00213236227469187</v>
      </c>
      <c r="H164" s="578" t="n">
        <f aca="false">G164+1</f>
        <v>1.00213236227469</v>
      </c>
    </row>
    <row r="165" customFormat="false" ht="12.75" hidden="false" customHeight="false" outlineLevel="0" collapsed="false">
      <c r="A165" s="575" t="n">
        <v>40087</v>
      </c>
      <c r="B165" s="190" t="n">
        <v>-0.0354266419154204</v>
      </c>
      <c r="C165" s="576" t="n">
        <v>0.00212814864898652</v>
      </c>
      <c r="D165" s="577" t="n">
        <f aca="false">IF(VLOOKUP(A165,[1]!CPIndex,2)=0,VLOOKUP(A165,[1]!CPIndex,6),0)</f>
        <v>0.00212814864898652</v>
      </c>
      <c r="E165" s="576" t="n">
        <v>223.10108054778</v>
      </c>
      <c r="F165" s="577" t="n">
        <f aca="false">IF(VLOOKUP(A165,[1]!CPIndex,2)=0,(F164*EXP(IF(driftswitch=1,D165,$C$4)-1/2*$D$4^2+$D$4*B165)),VLOOKUP(A165,[1]!CPIndex,2))</f>
        <v>223.62846334532</v>
      </c>
      <c r="G165" s="585" t="n">
        <f aca="false">IF(shiftswitch4=1,(F165-F164)/F164,(E165-E164)/E164)</f>
        <v>0.00212964881094077</v>
      </c>
      <c r="H165" s="578" t="n">
        <f aca="false">G165+1</f>
        <v>1.00212964881094</v>
      </c>
    </row>
    <row r="166" customFormat="false" ht="12.75" hidden="false" customHeight="false" outlineLevel="0" collapsed="false">
      <c r="A166" s="575" t="n">
        <v>40118</v>
      </c>
      <c r="B166" s="190" t="n">
        <v>0.00758998162182533</v>
      </c>
      <c r="C166" s="576" t="n">
        <v>0.00212544086736346</v>
      </c>
      <c r="D166" s="577" t="n">
        <f aca="false">IF(VLOOKUP(A166,[1]!CPIndex,2)=0,VLOOKUP(A166,[1]!CPIndex,6),0)</f>
        <v>0.00212544086736346</v>
      </c>
      <c r="E166" s="576" t="n">
        <v>223.575602103962</v>
      </c>
      <c r="F166" s="577" t="n">
        <f aca="false">IF(VLOOKUP(A166,[1]!CPIndex,2)=0,(F165*EXP(IF(driftswitch=1,D166,$C$4)-1/2*$D$4^2+$D$4*B166)),VLOOKUP(A166,[1]!CPIndex,2))</f>
        <v>224.106209646918</v>
      </c>
      <c r="G166" s="585" t="n">
        <f aca="false">IF(shiftswitch4=1,(F166-F165)/F165,(E166-E165)/E165)</f>
        <v>0.0021269352663675</v>
      </c>
      <c r="H166" s="578" t="n">
        <f aca="false">G166+1</f>
        <v>1.00212693526637</v>
      </c>
    </row>
    <row r="167" customFormat="false" ht="12.75" hidden="false" customHeight="false" outlineLevel="0" collapsed="false">
      <c r="A167" s="575" t="n">
        <v>40148</v>
      </c>
      <c r="B167" s="190" t="n">
        <v>-0.0103504116887647</v>
      </c>
      <c r="C167" s="576" t="n">
        <v>0.00212273299775257</v>
      </c>
      <c r="D167" s="577" t="n">
        <f aca="false">IF(VLOOKUP(A167,[1]!CPIndex,2)=0,VLOOKUP(A167,[1]!CPIndex,6),0)</f>
        <v>0.00212273299775257</v>
      </c>
      <c r="E167" s="576" t="n">
        <v>224.050526236343</v>
      </c>
      <c r="F167" s="577" t="n">
        <f aca="false">IF(VLOOKUP(A167,[1]!CPIndex,2)=0,(F166*EXP(IF(driftswitch=1,D167,$C$4)-1/2*$D$4^2+$D$4*B167)),VLOOKUP(A167,[1]!CPIndex,2))</f>
        <v>224.579386922329</v>
      </c>
      <c r="G167" s="585" t="n">
        <f aca="false">IF(shiftswitch4=1,(F167-F166)/F166,(E167-E166)/E166)</f>
        <v>0.00212422164096737</v>
      </c>
      <c r="H167" s="578" t="n">
        <f aca="false">G167+1</f>
        <v>1.00212422164097</v>
      </c>
    </row>
    <row r="168" customFormat="false" ht="12.75" hidden="false" customHeight="false" outlineLevel="0" collapsed="false">
      <c r="A168" s="575" t="n">
        <v>40179</v>
      </c>
      <c r="B168" s="190" t="n">
        <v>0.0621471163493324</v>
      </c>
      <c r="C168" s="576" t="n">
        <v>0.00212002504014806</v>
      </c>
      <c r="D168" s="577" t="n">
        <f aca="false">IF(VLOOKUP(A168,[1]!CPIndex,2)=0,VLOOKUP(A168,[1]!CPIndex,6),0)</f>
        <v>0.00212002504014806</v>
      </c>
      <c r="E168" s="576" t="n">
        <v>224.525851205535</v>
      </c>
      <c r="F168" s="577" t="n">
        <f aca="false">IF(VLOOKUP(A168,[1]!CPIndex,2)=0,(F167*EXP(IF(driftswitch=1,D168,$C$4)-1/2*$D$4^2+$D$4*B168)),VLOOKUP(A168,[1]!CPIndex,2))</f>
        <v>225.073127343625</v>
      </c>
      <c r="G168" s="585" t="n">
        <f aca="false">IF(shiftswitch4=1,(F168-F167)/F167,(E168-E167)/E167)</f>
        <v>0.00212150793473496</v>
      </c>
      <c r="H168" s="578" t="n">
        <f aca="false">G168+1</f>
        <v>1.00212150793474</v>
      </c>
    </row>
    <row r="169" customFormat="false" ht="12.75" hidden="false" customHeight="false" outlineLevel="0" collapsed="false">
      <c r="A169" s="575" t="n">
        <v>40210</v>
      </c>
      <c r="B169" s="190" t="n">
        <v>-0.0504785528757917</v>
      </c>
      <c r="C169" s="576" t="n">
        <v>0.00211731699454435</v>
      </c>
      <c r="D169" s="577" t="n">
        <f aca="false">IF(VLOOKUP(A169,[1]!CPIndex,2)=0,VLOOKUP(A169,[1]!CPIndex,6),0)</f>
        <v>0.00211731699454435</v>
      </c>
      <c r="E169" s="576" t="n">
        <v>225.001575265069</v>
      </c>
      <c r="F169" s="577" t="n">
        <f aca="false">IF(VLOOKUP(A169,[1]!CPIndex,2)=0,(F168*EXP(IF(driftswitch=1,D169,$C$4)-1/2*$D$4^2+$D$4*B169)),VLOOKUP(A169,[1]!CPIndex,2))</f>
        <v>225.535934607586</v>
      </c>
      <c r="G169" s="585" t="n">
        <f aca="false">IF(shiftswitch4=1,(F169-F168)/F168,(E169-E168)/E168)</f>
        <v>0.00211879414766569</v>
      </c>
      <c r="H169" s="578" t="n">
        <f aca="false">G169+1</f>
        <v>1.00211879414767</v>
      </c>
    </row>
    <row r="170" customFormat="false" ht="12.75" hidden="false" customHeight="false" outlineLevel="0" collapsed="false">
      <c r="A170" s="575" t="n">
        <v>40238</v>
      </c>
      <c r="B170" s="190" t="n">
        <v>-0.0685770314949901</v>
      </c>
      <c r="C170" s="576" t="n">
        <v>0.00211460886093566</v>
      </c>
      <c r="D170" s="577" t="n">
        <f aca="false">IF(VLOOKUP(A170,[1]!CPIndex,2)=0,VLOOKUP(A170,[1]!CPIndex,6),0)</f>
        <v>0.00211460886093566</v>
      </c>
      <c r="E170" s="576" t="n">
        <v>225.477696661401</v>
      </c>
      <c r="F170" s="577" t="n">
        <f aca="false">IF(VLOOKUP(A170,[1]!CPIndex,2)=0,(F169*EXP(IF(driftswitch=1,D170,$C$4)-1/2*$D$4^2+$D$4*B170)),VLOOKUP(A170,[1]!CPIndex,2))</f>
        <v>225.994024424015</v>
      </c>
      <c r="G170" s="585" t="n">
        <f aca="false">IF(shiftswitch4=1,(F170-F169)/F169,(E170-E169)/E169)</f>
        <v>0.00211608027975422</v>
      </c>
      <c r="H170" s="578" t="n">
        <f aca="false">G170+1</f>
        <v>1.00211608027975</v>
      </c>
    </row>
    <row r="171" customFormat="false" ht="12.75" hidden="false" customHeight="false" outlineLevel="0" collapsed="false">
      <c r="A171" s="575" t="n">
        <v>40269</v>
      </c>
      <c r="B171" s="190" t="n">
        <v>0.0368470452997223</v>
      </c>
      <c r="C171" s="576" t="n">
        <v>0.0021119006393162</v>
      </c>
      <c r="D171" s="577" t="n">
        <f aca="false">IF(VLOOKUP(A171,[1]!CPIndex,2)=0,VLOOKUP(A171,[1]!CPIndex,6),0)</f>
        <v>0.0021119006393162</v>
      </c>
      <c r="E171" s="576" t="n">
        <v>225.954213633916</v>
      </c>
      <c r="F171" s="577" t="n">
        <f aca="false">IF(VLOOKUP(A171,[1]!CPIndex,2)=0,(F170*EXP(IF(driftswitch=1,D171,$C$4)-1/2*$D$4^2+$D$4*B171)),VLOOKUP(A171,[1]!CPIndex,2))</f>
        <v>226.481950231056</v>
      </c>
      <c r="G171" s="585" t="n">
        <f aca="false">IF(shiftswitch4=1,(F171-F170)/F170,(E171-E170)/E170)</f>
        <v>0.00211336633099535</v>
      </c>
      <c r="H171" s="578" t="n">
        <f aca="false">G171+1</f>
        <v>1.002113366331</v>
      </c>
    </row>
    <row r="172" customFormat="false" ht="12.75" hidden="false" customHeight="false" outlineLevel="0" collapsed="false">
      <c r="A172" s="575" t="n">
        <v>40299</v>
      </c>
      <c r="B172" s="190" t="n">
        <v>-0.0136380309745575</v>
      </c>
      <c r="C172" s="576" t="n">
        <v>0.00210919232968039</v>
      </c>
      <c r="D172" s="577" t="n">
        <f aca="false">IF(VLOOKUP(A172,[1]!CPIndex,2)=0,VLOOKUP(A172,[1]!CPIndex,6),0)</f>
        <v>0.00210919232968039</v>
      </c>
      <c r="E172" s="576" t="n">
        <v>226.43112441493</v>
      </c>
      <c r="F172" s="577" t="n">
        <f aca="false">IF(VLOOKUP(A172,[1]!CPIndex,2)=0,(F171*EXP(IF(driftswitch=1,D172,$C$4)-1/2*$D$4^2+$D$4*B172)),VLOOKUP(A172,[1]!CPIndex,2))</f>
        <v>226.956147941996</v>
      </c>
      <c r="G172" s="585" t="n">
        <f aca="false">IF(shiftswitch4=1,(F172-F171)/F171,(E172-E171)/E171)</f>
        <v>0.00211065230138434</v>
      </c>
      <c r="H172" s="578" t="n">
        <f aca="false">G172+1</f>
        <v>1.00211065230138</v>
      </c>
    </row>
    <row r="173" customFormat="false" ht="12.75" hidden="false" customHeight="false" outlineLevel="0" collapsed="false">
      <c r="A173" s="575" t="n">
        <v>40330</v>
      </c>
      <c r="B173" s="190" t="n">
        <v>-0.0415631353788408</v>
      </c>
      <c r="C173" s="576" t="n">
        <v>0.00210648393202245</v>
      </c>
      <c r="D173" s="577" t="n">
        <f aca="false">IF(VLOOKUP(A173,[1]!CPIndex,2)=0,VLOOKUP(A173,[1]!CPIndex,6),0)</f>
        <v>0.00210648393202245</v>
      </c>
      <c r="E173" s="576" t="n">
        <v>226.908427229696</v>
      </c>
      <c r="F173" s="577" t="n">
        <f aca="false">IF(VLOOKUP(A173,[1]!CPIndex,2)=0,(F172*EXP(IF(driftswitch=1,D173,$C$4)-1/2*$D$4^2+$D$4*B173)),VLOOKUP(A173,[1]!CPIndex,2))</f>
        <v>227.422870345957</v>
      </c>
      <c r="G173" s="585" t="n">
        <f aca="false">IF(shiftswitch4=1,(F173-F172)/F172,(E173-E172)/E172)</f>
        <v>0.00210793819091591</v>
      </c>
      <c r="H173" s="578" t="n">
        <f aca="false">G173+1</f>
        <v>1.00210793819092</v>
      </c>
    </row>
    <row r="174" customFormat="false" ht="12.75" hidden="false" customHeight="false" outlineLevel="0" collapsed="false">
      <c r="A174" s="575" t="n">
        <v>40360</v>
      </c>
      <c r="B174" s="190" t="n">
        <v>-0.0136941382653372</v>
      </c>
      <c r="C174" s="576" t="n">
        <v>0.00210377544633658</v>
      </c>
      <c r="D174" s="577" t="n">
        <f aca="false">IF(VLOOKUP(A174,[1]!CPIndex,2)=0,VLOOKUP(A174,[1]!CPIndex,6),0)</f>
        <v>0.00210377544633658</v>
      </c>
      <c r="E174" s="576" t="n">
        <v>227.386120296408</v>
      </c>
      <c r="F174" s="577" t="n">
        <f aca="false">IF(VLOOKUP(A174,[1]!CPIndex,2)=0,(F173*EXP(IF(driftswitch=1,D174,$C$4)-1/2*$D$4^2+$D$4*B174)),VLOOKUP(A174,[1]!CPIndex,2))</f>
        <v>227.897787804577</v>
      </c>
      <c r="G174" s="585" t="n">
        <f aca="false">IF(shiftswitch4=1,(F174-F173)/F173,(E174-E173)/E173)</f>
        <v>0.00210522399958541</v>
      </c>
      <c r="H174" s="578" t="n">
        <f aca="false">G174+1</f>
        <v>1.00210522399959</v>
      </c>
    </row>
    <row r="175" customFormat="false" ht="12.75" hidden="false" customHeight="false" outlineLevel="0" collapsed="false">
      <c r="A175" s="575" t="n">
        <v>40391</v>
      </c>
      <c r="B175" s="190" t="n">
        <v>-0.0168869819280007</v>
      </c>
      <c r="C175" s="576" t="n">
        <v>0.00210106687261698</v>
      </c>
      <c r="D175" s="577" t="n">
        <f aca="false">IF(VLOOKUP(A175,[1]!CPIndex,2)=0,VLOOKUP(A175,[1]!CPIndex,6),0)</f>
        <v>0.00210106687261698</v>
      </c>
      <c r="E175" s="576" t="n">
        <v>227.864201826204</v>
      </c>
      <c r="F175" s="577" t="n">
        <f aca="false">IF(VLOOKUP(A175,[1]!CPIndex,2)=0,(F174*EXP(IF(driftswitch=1,D175,$C$4)-1/2*$D$4^2+$D$4*B175)),VLOOKUP(A175,[1]!CPIndex,2))</f>
        <v>228.372176925751</v>
      </c>
      <c r="G175" s="585" t="n">
        <f aca="false">IF(shiftswitch4=1,(F175-F174)/F174,(E175-E174)/E174)</f>
        <v>0.00210250972738724</v>
      </c>
      <c r="H175" s="578" t="n">
        <f aca="false">G175+1</f>
        <v>1.00210250972739</v>
      </c>
    </row>
    <row r="176" customFormat="false" ht="12.75" hidden="false" customHeight="false" outlineLevel="0" collapsed="false">
      <c r="A176" s="575" t="n">
        <v>40422</v>
      </c>
      <c r="B176" s="190" t="n">
        <v>0.0234448718652697</v>
      </c>
      <c r="C176" s="576" t="n">
        <v>0.0020983582108581</v>
      </c>
      <c r="D176" s="577" t="n">
        <f aca="false">IF(VLOOKUP(A176,[1]!CPIndex,2)=0,VLOOKUP(A176,[1]!CPIndex,6),0)</f>
        <v>0.0020983582108581</v>
      </c>
      <c r="E176" s="576" t="n">
        <v>228.342670023171</v>
      </c>
      <c r="F176" s="577" t="n">
        <f aca="false">IF(VLOOKUP(A176,[1]!CPIndex,2)=0,(F175*EXP(IF(driftswitch=1,D176,$C$4)-1/2*$D$4^2+$D$4*B176)),VLOOKUP(A176,[1]!CPIndex,2))</f>
        <v>228.858345568784</v>
      </c>
      <c r="G176" s="585" t="n">
        <f aca="false">IF(shiftswitch4=1,(F176-F175)/F175,(E176-E175)/E175)</f>
        <v>0.00209979537431688</v>
      </c>
      <c r="H176" s="578" t="n">
        <f aca="false">G176+1</f>
        <v>1.00209979537432</v>
      </c>
    </row>
    <row r="177" customFormat="false" ht="12.75" hidden="false" customHeight="false" outlineLevel="0" collapsed="false">
      <c r="A177" s="575" t="n">
        <v>40452</v>
      </c>
      <c r="B177" s="190" t="n">
        <v>-0.0288987879923783</v>
      </c>
      <c r="C177" s="576" t="n">
        <v>0.00209564946105436</v>
      </c>
      <c r="D177" s="577" t="n">
        <f aca="false">IF(VLOOKUP(A177,[1]!CPIndex,2)=0,VLOOKUP(A177,[1]!CPIndex,6),0)</f>
        <v>0.00209564946105436</v>
      </c>
      <c r="E177" s="576" t="n">
        <v>228.82152308435</v>
      </c>
      <c r="F177" s="577" t="n">
        <f aca="false">IF(VLOOKUP(A177,[1]!CPIndex,2)=0,(F176*EXP(IF(driftswitch=1,D177,$C$4)-1/2*$D$4^2+$D$4*B177)),VLOOKUP(A177,[1]!CPIndex,2))</f>
        <v>229.330085917601</v>
      </c>
      <c r="G177" s="585" t="n">
        <f aca="false">IF(shiftswitch4=1,(F177-F176)/F176,(E177-E176)/E176)</f>
        <v>0.00209708094036904</v>
      </c>
      <c r="H177" s="578" t="n">
        <f aca="false">G177+1</f>
        <v>1.00209708094037</v>
      </c>
    </row>
    <row r="178" customFormat="false" ht="12.75" hidden="false" customHeight="false" outlineLevel="0" collapsed="false">
      <c r="A178" s="575" t="n">
        <v>40483</v>
      </c>
      <c r="B178" s="190" t="n">
        <v>0.00578199185897083</v>
      </c>
      <c r="C178" s="576" t="n">
        <v>0.00209294062319974</v>
      </c>
      <c r="D178" s="577" t="n">
        <f aca="false">IF(VLOOKUP(A178,[1]!CPIndex,2)=0,VLOOKUP(A178,[1]!CPIndex,6),0)</f>
        <v>0.00209294062319974</v>
      </c>
      <c r="E178" s="576" t="n">
        <v>229.300759199738</v>
      </c>
      <c r="F178" s="577" t="n">
        <f aca="false">IF(VLOOKUP(A178,[1]!CPIndex,2)=0,(F177*EXP(IF(driftswitch=1,D178,$C$4)-1/2*$D$4^2+$D$4*B178)),VLOOKUP(A178,[1]!CPIndex,2))</f>
        <v>229.812030018721</v>
      </c>
      <c r="G178" s="585" t="n">
        <f aca="false">IF(shiftswitch4=1,(F178-F177)/F177,(E178-E177)/E177)</f>
        <v>0.00209436642553881</v>
      </c>
      <c r="H178" s="578" t="n">
        <f aca="false">G178+1</f>
        <v>1.00209436642554</v>
      </c>
    </row>
    <row r="179" customFormat="false" ht="12.75" hidden="false" customHeight="false" outlineLevel="0" collapsed="false">
      <c r="A179" s="575" t="n">
        <v>40513</v>
      </c>
      <c r="B179" s="190" t="n">
        <v>0.0268192542836466</v>
      </c>
      <c r="C179" s="576" t="n">
        <v>0.00209023169728868</v>
      </c>
      <c r="D179" s="577" t="n">
        <f aca="false">IF(VLOOKUP(A179,[1]!CPIndex,2)=0,VLOOKUP(A179,[1]!CPIndex,6),0)</f>
        <v>0.00209023169728868</v>
      </c>
      <c r="E179" s="576" t="n">
        <v>229.780376552298</v>
      </c>
      <c r="F179" s="577" t="n">
        <f aca="false">IF(VLOOKUP(A179,[1]!CPIndex,2)=0,(F178*EXP(IF(driftswitch=1,D179,$C$4)-1/2*$D$4^2+$D$4*B179)),VLOOKUP(A179,[1]!CPIndex,2))</f>
        <v>230.300353165391</v>
      </c>
      <c r="G179" s="585" t="n">
        <f aca="false">IF(shiftswitch4=1,(F179-F178)/F178,(E179-E178)/E178)</f>
        <v>0.00209165182982135</v>
      </c>
      <c r="H179" s="578" t="n">
        <f aca="false">G179+1</f>
        <v>1.00209165182982</v>
      </c>
    </row>
    <row r="180" customFormat="false" ht="12.75" hidden="false" customHeight="false" outlineLevel="0" collapsed="false">
      <c r="A180" s="575" t="n">
        <v>40544</v>
      </c>
      <c r="B180" s="190" t="n">
        <v>0.00529005503328034</v>
      </c>
      <c r="C180" s="576" t="n">
        <v>0.00208887720131008</v>
      </c>
      <c r="D180" s="577" t="n">
        <f aca="false">IF(VLOOKUP(A180,[1]!CPIndex,2)=0,VLOOKUP(A180,[1]!CPIndex,6),0)</f>
        <v>0.00208887720131008</v>
      </c>
      <c r="E180" s="576" t="n">
        <v>230.260685209987</v>
      </c>
      <c r="F180" s="577" t="n">
        <f aca="false">IF(VLOOKUP(A180,[1]!CPIndex,2)=0,(F179*EXP(IF(driftswitch=1,D180,$C$4)-1/2*$D$4^2+$D$4*B180)),VLOOKUP(A180,[1]!CPIndex,2))</f>
        <v>230.783258172262</v>
      </c>
      <c r="G180" s="585" t="n">
        <f aca="false">IF(shiftswitch4=1,(F180-F179)/F179,(E180-E179)/E179)</f>
        <v>0.00209029450162787</v>
      </c>
      <c r="H180" s="578" t="n">
        <f aca="false">G180+1</f>
        <v>1.00209029450163</v>
      </c>
    </row>
    <row r="181" customFormat="false" ht="12.75" hidden="false" customHeight="false" outlineLevel="0" collapsed="false">
      <c r="A181" s="575" t="n">
        <v>40575</v>
      </c>
      <c r="B181" s="190" t="n">
        <v>-0.0170200532542464</v>
      </c>
      <c r="C181" s="576" t="n">
        <v>0.00208752268331517</v>
      </c>
      <c r="D181" s="577" t="n">
        <f aca="false">IF(VLOOKUP(A181,[1]!CPIndex,2)=0,VLOOKUP(A181,[1]!CPIndex,6),0)</f>
        <v>0.00208752268331517</v>
      </c>
      <c r="E181" s="576" t="n">
        <v>230.741685310246</v>
      </c>
      <c r="F181" s="577" t="n">
        <f aca="false">IF(VLOOKUP(A181,[1]!CPIndex,2)=0,(F180*EXP(IF(driftswitch=1,D181,$C$4)-1/2*$D$4^2+$D$4*B181)),VLOOKUP(A181,[1]!CPIndex,2))</f>
        <v>231.260483345438</v>
      </c>
      <c r="G181" s="585" t="n">
        <f aca="false">IF(shiftswitch4=1,(F181-F180)/F180,(E181-E180)/E180)</f>
        <v>0.00208893715321064</v>
      </c>
      <c r="H181" s="578" t="n">
        <f aca="false">G181+1</f>
        <v>1.00208893715321</v>
      </c>
    </row>
    <row r="182" customFormat="false" ht="12.75" hidden="false" customHeight="false" outlineLevel="0" collapsed="false">
      <c r="A182" s="575" t="n">
        <v>40603</v>
      </c>
      <c r="B182" s="190" t="n">
        <v>-0.00751202235201351</v>
      </c>
      <c r="C182" s="576" t="n">
        <v>0.00208616814330341</v>
      </c>
      <c r="D182" s="577" t="n">
        <f aca="false">IF(VLOOKUP(A182,[1]!CPIndex,2)=0,VLOOKUP(A182,[1]!CPIndex,6),0)</f>
        <v>0.00208616814330341</v>
      </c>
      <c r="E182" s="576" t="n">
        <v>231.223376987957</v>
      </c>
      <c r="F182" s="577" t="n">
        <f aca="false">IF(VLOOKUP(A182,[1]!CPIndex,2)=0,(F181*EXP(IF(driftswitch=1,D182,$C$4)-1/2*$D$4^2+$D$4*B182)),VLOOKUP(A182,[1]!CPIndex,2))</f>
        <v>231.741105689234</v>
      </c>
      <c r="G182" s="585" t="n">
        <f aca="false">IF(shiftswitch4=1,(F182-F181)/F181,(E182-E181)/E181)</f>
        <v>0.0020875797845692</v>
      </c>
      <c r="H182" s="578" t="n">
        <f aca="false">G182+1</f>
        <v>1.00208757978457</v>
      </c>
    </row>
    <row r="183" customFormat="false" ht="12.75" hidden="false" customHeight="false" outlineLevel="0" collapsed="false">
      <c r="A183" s="575" t="n">
        <v>40634</v>
      </c>
      <c r="B183" s="190" t="n">
        <v>0.0159789827262739</v>
      </c>
      <c r="C183" s="576" t="n">
        <v>0.00208481358127406</v>
      </c>
      <c r="D183" s="577" t="n">
        <f aca="false">IF(VLOOKUP(A183,[1]!CPIndex,2)=0,VLOOKUP(A183,[1]!CPIndex,6),0)</f>
        <v>0.00208481358127406</v>
      </c>
      <c r="E183" s="576" t="n">
        <v>231.705760375439</v>
      </c>
      <c r="F183" s="577" t="n">
        <f aca="false">IF(VLOOKUP(A183,[1]!CPIndex,2)=0,(F182*EXP(IF(driftswitch=1,D183,$C$4)-1/2*$D$4^2+$D$4*B183)),VLOOKUP(A183,[1]!CPIndex,2))</f>
        <v>232.229157093381</v>
      </c>
      <c r="G183" s="585" t="n">
        <f aca="false">IF(shiftswitch4=1,(F183-F182)/F182,(E183-E182)/E182)</f>
        <v>0.00208622239570296</v>
      </c>
      <c r="H183" s="578" t="n">
        <f aca="false">G183+1</f>
        <v>1.0020862223957</v>
      </c>
    </row>
    <row r="184" customFormat="false" ht="12.75" hidden="false" customHeight="false" outlineLevel="0" collapsed="false">
      <c r="A184" s="575" t="n">
        <v>40664</v>
      </c>
      <c r="B184" s="190" t="n">
        <v>0.0228407097194382</v>
      </c>
      <c r="C184" s="576" t="n">
        <v>0.00208345899722615</v>
      </c>
      <c r="D184" s="577" t="n">
        <f aca="false">IF(VLOOKUP(A184,[1]!CPIndex,2)=0,VLOOKUP(A184,[1]!CPIndex,6),0)</f>
        <v>0.00208345899722615</v>
      </c>
      <c r="E184" s="576" t="n">
        <v>232.188835602442</v>
      </c>
      <c r="F184" s="577" t="n">
        <f aca="false">IF(VLOOKUP(A184,[1]!CPIndex,2)=0,(F183*EXP(IF(driftswitch=1,D184,$C$4)-1/2*$D$4^2+$D$4*B184)),VLOOKUP(A184,[1]!CPIndex,2))</f>
        <v>232.719895435361</v>
      </c>
      <c r="G184" s="585" t="n">
        <f aca="false">IF(shiftswitch4=1,(F184-F183)/F183,(E184-E183)/E183)</f>
        <v>0.0020848649866108</v>
      </c>
      <c r="H184" s="578" t="n">
        <f aca="false">G184+1</f>
        <v>1.00208486498661</v>
      </c>
    </row>
    <row r="185" customFormat="false" ht="12.75" hidden="false" customHeight="false" outlineLevel="0" collapsed="false">
      <c r="A185" s="575" t="n">
        <v>40695</v>
      </c>
      <c r="B185" s="190" t="n">
        <v>-0.0130759607318634</v>
      </c>
      <c r="C185" s="576" t="n">
        <v>0.00208210439115914</v>
      </c>
      <c r="D185" s="577" t="n">
        <f aca="false">IF(VLOOKUP(A185,[1]!CPIndex,2)=0,VLOOKUP(A185,[1]!CPIndex,6),0)</f>
        <v>0.00208210439115914</v>
      </c>
      <c r="E185" s="576" t="n">
        <v>232.672602796139</v>
      </c>
      <c r="F185" s="577" t="n">
        <f aca="false">IF(VLOOKUP(A185,[1]!CPIndex,2)=0,(F184*EXP(IF(driftswitch=1,D185,$C$4)-1/2*$D$4^2+$D$4*B185)),VLOOKUP(A185,[1]!CPIndex,2))</f>
        <v>233.20099891935</v>
      </c>
      <c r="G185" s="585" t="n">
        <f aca="false">IF(shiftswitch4=1,(F185-F184)/F184,(E185-E184)/E184)</f>
        <v>0.00208350755729245</v>
      </c>
      <c r="H185" s="578" t="n">
        <f aca="false">G185+1</f>
        <v>1.00208350755729</v>
      </c>
    </row>
    <row r="186" customFormat="false" ht="12.75" hidden="false" customHeight="false" outlineLevel="0" collapsed="false">
      <c r="A186" s="575" t="n">
        <v>40725</v>
      </c>
      <c r="B186" s="190" t="n">
        <v>0.0135534286503079</v>
      </c>
      <c r="C186" s="576" t="n">
        <v>0.00208074976307206</v>
      </c>
      <c r="D186" s="577" t="n">
        <f aca="false">IF(VLOOKUP(A186,[1]!CPIndex,2)=0,VLOOKUP(A186,[1]!CPIndex,6),0)</f>
        <v>0.00208074976307206</v>
      </c>
      <c r="E186" s="576" t="n">
        <v>233.157062081121</v>
      </c>
      <c r="F186" s="577" t="n">
        <f aca="false">IF(VLOOKUP(A186,[1]!CPIndex,2)=0,(F185*EXP(IF(driftswitch=1,D186,$C$4)-1/2*$D$4^2+$D$4*B186)),VLOOKUP(A186,[1]!CPIndex,2))</f>
        <v>233.690474386916</v>
      </c>
      <c r="G186" s="585" t="n">
        <f aca="false">IF(shiftswitch4=1,(F186-F185)/F185,(E186-E185)/E185)</f>
        <v>0.00208215010774705</v>
      </c>
      <c r="H186" s="578" t="n">
        <f aca="false">G186+1</f>
        <v>1.00208215010775</v>
      </c>
    </row>
    <row r="187" customFormat="false" ht="12.75" hidden="false" customHeight="false" outlineLevel="0" collapsed="false">
      <c r="A187" s="575" t="n">
        <v>40756</v>
      </c>
      <c r="B187" s="190" t="n">
        <v>0.0189724318947845</v>
      </c>
      <c r="C187" s="576" t="n">
        <v>0.0020793951129646</v>
      </c>
      <c r="D187" s="577" t="n">
        <f aca="false">IF(VLOOKUP(A187,[1]!CPIndex,2)=0,VLOOKUP(A187,[1]!CPIndex,6),0)</f>
        <v>0.0020793951129646</v>
      </c>
      <c r="E187" s="576" t="n">
        <v>233.642213579391</v>
      </c>
      <c r="F187" s="577" t="n">
        <f aca="false">IF(VLOOKUP(A187,[1]!CPIndex,2)=0,(F186*EXP(IF(driftswitch=1,D187,$C$4)-1/2*$D$4^2+$D$4*B187)),VLOOKUP(A187,[1]!CPIndex,2))</f>
        <v>234.182229013609</v>
      </c>
      <c r="G187" s="585" t="n">
        <f aca="false">IF(shiftswitch4=1,(F187-F186)/F186,(E187-E186)/E186)</f>
        <v>0.00208079263797406</v>
      </c>
      <c r="H187" s="578" t="n">
        <f aca="false">G187+1</f>
        <v>1.00208079263797</v>
      </c>
    </row>
    <row r="188" customFormat="false" ht="12.75" hidden="false" customHeight="false" outlineLevel="0" collapsed="false">
      <c r="A188" s="575" t="n">
        <v>40787</v>
      </c>
      <c r="B188" s="190" t="n">
        <v>0.0286040691301503</v>
      </c>
      <c r="C188" s="576" t="n">
        <v>0.00207804044083601</v>
      </c>
      <c r="D188" s="577" t="n">
        <f aca="false">IF(VLOOKUP(A188,[1]!CPIndex,2)=0,VLOOKUP(A188,[1]!CPIndex,6),0)</f>
        <v>0.00207804044083601</v>
      </c>
      <c r="E188" s="576" t="n">
        <v>234.128057410358</v>
      </c>
      <c r="F188" s="577" t="n">
        <f aca="false">IF(VLOOKUP(A188,[1]!CPIndex,2)=0,(F187*EXP(IF(driftswitch=1,D188,$C$4)-1/2*$D$4^2+$D$4*B188)),VLOOKUP(A188,[1]!CPIndex,2))</f>
        <v>234.677495154233</v>
      </c>
      <c r="G188" s="585" t="n">
        <f aca="false">IF(shiftswitch4=1,(F188-F187)/F187,(E188-E187)/E187)</f>
        <v>0.00207943514797318</v>
      </c>
      <c r="H188" s="578" t="n">
        <f aca="false">G188+1</f>
        <v>1.00207943514797</v>
      </c>
    </row>
    <row r="189" customFormat="false" ht="12.75" hidden="false" customHeight="false" outlineLevel="0" collapsed="false">
      <c r="A189" s="575" t="n">
        <v>40817</v>
      </c>
      <c r="B189" s="190" t="n">
        <v>-0.0262775970701655</v>
      </c>
      <c r="C189" s="576" t="n">
        <v>0.00207668574668532</v>
      </c>
      <c r="D189" s="577" t="n">
        <f aca="false">IF(VLOOKUP(A189,[1]!CPIndex,2)=0,VLOOKUP(A189,[1]!CPIndex,6),0)</f>
        <v>0.00207668574668532</v>
      </c>
      <c r="E189" s="576" t="n">
        <v>234.614593690831</v>
      </c>
      <c r="F189" s="577" t="n">
        <f aca="false">IF(VLOOKUP(A189,[1]!CPIndex,2)=0,(F188*EXP(IF(driftswitch=1,D189,$C$4)-1/2*$D$4^2+$D$4*B189)),VLOOKUP(A189,[1]!CPIndex,2))</f>
        <v>235.157532990109</v>
      </c>
      <c r="G189" s="585" t="n">
        <f aca="false">IF(shiftswitch4=1,(F189-F188)/F188,(E189-E188)/E188)</f>
        <v>0.00207807763774338</v>
      </c>
      <c r="H189" s="578" t="n">
        <f aca="false">G189+1</f>
        <v>1.00207807763774</v>
      </c>
    </row>
    <row r="190" customFormat="false" ht="12.75" hidden="false" customHeight="false" outlineLevel="0" collapsed="false">
      <c r="A190" s="575" t="n">
        <v>40848</v>
      </c>
      <c r="B190" s="190" t="n">
        <v>-0.000848976577966396</v>
      </c>
      <c r="C190" s="576" t="n">
        <v>0.00207533103051178</v>
      </c>
      <c r="D190" s="577" t="n">
        <f aca="false">IF(VLOOKUP(A190,[1]!CPIndex,2)=0,VLOOKUP(A190,[1]!CPIndex,6),0)</f>
        <v>0.00207533103051178</v>
      </c>
      <c r="E190" s="576" t="n">
        <v>235.101822535011</v>
      </c>
      <c r="F190" s="577" t="n">
        <f aca="false">IF(VLOOKUP(A190,[1]!CPIndex,2)=0,(F189*EXP(IF(driftswitch=1,D190,$C$4)-1/2*$D$4^2+$D$4*B190)),VLOOKUP(A190,[1]!CPIndex,2))</f>
        <v>235.645642018595</v>
      </c>
      <c r="G190" s="585" t="n">
        <f aca="false">IF(shiftswitch4=1,(F190-F189)/F189,(E190-E189)/E189)</f>
        <v>0.00207672010728398</v>
      </c>
      <c r="H190" s="578" t="n">
        <f aca="false">G190+1</f>
        <v>1.00207672010728</v>
      </c>
    </row>
    <row r="191" customFormat="false" ht="12.75" hidden="false" customHeight="false" outlineLevel="0" collapsed="false">
      <c r="A191" s="575" t="n">
        <v>40878</v>
      </c>
      <c r="B191" s="190" t="n">
        <v>0.0116349082067114</v>
      </c>
      <c r="C191" s="576" t="n">
        <v>0.00207397629231485</v>
      </c>
      <c r="D191" s="577" t="n">
        <f aca="false">IF(VLOOKUP(A191,[1]!CPIndex,2)=0,VLOOKUP(A191,[1]!CPIndex,6),0)</f>
        <v>0.00207397629231485</v>
      </c>
      <c r="E191" s="576" t="n">
        <v>235.589744054487</v>
      </c>
      <c r="F191" s="577" t="n">
        <f aca="false">IF(VLOOKUP(A191,[1]!CPIndex,2)=0,(F190*EXP(IF(driftswitch=1,D191,$C$4)-1/2*$D$4^2+$D$4*B191)),VLOOKUP(A191,[1]!CPIndex,2))</f>
        <v>236.138089039714</v>
      </c>
      <c r="G191" s="585" t="n">
        <f aca="false">IF(shiftswitch4=1,(F191-F190)/F190,(E191-E190)/E190)</f>
        <v>0.00207536255659463</v>
      </c>
      <c r="H191" s="578" t="n">
        <f aca="false">G191+1</f>
        <v>1.00207536255659</v>
      </c>
    </row>
    <row r="192" customFormat="false" ht="12.75" hidden="false" customHeight="false" outlineLevel="0" collapsed="false">
      <c r="A192" s="575" t="n">
        <v>40909</v>
      </c>
      <c r="B192" s="190" t="n">
        <v>-0.0581945162936443</v>
      </c>
      <c r="C192" s="576" t="n">
        <v>0.002072621532094</v>
      </c>
      <c r="D192" s="577" t="n">
        <f aca="false">IF(VLOOKUP(A192,[1]!CPIndex,2)=0,VLOOKUP(A192,[1]!CPIndex,6),0)</f>
        <v>0.002072621532094</v>
      </c>
      <c r="E192" s="576" t="n">
        <v>236.07835835823</v>
      </c>
      <c r="F192" s="577" t="n">
        <f aca="false">IF(VLOOKUP(A192,[1]!CPIndex,2)=0,(F191*EXP(IF(driftswitch=1,D192,$C$4)-1/2*$D$4^2+$D$4*B192)),VLOOKUP(A192,[1]!CPIndex,2))</f>
        <v>236.610815638767</v>
      </c>
      <c r="G192" s="585" t="n">
        <f aca="false">IF(shiftswitch4=1,(F192-F191)/F191,(E192-E191)/E191)</f>
        <v>0.00207400498567465</v>
      </c>
      <c r="H192" s="578" t="n">
        <f aca="false">G192+1</f>
        <v>1.00207400498567</v>
      </c>
    </row>
    <row r="193" customFormat="false" ht="12.75" hidden="false" customHeight="false" outlineLevel="0" collapsed="false">
      <c r="A193" s="575" t="n">
        <v>40940</v>
      </c>
      <c r="B193" s="190" t="n">
        <v>0.00129396977428325</v>
      </c>
      <c r="C193" s="576" t="n">
        <v>0.00207126674984804</v>
      </c>
      <c r="D193" s="577" t="n">
        <f aca="false">IF(VLOOKUP(A193,[1]!CPIndex,2)=0,VLOOKUP(A193,[1]!CPIndex,6),0)</f>
        <v>0.00207126674984804</v>
      </c>
      <c r="E193" s="576" t="n">
        <v>236.567665552584</v>
      </c>
      <c r="F193" s="577" t="n">
        <f aca="false">IF(VLOOKUP(A193,[1]!CPIndex,2)=0,(F192*EXP(IF(driftswitch=1,D193,$C$4)-1/2*$D$4^2+$D$4*B193)),VLOOKUP(A193,[1]!CPIndex,2))</f>
        <v>237.101605755203</v>
      </c>
      <c r="G193" s="585" t="n">
        <f aca="false">IF(shiftswitch4=1,(F193-F192)/F192,(E193-E192)/E192)</f>
        <v>0.00207264739452318</v>
      </c>
      <c r="H193" s="578" t="n">
        <f aca="false">G193+1</f>
        <v>1.00207264739452</v>
      </c>
    </row>
    <row r="194" customFormat="false" ht="12.75" hidden="false" customHeight="false" outlineLevel="0" collapsed="false">
      <c r="A194" s="575" t="n">
        <v>40969</v>
      </c>
      <c r="B194" s="190" t="n">
        <v>0.0122635479465391</v>
      </c>
      <c r="C194" s="576" t="n">
        <v>0.00206991194557667</v>
      </c>
      <c r="D194" s="577" t="n">
        <f aca="false">IF(VLOOKUP(A194,[1]!CPIndex,2)=0,VLOOKUP(A194,[1]!CPIndex,6),0)</f>
        <v>0.00206991194557667</v>
      </c>
      <c r="E194" s="576" t="n">
        <v>237.057665741265</v>
      </c>
      <c r="F194" s="577" t="n">
        <f aca="false">IF(VLOOKUP(A194,[1]!CPIndex,2)=0,(F193*EXP(IF(driftswitch=1,D194,$C$4)-1/2*$D$4^2+$D$4*B194)),VLOOKUP(A194,[1]!CPIndex,2))</f>
        <v>237.596314411602</v>
      </c>
      <c r="G194" s="585" t="n">
        <f aca="false">IF(shiftswitch4=1,(F194-F193)/F193,(E194-E193)/E193)</f>
        <v>0.00207128978313985</v>
      </c>
      <c r="H194" s="578" t="n">
        <f aca="false">G194+1</f>
        <v>1.00207128978314</v>
      </c>
    </row>
    <row r="195" customFormat="false" ht="12.75" hidden="false" customHeight="false" outlineLevel="0" collapsed="false">
      <c r="A195" s="575" t="n">
        <v>41000</v>
      </c>
      <c r="B195" s="190" t="n">
        <v>-0.0423536063174162</v>
      </c>
      <c r="C195" s="576" t="n">
        <v>0.0020685571192789</v>
      </c>
      <c r="D195" s="577" t="n">
        <f aca="false">IF(VLOOKUP(A195,[1]!CPIndex,2)=0,VLOOKUP(A195,[1]!CPIndex,6),0)</f>
        <v>0.0020685571192789</v>
      </c>
      <c r="E195" s="576" t="n">
        <v>237.548359025348</v>
      </c>
      <c r="F195" s="577" t="n">
        <f aca="false">IF(VLOOKUP(A195,[1]!CPIndex,2)=0,(F194*EXP(IF(driftswitch=1,D195,$C$4)-1/2*$D$4^2+$D$4*B195)),VLOOKUP(A195,[1]!CPIndex,2))</f>
        <v>238.075655403608</v>
      </c>
      <c r="G195" s="585" t="n">
        <f aca="false">IF(shiftswitch4=1,(F195-F194)/F194,(E195-E194)/E194)</f>
        <v>0.00206993215152391</v>
      </c>
      <c r="H195" s="578" t="n">
        <f aca="false">G195+1</f>
        <v>1.00206993215152</v>
      </c>
    </row>
    <row r="196" customFormat="false" ht="12.75" hidden="false" customHeight="false" outlineLevel="0" collapsed="false">
      <c r="A196" s="575" t="n">
        <v>41030</v>
      </c>
      <c r="B196" s="190" t="n">
        <v>-0.0107065450637483</v>
      </c>
      <c r="C196" s="576" t="n">
        <v>0.00206720227095399</v>
      </c>
      <c r="D196" s="577" t="n">
        <f aca="false">IF(VLOOKUP(A196,[1]!CPIndex,2)=0,VLOOKUP(A196,[1]!CPIndex,6),0)</f>
        <v>0.00206720227095399</v>
      </c>
      <c r="E196" s="576" t="n">
        <v>238.039745503267</v>
      </c>
      <c r="F196" s="577" t="n">
        <f aca="false">IF(VLOOKUP(A196,[1]!CPIndex,2)=0,(F195*EXP(IF(driftswitch=1,D196,$C$4)-1/2*$D$4^2+$D$4*B196)),VLOOKUP(A196,[1]!CPIndex,2))</f>
        <v>238.56497462623</v>
      </c>
      <c r="G196" s="585" t="n">
        <f aca="false">IF(shiftswitch4=1,(F196-F195)/F195,(E196-E195)/E195)</f>
        <v>0.00206857449967471</v>
      </c>
      <c r="H196" s="578" t="n">
        <f aca="false">G196+1</f>
        <v>1.00206857449967</v>
      </c>
    </row>
    <row r="197" customFormat="false" ht="12.75" hidden="false" customHeight="false" outlineLevel="0" collapsed="false">
      <c r="A197" s="575" t="n">
        <v>41061</v>
      </c>
      <c r="B197" s="190" t="n">
        <v>0.000725921462040481</v>
      </c>
      <c r="C197" s="576" t="n">
        <v>0.00206584740060162</v>
      </c>
      <c r="D197" s="577" t="n">
        <f aca="false">IF(VLOOKUP(A197,[1]!CPIndex,2)=0,VLOOKUP(A197,[1]!CPIndex,6),0)</f>
        <v>0.00206584740060162</v>
      </c>
      <c r="E197" s="576" t="n">
        <v>238.531825270807</v>
      </c>
      <c r="F197" s="577" t="n">
        <f aca="false">IF(VLOOKUP(A197,[1]!CPIndex,2)=0,(F196*EXP(IF(driftswitch=1,D197,$C$4)-1/2*$D$4^2+$D$4*B197)),VLOOKUP(A197,[1]!CPIndex,2))</f>
        <v>239.058354715663</v>
      </c>
      <c r="G197" s="585" t="n">
        <f aca="false">IF(shiftswitch4=1,(F197-F196)/F196,(E197-E196)/E196)</f>
        <v>0.00206721682759166</v>
      </c>
      <c r="H197" s="578" t="n">
        <f aca="false">G197+1</f>
        <v>1.00206721682759</v>
      </c>
    </row>
    <row r="198" customFormat="false" ht="12.75" hidden="false" customHeight="false" outlineLevel="0" collapsed="false">
      <c r="A198" s="575" t="n">
        <v>41091</v>
      </c>
      <c r="B198" s="190" t="n">
        <v>0.0191669507528024</v>
      </c>
      <c r="C198" s="576" t="n">
        <v>0.00206449250822061</v>
      </c>
      <c r="D198" s="577" t="n">
        <f aca="false">IF(VLOOKUP(A198,[1]!CPIndex,2)=0,VLOOKUP(A198,[1]!CPIndex,6),0)</f>
        <v>0.00206449250822061</v>
      </c>
      <c r="E198" s="576" t="n">
        <v>239.024598421096</v>
      </c>
      <c r="F198" s="577" t="n">
        <f aca="false">IF(VLOOKUP(A198,[1]!CPIndex,2)=0,(F197*EXP(IF(driftswitch=1,D198,$C$4)-1/2*$D$4^2+$D$4*B198)),VLOOKUP(A198,[1]!CPIndex,2))</f>
        <v>239.5578925189</v>
      </c>
      <c r="G198" s="585" t="n">
        <f aca="false">IF(shiftswitch4=1,(F198-F197)/F197,(E198-E197)/E197)</f>
        <v>0.00206585913527425</v>
      </c>
      <c r="H198" s="578" t="n">
        <f aca="false">G198+1</f>
        <v>1.00206585913527</v>
      </c>
    </row>
    <row r="199" customFormat="false" ht="12.75" hidden="false" customHeight="false" outlineLevel="0" collapsed="false">
      <c r="A199" s="575" t="n">
        <v>41122</v>
      </c>
      <c r="B199" s="190" t="n">
        <v>0.055695005644323</v>
      </c>
      <c r="C199" s="576" t="n">
        <v>0.00206313759381064</v>
      </c>
      <c r="D199" s="577" t="n">
        <f aca="false">IF(VLOOKUP(A199,[1]!CPIndex,2)=0,VLOOKUP(A199,[1]!CPIndex,6),0)</f>
        <v>0.00206313759381064</v>
      </c>
      <c r="E199" s="576" t="n">
        <v>239.518065044602</v>
      </c>
      <c r="F199" s="577" t="n">
        <f aca="false">IF(VLOOKUP(A199,[1]!CPIndex,2)=0,(F198*EXP(IF(driftswitch=1,D199,$C$4)-1/2*$D$4^2+$D$4*B199)),VLOOKUP(A199,[1]!CPIndex,2))</f>
        <v>240.068990841144</v>
      </c>
      <c r="G199" s="585" t="n">
        <f aca="false">IF(shiftswitch4=1,(F199-F198)/F198,(E199-E198)/E198)</f>
        <v>0.00206450142272159</v>
      </c>
      <c r="H199" s="578" t="n">
        <f aca="false">G199+1</f>
        <v>1.00206450142272</v>
      </c>
    </row>
    <row r="200" customFormat="false" ht="12.75" hidden="false" customHeight="false" outlineLevel="0" collapsed="false">
      <c r="A200" s="575" t="n">
        <v>41153</v>
      </c>
      <c r="B200" s="190" t="n">
        <v>-0.00970721618037663</v>
      </c>
      <c r="C200" s="576" t="n">
        <v>0.00206178265737052</v>
      </c>
      <c r="D200" s="577" t="n">
        <f aca="false">IF(VLOOKUP(A200,[1]!CPIndex,2)=0,VLOOKUP(A200,[1]!CPIndex,6),0)</f>
        <v>0.00206178265737052</v>
      </c>
      <c r="E200" s="576" t="n">
        <v>240.012225229124</v>
      </c>
      <c r="F200" s="577" t="n">
        <f aca="false">IF(VLOOKUP(A200,[1]!CPIndex,2)=0,(F199*EXP(IF(driftswitch=1,D200,$C$4)-1/2*$D$4^2+$D$4*B200)),VLOOKUP(A200,[1]!CPIndex,2))</f>
        <v>240.561400460867</v>
      </c>
      <c r="G200" s="585" t="n">
        <f aca="false">IF(shiftswitch4=1,(F200-F199)/F199,(E200-E199)/E199)</f>
        <v>0.00206314368993317</v>
      </c>
      <c r="H200" s="578" t="n">
        <f aca="false">G200+1</f>
        <v>1.00206314368993</v>
      </c>
    </row>
    <row r="201" customFormat="false" ht="12.75" hidden="false" customHeight="false" outlineLevel="0" collapsed="false">
      <c r="A201" s="575" t="n">
        <v>41183</v>
      </c>
      <c r="B201" s="190" t="n">
        <v>0.00410583326680511</v>
      </c>
      <c r="C201" s="576" t="n">
        <v>0.00206042769889995</v>
      </c>
      <c r="D201" s="577" t="n">
        <f aca="false">IF(VLOOKUP(A201,[1]!CPIndex,2)=0,VLOOKUP(A201,[1]!CPIndex,6),0)</f>
        <v>0.00206042769889995</v>
      </c>
      <c r="E201" s="576" t="n">
        <v>240.507079059788</v>
      </c>
      <c r="F201" s="577" t="n">
        <f aca="false">IF(VLOOKUP(A201,[1]!CPIndex,2)=0,(F200*EXP(IF(driftswitch=1,D201,$C$4)-1/2*$D$4^2+$D$4*B201)),VLOOKUP(A201,[1]!CPIndex,2))</f>
        <v>241.058610279208</v>
      </c>
      <c r="G201" s="585" t="n">
        <f aca="false">IF(shiftswitch4=1,(F201-F200)/F200,(E201-E200)/E200)</f>
        <v>0.00206178593690859</v>
      </c>
      <c r="H201" s="578" t="n">
        <f aca="false">G201+1</f>
        <v>1.00206178593691</v>
      </c>
    </row>
    <row r="202" customFormat="false" ht="12.75" hidden="false" customHeight="false" outlineLevel="0" collapsed="false">
      <c r="A202" s="575" t="n">
        <v>41214</v>
      </c>
      <c r="B202" s="190" t="n">
        <v>-0.043545861550965</v>
      </c>
      <c r="C202" s="576" t="n">
        <v>0.00205907271839815</v>
      </c>
      <c r="D202" s="577" t="n">
        <f aca="false">IF(VLOOKUP(A202,[1]!CPIndex,2)=0,VLOOKUP(A202,[1]!CPIndex,6),0)</f>
        <v>0.00205907271839815</v>
      </c>
      <c r="E202" s="576" t="n">
        <v>241.002626619039</v>
      </c>
      <c r="F202" s="577" t="n">
        <f aca="false">IF(VLOOKUP(A202,[1]!CPIndex,2)=0,(F201*EXP(IF(driftswitch=1,D202,$C$4)-1/2*$D$4^2+$D$4*B202)),VLOOKUP(A202,[1]!CPIndex,2))</f>
        <v>241.54228936062</v>
      </c>
      <c r="G202" s="585" t="n">
        <f aca="false">IF(shiftswitch4=1,(F202-F201)/F201,(E202-E201)/E201)</f>
        <v>0.00206042816364666</v>
      </c>
      <c r="H202" s="578" t="n">
        <f aca="false">G202+1</f>
        <v>1.00206042816365</v>
      </c>
    </row>
    <row r="203" customFormat="false" ht="12.75" hidden="false" customHeight="false" outlineLevel="0" collapsed="false">
      <c r="A203" s="575" t="n">
        <v>41244</v>
      </c>
      <c r="B203" s="190" t="n">
        <v>0.0294936791503224</v>
      </c>
      <c r="C203" s="576" t="n">
        <v>0.00205771771586418</v>
      </c>
      <c r="D203" s="577" t="n">
        <f aca="false">IF(VLOOKUP(A203,[1]!CPIndex,2)=0,VLOOKUP(A203,[1]!CPIndex,6),0)</f>
        <v>0.00205771771586418</v>
      </c>
      <c r="E203" s="576" t="n">
        <v>241.498867986638</v>
      </c>
      <c r="F203" s="577" t="n">
        <f aca="false">IF(VLOOKUP(A203,[1]!CPIndex,2)=0,(F202*EXP(IF(driftswitch=1,D203,$C$4)-1/2*$D$4^2+$D$4*B203)),VLOOKUP(A203,[1]!CPIndex,2))</f>
        <v>242.048468209188</v>
      </c>
      <c r="G203" s="585" t="n">
        <f aca="false">IF(shiftswitch4=1,(F203-F202)/F202,(E203-E202)/E202)</f>
        <v>0.00205907037014732</v>
      </c>
      <c r="H203" s="578" t="n">
        <f aca="false">G203+1</f>
        <v>1.00205907037015</v>
      </c>
    </row>
    <row r="204" customFormat="false" ht="12.75" hidden="false" customHeight="false" outlineLevel="0" collapsed="false">
      <c r="A204" s="575" t="n">
        <v>41275</v>
      </c>
      <c r="B204" s="190" t="n">
        <v>-0.0396437157337667</v>
      </c>
      <c r="C204" s="576" t="n">
        <v>0.00205975021140298</v>
      </c>
      <c r="D204" s="577" t="n">
        <f aca="false">IF(VLOOKUP(A204,[1]!CPIndex,2)=0,VLOOKUP(A204,[1]!CPIndex,6),0)</f>
        <v>0.00205975021140298</v>
      </c>
      <c r="E204" s="576" t="n">
        <v>241.99662300669</v>
      </c>
      <c r="F204" s="577" t="n">
        <f aca="false">IF(VLOOKUP(A204,[1]!CPIndex,2)=0,(F203*EXP(IF(driftswitch=1,D204,$C$4)-1/2*$D$4^2+$D$4*B204)),VLOOKUP(A204,[1]!CPIndex,2))</f>
        <v>242.535467859208</v>
      </c>
      <c r="G204" s="585" t="n">
        <f aca="false">IF(shiftswitch4=1,(F204-F203)/F203,(E204-E203)/E203)</f>
        <v>0.00206110705280719</v>
      </c>
      <c r="H204" s="578" t="n">
        <f aca="false">G204+1</f>
        <v>1.00206110705281</v>
      </c>
    </row>
    <row r="205" customFormat="false" ht="12.75" hidden="false" customHeight="false" outlineLevel="0" collapsed="false">
      <c r="A205" s="575" t="n">
        <v>41306</v>
      </c>
      <c r="B205" s="190" t="n">
        <v>0.00288984719194282</v>
      </c>
      <c r="C205" s="576" t="n">
        <v>0.00206178265737052</v>
      </c>
      <c r="D205" s="577" t="n">
        <f aca="false">IF(VLOOKUP(A205,[1]!CPIndex,2)=0,VLOOKUP(A205,[1]!CPIndex,6),0)</f>
        <v>0.00206178265737052</v>
      </c>
      <c r="E205" s="576" t="n">
        <v>242.495896812431</v>
      </c>
      <c r="F205" s="577" t="n">
        <f aca="false">IF(VLOOKUP(A205,[1]!CPIndex,2)=0,(F204*EXP(IF(driftswitch=1,D205,$C$4)-1/2*$D$4^2+$D$4*B205)),VLOOKUP(A205,[1]!CPIndex,2))</f>
        <v>243.036721740092</v>
      </c>
      <c r="G205" s="585" t="n">
        <f aca="false">IF(shiftswitch4=1,(F205-F204)/F204,(E205-E204)/E204)</f>
        <v>0.00206314368993326</v>
      </c>
      <c r="H205" s="578" t="n">
        <f aca="false">G205+1</f>
        <v>1.00206314368993</v>
      </c>
    </row>
    <row r="206" customFormat="false" ht="12.75" hidden="false" customHeight="false" outlineLevel="0" collapsed="false">
      <c r="A206" s="575" t="n">
        <v>41334</v>
      </c>
      <c r="B206" s="190" t="n">
        <v>0.033182858759097</v>
      </c>
      <c r="C206" s="576" t="n">
        <v>0.00206381505376931</v>
      </c>
      <c r="D206" s="577" t="n">
        <f aca="false">IF(VLOOKUP(A206,[1]!CPIndex,2)=0,VLOOKUP(A206,[1]!CPIndex,6),0)</f>
        <v>0.00206381505376931</v>
      </c>
      <c r="E206" s="576" t="n">
        <v>242.99669455688</v>
      </c>
      <c r="F206" s="577" t="n">
        <f aca="false">IF(VLOOKUP(A206,[1]!CPIndex,2)=0,(F205*EXP(IF(driftswitch=1,D206,$C$4)-1/2*$D$4^2+$D$4*B206)),VLOOKUP(A206,[1]!CPIndex,2))</f>
        <v>243.548628209593</v>
      </c>
      <c r="G206" s="585" t="n">
        <f aca="false">IF(shiftswitch4=1,(F206-F205)/F205,(E206-E205)/E205)</f>
        <v>0.00206518028152728</v>
      </c>
      <c r="H206" s="578" t="n">
        <f aca="false">G206+1</f>
        <v>1.00206518028153</v>
      </c>
    </row>
    <row r="207" customFormat="false" ht="12.75" hidden="false" customHeight="false" outlineLevel="0" collapsed="false">
      <c r="A207" s="575" t="n">
        <v>41365</v>
      </c>
      <c r="B207" s="190" t="n">
        <v>-0.013740488936186</v>
      </c>
      <c r="C207" s="576" t="n">
        <v>0.00206584740060162</v>
      </c>
      <c r="D207" s="577" t="n">
        <f aca="false">IF(VLOOKUP(A207,[1]!CPIndex,2)=0,VLOOKUP(A207,[1]!CPIndex,6),0)</f>
        <v>0.00206584740060162</v>
      </c>
      <c r="E207" s="576" t="n">
        <v>243.499021412917</v>
      </c>
      <c r="F207" s="577" t="n">
        <f aca="false">IF(VLOOKUP(A207,[1]!CPIndex,2)=0,(F206*EXP(IF(driftswitch=1,D207,$C$4)-1/2*$D$4^2+$D$4*B207)),VLOOKUP(A207,[1]!CPIndex,2))</f>
        <v>244.047949975426</v>
      </c>
      <c r="G207" s="585" t="n">
        <f aca="false">IF(shiftswitch4=1,(F207-F206)/F206,(E207-E206)/E206)</f>
        <v>0.00206721682759171</v>
      </c>
      <c r="H207" s="578" t="n">
        <f aca="false">G207+1</f>
        <v>1.00206721682759</v>
      </c>
    </row>
    <row r="208" customFormat="false" ht="12.75" hidden="false" customHeight="false" outlineLevel="0" collapsed="false">
      <c r="A208" s="575" t="n">
        <v>41395</v>
      </c>
      <c r="B208" s="190" t="n">
        <v>-0.040838740158318</v>
      </c>
      <c r="C208" s="576" t="n">
        <v>0.00206787969786976</v>
      </c>
      <c r="D208" s="577" t="n">
        <f aca="false">IF(VLOOKUP(A208,[1]!CPIndex,2)=0,VLOOKUP(A208,[1]!CPIndex,6),0)</f>
        <v>0.00206787969786976</v>
      </c>
      <c r="E208" s="576" t="n">
        <v>244.002882573371</v>
      </c>
      <c r="F208" s="577" t="n">
        <f aca="false">IF(VLOOKUP(A208,[1]!CPIndex,2)=0,(F207*EXP(IF(driftswitch=1,D208,$C$4)-1/2*$D$4^2+$D$4*B208)),VLOOKUP(A208,[1]!CPIndex,2))</f>
        <v>244.540599239768</v>
      </c>
      <c r="G208" s="585" t="n">
        <f aca="false">IF(shiftswitch4=1,(F208-F207)/F207,(E208-E207)/E207)</f>
        <v>0.00206925332812836</v>
      </c>
      <c r="H208" s="578" t="n">
        <f aca="false">G208+1</f>
        <v>1.00206925332813</v>
      </c>
    </row>
    <row r="209" customFormat="false" ht="12.75" hidden="false" customHeight="false" outlineLevel="0" collapsed="false">
      <c r="A209" s="575" t="n">
        <v>41426</v>
      </c>
      <c r="B209" s="190" t="n">
        <v>-0.0206690206612365</v>
      </c>
      <c r="C209" s="576" t="n">
        <v>0.00206991194557667</v>
      </c>
      <c r="D209" s="577" t="n">
        <f aca="false">IF(VLOOKUP(A209,[1]!CPIndex,2)=0,VLOOKUP(A209,[1]!CPIndex,6),0)</f>
        <v>0.00206991194557667</v>
      </c>
      <c r="E209" s="576" t="n">
        <v>244.508283251102</v>
      </c>
      <c r="F209" s="577" t="n">
        <f aca="false">IF(VLOOKUP(A209,[1]!CPIndex,2)=0,(F208*EXP(IF(driftswitch=1,D209,$C$4)-1/2*$D$4^2+$D$4*B209)),VLOOKUP(A209,[1]!CPIndex,2))</f>
        <v>245.040851611289</v>
      </c>
      <c r="G209" s="585" t="n">
        <f aca="false">IF(shiftswitch4=1,(F209-F208)/F208,(E209-E208)/E208)</f>
        <v>0.00207128978313988</v>
      </c>
      <c r="H209" s="578" t="n">
        <f aca="false">G209+1</f>
        <v>1.00207128978314</v>
      </c>
    </row>
    <row r="210" customFormat="false" ht="12.75" hidden="false" customHeight="false" outlineLevel="0" collapsed="false">
      <c r="A210" s="575" t="n">
        <v>41456</v>
      </c>
      <c r="B210" s="190" t="n">
        <v>-0.0101944093569804</v>
      </c>
      <c r="C210" s="576" t="n">
        <v>0.00207194414372419</v>
      </c>
      <c r="D210" s="577" t="n">
        <f aca="false">IF(VLOOKUP(A210,[1]!CPIndex,2)=0,VLOOKUP(A210,[1]!CPIndex,6),0)</f>
        <v>0.00207194414372419</v>
      </c>
      <c r="E210" s="576" t="n">
        <v>245.015228679081</v>
      </c>
      <c r="F210" s="577" t="n">
        <f aca="false">IF(VLOOKUP(A210,[1]!CPIndex,2)=0,(F209*EXP(IF(driftswitch=1,D210,$C$4)-1/2*$D$4^2+$D$4*B210)),VLOOKUP(A210,[1]!CPIndex,2))</f>
        <v>245.545806292227</v>
      </c>
      <c r="G210" s="585" t="n">
        <f aca="false">IF(shiftswitch4=1,(F210-F209)/F209,(E210-E209)/E209)</f>
        <v>0.00207332619262778</v>
      </c>
      <c r="H210" s="578" t="n">
        <f aca="false">G210+1</f>
        <v>1.00207332619263</v>
      </c>
    </row>
    <row r="211" customFormat="false" ht="12.75" hidden="false" customHeight="false" outlineLevel="0" collapsed="false">
      <c r="A211" s="575" t="n">
        <v>41487</v>
      </c>
      <c r="B211" s="190" t="n">
        <v>-0.0236170482360345</v>
      </c>
      <c r="C211" s="576" t="n">
        <v>0.00207397629231485</v>
      </c>
      <c r="D211" s="577" t="n">
        <f aca="false">IF(VLOOKUP(A211,[1]!CPIndex,2)=0,VLOOKUP(A211,[1]!CPIndex,6),0)</f>
        <v>0.00207397629231485</v>
      </c>
      <c r="E211" s="576" t="n">
        <v>245.523724110477</v>
      </c>
      <c r="F211" s="577" t="n">
        <f aca="false">IF(VLOOKUP(A211,[1]!CPIndex,2)=0,(F210*EXP(IF(driftswitch=1,D211,$C$4)-1/2*$D$4^2+$D$4*B211)),VLOOKUP(A211,[1]!CPIndex,2))</f>
        <v>246.048218201849</v>
      </c>
      <c r="G211" s="585" t="n">
        <f aca="false">IF(shiftswitch4=1,(F211-F210)/F210,(E211-E210)/E210)</f>
        <v>0.0020753625565946</v>
      </c>
      <c r="H211" s="578" t="n">
        <f aca="false">G211+1</f>
        <v>1.00207536255659</v>
      </c>
    </row>
    <row r="212" customFormat="false" ht="12.75" hidden="false" customHeight="false" outlineLevel="0" collapsed="false">
      <c r="A212" s="575" t="n">
        <v>41518</v>
      </c>
      <c r="B212" s="190" t="n">
        <v>0.0232294976195924</v>
      </c>
      <c r="C212" s="576" t="n">
        <v>0.00207600839135136</v>
      </c>
      <c r="D212" s="577" t="n">
        <f aca="false">IF(VLOOKUP(A212,[1]!CPIndex,2)=0,VLOOKUP(A212,[1]!CPIndex,6),0)</f>
        <v>0.00207600839135136</v>
      </c>
      <c r="E212" s="576" t="n">
        <v>246.033774818741</v>
      </c>
      <c r="F212" s="577" t="n">
        <f aca="false">IF(VLOOKUP(A212,[1]!CPIndex,2)=0,(F211*EXP(IF(driftswitch=1,D212,$C$4)-1/2*$D$4^2+$D$4*B212)),VLOOKUP(A212,[1]!CPIndex,2))</f>
        <v>246.566439936275</v>
      </c>
      <c r="G212" s="585" t="n">
        <f aca="false">IF(shiftswitch4=1,(F212-F211)/F211,(E212-E211)/E211)</f>
        <v>0.00207739887504227</v>
      </c>
      <c r="H212" s="578" t="n">
        <f aca="false">G212+1</f>
        <v>1.00207739887504</v>
      </c>
    </row>
    <row r="213" customFormat="false" ht="12.75" hidden="false" customHeight="false" outlineLevel="0" collapsed="false">
      <c r="A213" s="575" t="n">
        <v>41548</v>
      </c>
      <c r="B213" s="190" t="n">
        <v>-0.0136440128129368</v>
      </c>
      <c r="C213" s="576" t="n">
        <v>0.00207804044083601</v>
      </c>
      <c r="D213" s="577" t="n">
        <f aca="false">IF(VLOOKUP(A213,[1]!CPIndex,2)=0,VLOOKUP(A213,[1]!CPIndex,6),0)</f>
        <v>0.00207804044083601</v>
      </c>
      <c r="E213" s="576" t="n">
        <v>246.545386097687</v>
      </c>
      <c r="F213" s="577" t="n">
        <f aca="false">IF(VLOOKUP(A213,[1]!CPIndex,2)=0,(F212*EXP(IF(driftswitch=1,D213,$C$4)-1/2*$D$4^2+$D$4*B213)),VLOOKUP(A213,[1]!CPIndex,2))</f>
        <v>247.074990847608</v>
      </c>
      <c r="G213" s="585" t="n">
        <f aca="false">IF(shiftswitch4=1,(F213-F212)/F212,(E213-E212)/E212)</f>
        <v>0.0020794351479731</v>
      </c>
      <c r="H213" s="578" t="n">
        <f aca="false">G213+1</f>
        <v>1.00207943514797</v>
      </c>
    </row>
    <row r="214" customFormat="false" ht="12.75" hidden="false" customHeight="false" outlineLevel="0" collapsed="false">
      <c r="A214" s="575" t="n">
        <v>41579</v>
      </c>
      <c r="B214" s="190" t="n">
        <v>-0.0329219949626134</v>
      </c>
      <c r="C214" s="576" t="n">
        <v>0.0020800724407711</v>
      </c>
      <c r="D214" s="577" t="n">
        <f aca="false">IF(VLOOKUP(A214,[1]!CPIndex,2)=0,VLOOKUP(A214,[1]!CPIndex,6),0)</f>
        <v>0.0020800724407711</v>
      </c>
      <c r="E214" s="576" t="n">
        <v>247.058563261584</v>
      </c>
      <c r="F214" s="577" t="n">
        <f aca="false">IF(VLOOKUP(A214,[1]!CPIndex,2)=0,(F213*EXP(IF(driftswitch=1,D214,$C$4)-1/2*$D$4^2+$D$4*B214)),VLOOKUP(A214,[1]!CPIndex,2))</f>
        <v>247.579192624519</v>
      </c>
      <c r="G214" s="585" t="n">
        <f aca="false">IF(shiftswitch4=1,(F214-F213)/F213,(E214-E213)/E213)</f>
        <v>0.0020814713753892</v>
      </c>
      <c r="H214" s="578" t="n">
        <f aca="false">G214+1</f>
        <v>1.00208147137539</v>
      </c>
    </row>
    <row r="215" customFormat="false" ht="12.75" hidden="false" customHeight="false" outlineLevel="0" collapsed="false">
      <c r="A215" s="575" t="n">
        <v>41609</v>
      </c>
      <c r="B215" s="190" t="n">
        <v>0.0225207442023363</v>
      </c>
      <c r="C215" s="576" t="n">
        <v>0.00208210439115914</v>
      </c>
      <c r="D215" s="577" t="n">
        <f aca="false">IF(VLOOKUP(A215,[1]!CPIndex,2)=0,VLOOKUP(A215,[1]!CPIndex,6),0)</f>
        <v>0.00208210439115914</v>
      </c>
      <c r="E215" s="576" t="n">
        <v>247.573311645233</v>
      </c>
      <c r="F215" s="577" t="n">
        <f aca="false">IF(VLOOKUP(A215,[1]!CPIndex,2)=0,(F214*EXP(IF(driftswitch=1,D215,$C$4)-1/2*$D$4^2+$D$4*B215)),VLOOKUP(A215,[1]!CPIndex,2))</f>
        <v>248.101933881982</v>
      </c>
      <c r="G215" s="585" t="n">
        <f aca="false">IF(shiftswitch4=1,(F215-F214)/F214,(E215-E214)/E214)</f>
        <v>0.00208350755729249</v>
      </c>
      <c r="H215" s="578" t="n">
        <f aca="false">G215+1</f>
        <v>1.00208350755729</v>
      </c>
    </row>
    <row r="216" customFormat="false" ht="12.75" hidden="false" customHeight="false" outlineLevel="0" collapsed="false">
      <c r="A216" s="575" t="n">
        <v>41640</v>
      </c>
      <c r="B216" s="190" t="n">
        <v>0.0373910056171024</v>
      </c>
      <c r="C216" s="576" t="n">
        <v>0.00208481358127406</v>
      </c>
      <c r="D216" s="577" t="n">
        <f aca="false">IF(VLOOKUP(A216,[1]!CPIndex,2)=0,VLOOKUP(A216,[1]!CPIndex,6),0)</f>
        <v>0.00208481358127406</v>
      </c>
      <c r="E216" s="576" t="n">
        <v>248.089804632566</v>
      </c>
      <c r="F216" s="577" t="n">
        <f aca="false">IF(VLOOKUP(A216,[1]!CPIndex,2)=0,(F215*EXP(IF(driftswitch=1,D216,$C$4)-1/2*$D$4^2+$D$4*B216)),VLOOKUP(A216,[1]!CPIndex,2))</f>
        <v>248.631023572007</v>
      </c>
      <c r="G216" s="585" t="n">
        <f aca="false">IF(shiftswitch4=1,(F216-F215)/F215,(E216-E215)/E215)</f>
        <v>0.00208622239570299</v>
      </c>
      <c r="H216" s="578" t="n">
        <f aca="false">G216+1</f>
        <v>1.0020862223957</v>
      </c>
    </row>
    <row r="217" customFormat="false" ht="12.75" hidden="false" customHeight="false" outlineLevel="0" collapsed="false">
      <c r="A217" s="575" t="n">
        <v>41671</v>
      </c>
      <c r="B217" s="190" t="n">
        <v>-0.0108049822969986</v>
      </c>
      <c r="C217" s="576" t="n">
        <v>0.00208752268331517</v>
      </c>
      <c r="D217" s="577" t="n">
        <f aca="false">IF(VLOOKUP(A217,[1]!CPIndex,2)=0,VLOOKUP(A217,[1]!CPIndex,6),0)</f>
        <v>0.00208752268331517</v>
      </c>
      <c r="E217" s="576" t="n">
        <v>248.608048642796</v>
      </c>
      <c r="F217" s="577" t="n">
        <f aca="false">IF(VLOOKUP(A217,[1]!CPIndex,2)=0,(F216*EXP(IF(driftswitch=1,D217,$C$4)-1/2*$D$4^2+$D$4*B217)),VLOOKUP(A217,[1]!CPIndex,2))</f>
        <v>249.147069743609</v>
      </c>
      <c r="G217" s="585" t="n">
        <f aca="false">IF(shiftswitch4=1,(F217-F216)/F216,(E217-E216)/E216)</f>
        <v>0.0020889371532107</v>
      </c>
      <c r="H217" s="578" t="n">
        <f aca="false">G217+1</f>
        <v>1.00208893715321</v>
      </c>
    </row>
    <row r="218" customFormat="false" ht="12.75" hidden="false" customHeight="false" outlineLevel="0" collapsed="false">
      <c r="A218" s="575" t="n">
        <v>41699</v>
      </c>
      <c r="B218" s="190" t="n">
        <v>-0.0485917675789747</v>
      </c>
      <c r="C218" s="576" t="n">
        <v>0.00209023169728868</v>
      </c>
      <c r="D218" s="577" t="n">
        <f aca="false">IF(VLOOKUP(A218,[1]!CPIndex,2)=0,VLOOKUP(A218,[1]!CPIndex,6),0)</f>
        <v>0.00209023169728868</v>
      </c>
      <c r="E218" s="576" t="n">
        <v>249.128050122648</v>
      </c>
      <c r="F218" s="577" t="n">
        <f aca="false">IF(VLOOKUP(A218,[1]!CPIndex,2)=0,(F217*EXP(IF(driftswitch=1,D218,$C$4)-1/2*$D$4^2+$D$4*B218)),VLOOKUP(A218,[1]!CPIndex,2))</f>
        <v>249.653199502993</v>
      </c>
      <c r="G218" s="585" t="n">
        <f aca="false">IF(shiftswitch4=1,(F218-F217)/F217,(E218-E217)/E217)</f>
        <v>0.00209165182982127</v>
      </c>
      <c r="H218" s="578" t="n">
        <f aca="false">G218+1</f>
        <v>1.00209165182982</v>
      </c>
    </row>
    <row r="219" customFormat="false" ht="12.75" hidden="false" customHeight="false" outlineLevel="0" collapsed="false">
      <c r="A219" s="575" t="n">
        <v>41730</v>
      </c>
      <c r="B219" s="190" t="n">
        <v>-0.0318386973066374</v>
      </c>
      <c r="C219" s="576" t="n">
        <v>0.00209294062319974</v>
      </c>
      <c r="D219" s="577" t="n">
        <f aca="false">IF(VLOOKUP(A219,[1]!CPIndex,2)=0,VLOOKUP(A219,[1]!CPIndex,6),0)</f>
        <v>0.00209294062319974</v>
      </c>
      <c r="E219" s="576" t="n">
        <v>249.649815546484</v>
      </c>
      <c r="F219" s="577" t="n">
        <f aca="false">IF(VLOOKUP(A219,[1]!CPIndex,2)=0,(F218*EXP(IF(driftswitch=1,D219,$C$4)-1/2*$D$4^2+$D$4*B219)),VLOOKUP(A219,[1]!CPIndex,2))</f>
        <v>250.166216812433</v>
      </c>
      <c r="G219" s="585" t="n">
        <f aca="false">IF(shiftswitch4=1,(F219-F218)/F218,(E219-E218)/E218)</f>
        <v>0.00209436642553882</v>
      </c>
      <c r="H219" s="578" t="n">
        <f aca="false">G219+1</f>
        <v>1.00209436642554</v>
      </c>
    </row>
    <row r="220" customFormat="false" ht="12.75" hidden="false" customHeight="false" outlineLevel="0" collapsed="false">
      <c r="A220" s="575" t="n">
        <v>41760</v>
      </c>
      <c r="B220" s="190" t="n">
        <v>-0.0317341062192276</v>
      </c>
      <c r="C220" s="576" t="n">
        <v>0.00209564946105436</v>
      </c>
      <c r="D220" s="577" t="n">
        <f aca="false">IF(VLOOKUP(A220,[1]!CPIndex,2)=0,VLOOKUP(A220,[1]!CPIndex,6),0)</f>
        <v>0.00209564946105436</v>
      </c>
      <c r="E220" s="576" t="n">
        <v>250.173351416434</v>
      </c>
      <c r="F220" s="577" t="n">
        <f aca="false">IF(VLOOKUP(A220,[1]!CPIndex,2)=0,(F219*EXP(IF(driftswitch=1,D220,$C$4)-1/2*$D$4^2+$D$4*B220)),VLOOKUP(A220,[1]!CPIndex,2))</f>
        <v>250.680999801297</v>
      </c>
      <c r="G220" s="585" t="n">
        <f aca="false">IF(shiftswitch4=1,(F220-F219)/F219,(E220-E219)/E219)</f>
        <v>0.00209708094036912</v>
      </c>
      <c r="H220" s="578" t="n">
        <f aca="false">G220+1</f>
        <v>1.00209708094037</v>
      </c>
    </row>
    <row r="221" customFormat="false" ht="12.75" hidden="false" customHeight="false" outlineLevel="0" collapsed="false">
      <c r="A221" s="575" t="n">
        <v>41791</v>
      </c>
      <c r="B221" s="190" t="n">
        <v>0.0357734238502725</v>
      </c>
      <c r="C221" s="576" t="n">
        <v>0.0020983582108581</v>
      </c>
      <c r="D221" s="577" t="n">
        <f aca="false">IF(VLOOKUP(A221,[1]!CPIndex,2)=0,VLOOKUP(A221,[1]!CPIndex,6),0)</f>
        <v>0.0020983582108581</v>
      </c>
      <c r="E221" s="576" t="n">
        <v>250.698664262515</v>
      </c>
      <c r="F221" s="577" t="n">
        <f aca="false">IF(VLOOKUP(A221,[1]!CPIndex,2)=0,(F220*EXP(IF(driftswitch=1,D221,$C$4)-1/2*$D$4^2+$D$4*B221)),VLOOKUP(A221,[1]!CPIndex,2))</f>
        <v>251.218489696139</v>
      </c>
      <c r="G221" s="585" t="n">
        <f aca="false">IF(shiftswitch4=1,(F221-F220)/F220,(E221-E220)/E220)</f>
        <v>0.00209979537431693</v>
      </c>
      <c r="H221" s="578" t="n">
        <f aca="false">G221+1</f>
        <v>1.00209979537432</v>
      </c>
    </row>
    <row r="222" customFormat="false" ht="12.75" hidden="false" customHeight="false" outlineLevel="0" collapsed="false">
      <c r="A222" s="575" t="n">
        <v>41821</v>
      </c>
      <c r="B222" s="190" t="n">
        <v>0.0405840880783515</v>
      </c>
      <c r="C222" s="576" t="n">
        <v>0.00210106687261698</v>
      </c>
      <c r="D222" s="577" t="n">
        <f aca="false">IF(VLOOKUP(A222,[1]!CPIndex,2)=0,VLOOKUP(A222,[1]!CPIndex,6),0)</f>
        <v>0.00210106687261698</v>
      </c>
      <c r="E222" s="576" t="n">
        <v>251.22576064277</v>
      </c>
      <c r="F222" s="577" t="n">
        <f aca="false">IF(VLOOKUP(A222,[1]!CPIndex,2)=0,(F221*EXP(IF(driftswitch=1,D222,$C$4)-1/2*$D$4^2+$D$4*B222)),VLOOKUP(A222,[1]!CPIndex,2))</f>
        <v>251.759311378662</v>
      </c>
      <c r="G222" s="585" t="n">
        <f aca="false">IF(shiftswitch4=1,(F222-F221)/F221,(E222-E221)/E221)</f>
        <v>0.00210250972738726</v>
      </c>
      <c r="H222" s="578" t="n">
        <f aca="false">G222+1</f>
        <v>1.00210250972739</v>
      </c>
    </row>
    <row r="223" customFormat="false" ht="12.75" hidden="false" customHeight="false" outlineLevel="0" collapsed="false">
      <c r="A223" s="575" t="n">
        <v>41852</v>
      </c>
      <c r="B223" s="190" t="n">
        <v>0.00835720321177866</v>
      </c>
      <c r="C223" s="576" t="n">
        <v>0.00210377544633658</v>
      </c>
      <c r="D223" s="577" t="n">
        <f aca="false">IF(VLOOKUP(A223,[1]!CPIndex,2)=0,VLOOKUP(A223,[1]!CPIndex,6),0)</f>
        <v>0.00210377544633658</v>
      </c>
      <c r="E223" s="576" t="n">
        <v>251.754647143389</v>
      </c>
      <c r="F223" s="577" t="n">
        <f aca="false">IF(VLOOKUP(A223,[1]!CPIndex,2)=0,(F222*EXP(IF(driftswitch=1,D223,$C$4)-1/2*$D$4^2+$D$4*B223)),VLOOKUP(A223,[1]!CPIndex,2))</f>
        <v>252.291927974497</v>
      </c>
      <c r="G223" s="585" t="n">
        <f aca="false">IF(shiftswitch4=1,(F223-F222)/F222,(E223-E222)/E222)</f>
        <v>0.00210522399958538</v>
      </c>
      <c r="H223" s="578" t="n">
        <f aca="false">G223+1</f>
        <v>1.00210522399959</v>
      </c>
    </row>
    <row r="224" customFormat="false" ht="12.75" hidden="false" customHeight="false" outlineLevel="0" collapsed="false">
      <c r="A224" s="575" t="n">
        <v>41883</v>
      </c>
      <c r="B224" s="190" t="n">
        <v>-0.0627577590442374</v>
      </c>
      <c r="C224" s="576" t="n">
        <v>0.00210648393202245</v>
      </c>
      <c r="D224" s="577" t="n">
        <f aca="false">IF(VLOOKUP(A224,[1]!CPIndex,2)=0,VLOOKUP(A224,[1]!CPIndex,6),0)</f>
        <v>0.00210648393202245</v>
      </c>
      <c r="E224" s="576" t="n">
        <v>252.285330378843</v>
      </c>
      <c r="F224" s="577" t="n">
        <f aca="false">IF(VLOOKUP(A224,[1]!CPIndex,2)=0,(F223*EXP(IF(driftswitch=1,D224,$C$4)-1/2*$D$4^2+$D$4*B224)),VLOOKUP(A224,[1]!CPIndex,2))</f>
        <v>252.804127214357</v>
      </c>
      <c r="G224" s="585" t="n">
        <f aca="false">IF(shiftswitch4=1,(F224-F223)/F223,(E224-E223)/E223)</f>
        <v>0.00210793819091595</v>
      </c>
      <c r="H224" s="578" t="n">
        <f aca="false">G224+1</f>
        <v>1.00210793819092</v>
      </c>
    </row>
    <row r="225" customFormat="false" ht="12.75" hidden="false" customHeight="false" outlineLevel="0" collapsed="false">
      <c r="A225" s="575" t="n">
        <v>41913</v>
      </c>
      <c r="B225" s="190" t="n">
        <v>0.0284106582377315</v>
      </c>
      <c r="C225" s="576" t="n">
        <v>0.00210919232968039</v>
      </c>
      <c r="D225" s="577" t="n">
        <f aca="false">IF(VLOOKUP(A225,[1]!CPIndex,2)=0,VLOOKUP(A225,[1]!CPIndex,6),0)</f>
        <v>0.00210919232968039</v>
      </c>
      <c r="E225" s="576" t="n">
        <v>252.817816992013</v>
      </c>
      <c r="F225" s="577" t="n">
        <f aca="false">IF(VLOOKUP(A225,[1]!CPIndex,2)=0,(F224*EXP(IF(driftswitch=1,D225,$C$4)-1/2*$D$4^2+$D$4*B225)),VLOOKUP(A225,[1]!CPIndex,2))</f>
        <v>253.346607863259</v>
      </c>
      <c r="G225" s="585" t="n">
        <f aca="false">IF(shiftswitch4=1,(F225-F224)/F224,(E225-E224)/E224)</f>
        <v>0.00211065230138427</v>
      </c>
      <c r="H225" s="578" t="n">
        <f aca="false">G225+1</f>
        <v>1.00211065230138</v>
      </c>
    </row>
    <row r="226" customFormat="false" ht="12.75" hidden="false" customHeight="false" outlineLevel="0" collapsed="false">
      <c r="A226" s="575" t="n">
        <v>41944</v>
      </c>
      <c r="B226" s="190" t="n">
        <v>0.00991620142168937</v>
      </c>
      <c r="C226" s="576" t="n">
        <v>0.0021119006393162</v>
      </c>
      <c r="D226" s="577" t="n">
        <f aca="false">IF(VLOOKUP(A226,[1]!CPIndex,2)=0,VLOOKUP(A226,[1]!CPIndex,6),0)</f>
        <v>0.0021119006393162</v>
      </c>
      <c r="E226" s="576" t="n">
        <v>253.35211365432</v>
      </c>
      <c r="F226" s="577" t="n">
        <f aca="false">IF(VLOOKUP(A226,[1]!CPIndex,2)=0,(F225*EXP(IF(driftswitch=1,D226,$C$4)-1/2*$D$4^2+$D$4*B226)),VLOOKUP(A226,[1]!CPIndex,2))</f>
        <v>253.885134732073</v>
      </c>
      <c r="G226" s="585" t="n">
        <f aca="false">IF(shiftswitch4=1,(F226-F225)/F225,(E226-E225)/E225)</f>
        <v>0.00211336633099538</v>
      </c>
      <c r="H226" s="578" t="n">
        <f aca="false">G226+1</f>
        <v>1.002113366331</v>
      </c>
    </row>
    <row r="227" customFormat="false" ht="12.75" hidden="false" customHeight="false" outlineLevel="0" collapsed="false">
      <c r="A227" s="575" t="n">
        <v>41974</v>
      </c>
      <c r="B227" s="190" t="n">
        <v>0.0142242101388566</v>
      </c>
      <c r="C227" s="576" t="n">
        <v>0.00211460886093566</v>
      </c>
      <c r="D227" s="577" t="n">
        <f aca="false">IF(VLOOKUP(A227,[1]!CPIndex,2)=0,VLOOKUP(A227,[1]!CPIndex,6),0)</f>
        <v>0.00211460886093566</v>
      </c>
      <c r="E227" s="576" t="n">
        <v>253.888227065858</v>
      </c>
      <c r="F227" s="577" t="n">
        <f aca="false">IF(VLOOKUP(A227,[1]!CPIndex,2)=0,(F226*EXP(IF(driftswitch=1,D227,$C$4)-1/2*$D$4^2+$D$4*B227)),VLOOKUP(A227,[1]!CPIndex,2))</f>
        <v>254.426850527804</v>
      </c>
      <c r="G227" s="585" t="n">
        <f aca="false">IF(shiftswitch4=1,(F227-F226)/F226,(E227-E226)/E226)</f>
        <v>0.00211608027975416</v>
      </c>
      <c r="H227" s="578" t="n">
        <f aca="false">G227+1</f>
        <v>1.00211608027975</v>
      </c>
    </row>
    <row r="228" customFormat="false" ht="12.75" hidden="false" customHeight="false" outlineLevel="0" collapsed="false">
      <c r="A228" s="575" t="n">
        <v>42005</v>
      </c>
      <c r="B228" s="190" t="n">
        <v>0.0121572894477233</v>
      </c>
      <c r="C228" s="576" t="n">
        <v>0.00211731699454435</v>
      </c>
      <c r="D228" s="577" t="n">
        <f aca="false">IF(VLOOKUP(A228,[1]!CPIndex,2)=0,VLOOKUP(A228,[1]!CPIndex,6),0)</f>
        <v>0.00211731699454435</v>
      </c>
      <c r="E228" s="576" t="n">
        <v>254.426163955526</v>
      </c>
      <c r="F228" s="577" t="n">
        <f aca="false">IF(VLOOKUP(A228,[1]!CPIndex,2)=0,(F227*EXP(IF(driftswitch=1,D228,$C$4)-1/2*$D$4^2+$D$4*B228)),VLOOKUP(A228,[1]!CPIndex,2))</f>
        <v>254.969761098597</v>
      </c>
      <c r="G228" s="585" t="n">
        <f aca="false">IF(shiftswitch4=1,(F228-F227)/F227,(E228-E227)/E227)</f>
        <v>0.00211879414766564</v>
      </c>
      <c r="H228" s="578" t="n">
        <f aca="false">G228+1</f>
        <v>1.00211879414767</v>
      </c>
    </row>
    <row r="229" customFormat="false" ht="12.75" hidden="false" customHeight="false" outlineLevel="0" collapsed="false">
      <c r="A229" s="575" t="n">
        <v>42036</v>
      </c>
      <c r="B229" s="190" t="n">
        <v>-0.00869260576870936</v>
      </c>
      <c r="C229" s="576" t="n">
        <v>0.00212002504014806</v>
      </c>
      <c r="D229" s="577" t="n">
        <f aca="false">IF(VLOOKUP(A229,[1]!CPIndex,2)=0,VLOOKUP(A229,[1]!CPIndex,6),0)</f>
        <v>0.00212002504014806</v>
      </c>
      <c r="E229" s="576" t="n">
        <v>254.965931081162</v>
      </c>
      <c r="F229" s="577" t="n">
        <f aca="false">IF(VLOOKUP(A229,[1]!CPIndex,2)=0,(F228*EXP(IF(driftswitch=1,D229,$C$4)-1/2*$D$4^2+$D$4*B229)),VLOOKUP(A229,[1]!CPIndex,2))</f>
        <v>255.50793540426</v>
      </c>
      <c r="G229" s="585" t="n">
        <f aca="false">IF(shiftswitch4=1,(F229-F228)/F228,(E229-E228)/E228)</f>
        <v>0.00212150793473493</v>
      </c>
      <c r="H229" s="578" t="n">
        <f aca="false">G229+1</f>
        <v>1.00212150793474</v>
      </c>
    </row>
    <row r="230" customFormat="false" ht="12.75" hidden="false" customHeight="false" outlineLevel="0" collapsed="false">
      <c r="A230" s="575" t="n">
        <v>42064</v>
      </c>
      <c r="B230" s="190" t="n">
        <v>-0.0358877006046879</v>
      </c>
      <c r="C230" s="576" t="n">
        <v>0.00212273299775257</v>
      </c>
      <c r="D230" s="577" t="n">
        <f aca="false">IF(VLOOKUP(A230,[1]!CPIndex,2)=0,VLOOKUP(A230,[1]!CPIndex,6),0)</f>
        <v>0.00212273299775257</v>
      </c>
      <c r="E230" s="576" t="n">
        <v>255.507535229674</v>
      </c>
      <c r="F230" s="577" t="n">
        <f aca="false">IF(VLOOKUP(A230,[1]!CPIndex,2)=0,(F229*EXP(IF(driftswitch=1,D230,$C$4)-1/2*$D$4^2+$D$4*B230)),VLOOKUP(A230,[1]!CPIndex,2))</f>
        <v>256.039329900764</v>
      </c>
      <c r="G230" s="585" t="n">
        <f aca="false">IF(shiftswitch4=1,(F230-F229)/F229,(E230-E229)/E229)</f>
        <v>0.00212422164096735</v>
      </c>
      <c r="H230" s="578" t="n">
        <f aca="false">G230+1</f>
        <v>1.00212422164097</v>
      </c>
    </row>
    <row r="231" customFormat="false" ht="12.75" hidden="false" customHeight="false" outlineLevel="0" collapsed="false">
      <c r="A231" s="575" t="n">
        <v>42095</v>
      </c>
      <c r="B231" s="190" t="n">
        <v>0.0318923336458107</v>
      </c>
      <c r="C231" s="576" t="n">
        <v>0.00212544086736346</v>
      </c>
      <c r="D231" s="577" t="n">
        <f aca="false">IF(VLOOKUP(A231,[1]!CPIndex,2)=0,VLOOKUP(A231,[1]!CPIndex,6),0)</f>
        <v>0.00212544086736346</v>
      </c>
      <c r="E231" s="576" t="n">
        <v>256.050983217176</v>
      </c>
      <c r="F231" s="577" t="n">
        <f aca="false">IF(VLOOKUP(A231,[1]!CPIndex,2)=0,(F230*EXP(IF(driftswitch=1,D231,$C$4)-1/2*$D$4^2+$D$4*B231)),VLOOKUP(A231,[1]!CPIndex,2))</f>
        <v>256.594026603808</v>
      </c>
      <c r="G231" s="585" t="n">
        <f aca="false">IF(shiftswitch4=1,(F231-F230)/F230,(E231-E230)/E230)</f>
        <v>0.00212693526636756</v>
      </c>
      <c r="H231" s="578" t="n">
        <f aca="false">G231+1</f>
        <v>1.00212693526637</v>
      </c>
    </row>
    <row r="232" customFormat="false" ht="12.75" hidden="false" customHeight="false" outlineLevel="0" collapsed="false">
      <c r="A232" s="575" t="n">
        <v>42125</v>
      </c>
      <c r="B232" s="190" t="n">
        <v>0.0220178657771263</v>
      </c>
      <c r="C232" s="576" t="n">
        <v>0.00212814864898652</v>
      </c>
      <c r="D232" s="577" t="n">
        <f aca="false">IF(VLOOKUP(A232,[1]!CPIndex,2)=0,VLOOKUP(A232,[1]!CPIndex,6),0)</f>
        <v>0.00212814864898652</v>
      </c>
      <c r="E232" s="576" t="n">
        <v>256.596281889125</v>
      </c>
      <c r="F232" s="577" t="n">
        <f aca="false">IF(VLOOKUP(A232,[1]!CPIndex,2)=0,(F231*EXP(IF(driftswitch=1,D232,$C$4)-1/2*$D$4^2+$D$4*B232)),VLOOKUP(A232,[1]!CPIndex,2))</f>
        <v>257.14748189231</v>
      </c>
      <c r="G232" s="585" t="n">
        <f aca="false">IF(shiftswitch4=1,(F232-F231)/F231,(E232-E231)/E231)</f>
        <v>0.00212964881094076</v>
      </c>
      <c r="H232" s="578" t="n">
        <f aca="false">G232+1</f>
        <v>1.00212964881094</v>
      </c>
    </row>
    <row r="233" customFormat="false" ht="12.75" hidden="false" customHeight="false" outlineLevel="0" collapsed="false">
      <c r="A233" s="575" t="n">
        <v>42156</v>
      </c>
      <c r="B233" s="190" t="n">
        <v>-0.0224466513052724</v>
      </c>
      <c r="C233" s="576" t="n">
        <v>0.00213085634262753</v>
      </c>
      <c r="D233" s="577" t="n">
        <f aca="false">IF(VLOOKUP(A233,[1]!CPIndex,2)=0,VLOOKUP(A233,[1]!CPIndex,6),0)</f>
        <v>0.00213085634262753</v>
      </c>
      <c r="E233" s="576" t="n">
        <v>257.143438120452</v>
      </c>
      <c r="F233" s="577" t="n">
        <f aca="false">IF(VLOOKUP(A233,[1]!CPIndex,2)=0,(F232*EXP(IF(driftswitch=1,D233,$C$4)-1/2*$D$4^2+$D$4*B233)),VLOOKUP(A233,[1]!CPIndex,2))</f>
        <v>257.688661817794</v>
      </c>
      <c r="G233" s="585" t="n">
        <f aca="false">IF(shiftswitch4=1,(F233-F232)/F232,(E233-E232)/E232)</f>
        <v>0.00213236227469175</v>
      </c>
      <c r="H233" s="578" t="n">
        <f aca="false">G233+1</f>
        <v>1.00213236227469</v>
      </c>
    </row>
    <row r="234" customFormat="false" ht="12.75" hidden="false" customHeight="false" outlineLevel="0" collapsed="false">
      <c r="A234" s="575" t="n">
        <v>42186</v>
      </c>
      <c r="B234" s="190" t="n">
        <v>-0.0536661674892772</v>
      </c>
      <c r="C234" s="576" t="n">
        <v>0.00213356394829208</v>
      </c>
      <c r="D234" s="577" t="n">
        <f aca="false">IF(VLOOKUP(A234,[1]!CPIndex,2)=0,VLOOKUP(A234,[1]!CPIndex,6),0)</f>
        <v>0.00213356394829208</v>
      </c>
      <c r="E234" s="576" t="n">
        <v>257.692458815701</v>
      </c>
      <c r="F234" s="577" t="n">
        <f aca="false">IF(VLOOKUP(A234,[1]!CPIndex,2)=0,(F233*EXP(IF(driftswitch=1,D234,$C$4)-1/2*$D$4^2+$D$4*B234)),VLOOKUP(A234,[1]!CPIndex,2))</f>
        <v>258.221712481196</v>
      </c>
      <c r="G234" s="585" t="n">
        <f aca="false">IF(shiftswitch4=1,(F234-F233)/F233,(E234-E233)/E233)</f>
        <v>0.00213507565762597</v>
      </c>
      <c r="H234" s="578" t="n">
        <f aca="false">G234+1</f>
        <v>1.00213507565763</v>
      </c>
    </row>
    <row r="235" customFormat="false" ht="12.75" hidden="false" customHeight="false" outlineLevel="0" collapsed="false">
      <c r="A235" s="575" t="n">
        <v>42217</v>
      </c>
      <c r="B235" s="190" t="n">
        <v>0.0197357427701979</v>
      </c>
      <c r="C235" s="576" t="n">
        <v>0.00213627146598595</v>
      </c>
      <c r="D235" s="577" t="n">
        <f aca="false">IF(VLOOKUP(A235,[1]!CPIndex,2)=0,VLOOKUP(A235,[1]!CPIndex,6),0)</f>
        <v>0.00213627146598595</v>
      </c>
      <c r="E235" s="576" t="n">
        <v>258.243350909168</v>
      </c>
      <c r="F235" s="577" t="n">
        <f aca="false">IF(VLOOKUP(A235,[1]!CPIndex,2)=0,(F234*EXP(IF(driftswitch=1,D235,$C$4)-1/2*$D$4^2+$D$4*B235)),VLOOKUP(A235,[1]!CPIndex,2))</f>
        <v>258.780050423042</v>
      </c>
      <c r="G235" s="585" t="n">
        <f aca="false">IF(shiftswitch4=1,(F235-F234)/F234,(E235-E234)/E234)</f>
        <v>0.00213778895974825</v>
      </c>
      <c r="H235" s="578" t="n">
        <f aca="false">G235+1</f>
        <v>1.00213778895975</v>
      </c>
    </row>
    <row r="236" customFormat="false" ht="12.75" hidden="false" customHeight="false" outlineLevel="0" collapsed="false">
      <c r="A236" s="575" t="n">
        <v>42248</v>
      </c>
      <c r="B236" s="190" t="n">
        <v>-0.00885005125179275</v>
      </c>
      <c r="C236" s="576" t="n">
        <v>0.00213897889571492</v>
      </c>
      <c r="D236" s="577" t="n">
        <f aca="false">IF(VLOOKUP(A236,[1]!CPIndex,2)=0,VLOOKUP(A236,[1]!CPIndex,6),0)</f>
        <v>0.00213897889571492</v>
      </c>
      <c r="E236" s="576" t="n">
        <v>258.796121365034</v>
      </c>
      <c r="F236" s="577" t="n">
        <f aca="false">IF(VLOOKUP(A236,[1]!CPIndex,2)=0,(F235*EXP(IF(driftswitch=1,D236,$C$4)-1/2*$D$4^2+$D$4*B236)),VLOOKUP(A236,[1]!CPIndex,2))</f>
        <v>259.331132047206</v>
      </c>
      <c r="G236" s="585" t="n">
        <f aca="false">IF(shiftswitch4=1,(F236-F235)/F235,(E236-E235)/E235)</f>
        <v>0.00214050218106346</v>
      </c>
      <c r="H236" s="578" t="n">
        <f aca="false">G236+1</f>
        <v>1.00214050218106</v>
      </c>
    </row>
    <row r="237" customFormat="false" ht="12.75" hidden="false" customHeight="false" outlineLevel="0" collapsed="false">
      <c r="A237" s="575" t="n">
        <v>42278</v>
      </c>
      <c r="B237" s="190" t="n">
        <v>0.00151475742523166</v>
      </c>
      <c r="C237" s="576" t="n">
        <v>0.00214168623748436</v>
      </c>
      <c r="D237" s="577" t="n">
        <f aca="false">IF(VLOOKUP(A237,[1]!CPIndex,2)=0,VLOOKUP(A237,[1]!CPIndex,6),0)</f>
        <v>0.00214168623748436</v>
      </c>
      <c r="E237" s="576" t="n">
        <v>259.350777177508</v>
      </c>
      <c r="F237" s="577" t="n">
        <f aca="false">IF(VLOOKUP(A237,[1]!CPIndex,2)=0,(F236*EXP(IF(driftswitch=1,D237,$C$4)-1/2*$D$4^2+$D$4*B237)),VLOOKUP(A237,[1]!CPIndex,2))</f>
        <v>259.88742122608</v>
      </c>
      <c r="G237" s="585" t="n">
        <f aca="false">IF(shiftswitch4=1,(F237-F236)/F236,(E237-E236)/E236)</f>
        <v>0.00214321532157666</v>
      </c>
      <c r="H237" s="578" t="n">
        <f aca="false">G237+1</f>
        <v>1.00214321532158</v>
      </c>
    </row>
    <row r="238" customFormat="false" ht="12.75" hidden="false" customHeight="false" outlineLevel="0" collapsed="false">
      <c r="A238" s="575" t="n">
        <v>42309</v>
      </c>
      <c r="B238" s="190" t="n">
        <v>0.0557385020486498</v>
      </c>
      <c r="C238" s="576" t="n">
        <v>0.00214439349130049</v>
      </c>
      <c r="D238" s="577" t="n">
        <f aca="false">IF(VLOOKUP(A238,[1]!CPIndex,2)=0,VLOOKUP(A238,[1]!CPIndex,6),0)</f>
        <v>0.00214439349130049</v>
      </c>
      <c r="E238" s="576" t="n">
        <v>259.907325370963</v>
      </c>
      <c r="F238" s="577" t="n">
        <f aca="false">IF(VLOOKUP(A238,[1]!CPIndex,2)=0,(F237*EXP(IF(driftswitch=1,D238,$C$4)-1/2*$D$4^2+$D$4*B238)),VLOOKUP(A238,[1]!CPIndex,2))</f>
        <v>260.463070036907</v>
      </c>
      <c r="G238" s="585" t="n">
        <f aca="false">IF(shiftswitch4=1,(F238-F237)/F237,(E238-E237)/E237)</f>
        <v>0.00214592838129306</v>
      </c>
      <c r="H238" s="578" t="n">
        <f aca="false">G238+1</f>
        <v>1.00214592838129</v>
      </c>
    </row>
    <row r="239" customFormat="false" ht="12.75" hidden="false" customHeight="false" outlineLevel="0" collapsed="false">
      <c r="A239" s="575" t="n">
        <v>42339</v>
      </c>
      <c r="B239" s="190" t="n">
        <v>0.0356192115272421</v>
      </c>
      <c r="C239" s="576" t="n">
        <v>0.00214710065716887</v>
      </c>
      <c r="D239" s="577" t="n">
        <f aca="false">IF(VLOOKUP(A239,[1]!CPIndex,2)=0,VLOOKUP(A239,[1]!CPIndex,6),0)</f>
        <v>0.00214710065716887</v>
      </c>
      <c r="E239" s="576" t="n">
        <v>260.465773000079</v>
      </c>
      <c r="F239" s="577" t="n">
        <f aca="false">IF(VLOOKUP(A239,[1]!CPIndex,2)=0,(F238*EXP(IF(driftswitch=1,D239,$C$4)-1/2*$D$4^2+$D$4*B239)),VLOOKUP(A239,[1]!CPIndex,2))</f>
        <v>261.03420722223</v>
      </c>
      <c r="G239" s="585" t="n">
        <f aca="false">IF(shiftswitch4=1,(F239-F238)/F238,(E239-E238)/E238)</f>
        <v>0.00214864136021773</v>
      </c>
      <c r="H239" s="578" t="n">
        <f aca="false">G239+1</f>
        <v>1.00214864136022</v>
      </c>
    </row>
    <row r="240" customFormat="false" ht="12.75" hidden="false" customHeight="false" outlineLevel="0" collapsed="false">
      <c r="A240" s="575" t="n">
        <v>42370</v>
      </c>
      <c r="B240" s="190" t="n">
        <v>-0.00312113801887453</v>
      </c>
      <c r="C240" s="576" t="n">
        <v>0.00215116124108155</v>
      </c>
      <c r="D240" s="577" t="n">
        <f aca="false">IF(VLOOKUP(A240,[1]!CPIndex,2)=0,VLOOKUP(A240,[1]!CPIndex,6),0)</f>
        <v>0.00215116124108155</v>
      </c>
      <c r="E240" s="576" t="n">
        <v>261.026480450644</v>
      </c>
      <c r="F240" s="577" t="n">
        <f aca="false">IF(VLOOKUP(A240,[1]!CPIndex,2)=0,(F239*EXP(IF(driftswitch=1,D240,$C$4)-1/2*$D$4^2+$D$4*B240)),VLOOKUP(A240,[1]!CPIndex,2))</f>
        <v>261.595128867337</v>
      </c>
      <c r="G240" s="585" t="n">
        <f aca="false">IF(shiftswitch4=1,(F240-F239)/F239,(E240-E239)/E239)</f>
        <v>0.00215271067713079</v>
      </c>
      <c r="H240" s="578" t="n">
        <f aca="false">G240+1</f>
        <v>1.00215271067713</v>
      </c>
    </row>
    <row r="241" customFormat="false" ht="12.75" hidden="false" customHeight="false" outlineLevel="0" collapsed="false">
      <c r="A241" s="575" t="n">
        <v>42401</v>
      </c>
      <c r="B241" s="190" t="n">
        <v>-0.0185745109937859</v>
      </c>
      <c r="C241" s="576" t="n">
        <v>0.00215522162714396</v>
      </c>
      <c r="D241" s="577" t="n">
        <f aca="false">IF(VLOOKUP(A241,[1]!CPIndex,2)=0,VLOOKUP(A241,[1]!CPIndex,6),0)</f>
        <v>0.00215522162714396</v>
      </c>
      <c r="E241" s="576" t="n">
        <v>261.589457094153</v>
      </c>
      <c r="F241" s="577" t="n">
        <f aca="false">IF(VLOOKUP(A241,[1]!CPIndex,2)=0,(F240*EXP(IF(driftswitch=1,D241,$C$4)-1/2*$D$4^2+$D$4*B241)),VLOOKUP(A241,[1]!CPIndex,2))</f>
        <v>262.153311469079</v>
      </c>
      <c r="G241" s="585" t="n">
        <f aca="false">IF(shiftswitch4=1,(F241-F240)/F240,(E241-E240)/E240)</f>
        <v>0.00215677981229082</v>
      </c>
      <c r="H241" s="578" t="n">
        <f aca="false">G241+1</f>
        <v>1.00215677981229</v>
      </c>
    </row>
    <row r="242" customFormat="false" ht="12.75" hidden="false" customHeight="false" outlineLevel="0" collapsed="false">
      <c r="A242" s="575" t="n">
        <v>42430</v>
      </c>
      <c r="B242" s="190" t="n">
        <v>0.0336474774358686</v>
      </c>
      <c r="C242" s="576" t="n">
        <v>0.00215928181537508</v>
      </c>
      <c r="D242" s="577" t="n">
        <f aca="false">IF(VLOOKUP(A242,[1]!CPIndex,2)=0,VLOOKUP(A242,[1]!CPIndex,6),0)</f>
        <v>0.00215928181537508</v>
      </c>
      <c r="E242" s="576" t="n">
        <v>262.154712349639</v>
      </c>
      <c r="F242" s="577" t="n">
        <f aca="false">IF(VLOOKUP(A242,[1]!CPIndex,2)=0,(F241*EXP(IF(driftswitch=1,D242,$C$4)-1/2*$D$4^2+$D$4*B242)),VLOOKUP(A242,[1]!CPIndex,2))</f>
        <v>262.730714835752</v>
      </c>
      <c r="G242" s="585" t="n">
        <f aca="false">IF(shiftswitch4=1,(F242-F241)/F241,(E242-E241)/E241)</f>
        <v>0.00216084876571438</v>
      </c>
      <c r="H242" s="578" t="n">
        <f aca="false">G242+1</f>
        <v>1.00216084876571</v>
      </c>
    </row>
    <row r="243" customFormat="false" ht="12.75" hidden="false" customHeight="false" outlineLevel="0" collapsed="false">
      <c r="A243" s="575" t="n">
        <v>42461</v>
      </c>
      <c r="B243" s="190" t="n">
        <v>-0.0111396247535456</v>
      </c>
      <c r="C243" s="576" t="n">
        <v>0.0021633418057943</v>
      </c>
      <c r="D243" s="577" t="n">
        <f aca="false">IF(VLOOKUP(A243,[1]!CPIndex,2)=0,VLOOKUP(A243,[1]!CPIndex,6),0)</f>
        <v>0.0021633418057943</v>
      </c>
      <c r="E243" s="576" t="n">
        <v>262.722255683921</v>
      </c>
      <c r="F243" s="577" t="n">
        <f aca="false">IF(VLOOKUP(A243,[1]!CPIndex,2)=0,(F242*EXP(IF(driftswitch=1,D243,$C$4)-1/2*$D$4^2+$D$4*B243)),VLOOKUP(A243,[1]!CPIndex,2))</f>
        <v>263.295878800407</v>
      </c>
      <c r="G243" s="585" t="n">
        <f aca="false">IF(shiftswitch4=1,(F243-F242)/F242,(E243-E242)/E242)</f>
        <v>0.00216491753741822</v>
      </c>
      <c r="H243" s="578" t="n">
        <f aca="false">G243+1</f>
        <v>1.00216491753742</v>
      </c>
    </row>
    <row r="244" customFormat="false" ht="12.75" hidden="false" customHeight="false" outlineLevel="0" collapsed="false">
      <c r="A244" s="575" t="n">
        <v>42491</v>
      </c>
      <c r="B244" s="190" t="n">
        <v>-0.0141314149919778</v>
      </c>
      <c r="C244" s="576" t="n">
        <v>0.00216740159842081</v>
      </c>
      <c r="D244" s="577" t="n">
        <f aca="false">IF(VLOOKUP(A244,[1]!CPIndex,2)=0,VLOOKUP(A244,[1]!CPIndex,6),0)</f>
        <v>0.00216740159842081</v>
      </c>
      <c r="E244" s="576" t="n">
        <v>263.292096611864</v>
      </c>
      <c r="F244" s="577" t="n">
        <f aca="false">IF(VLOOKUP(A244,[1]!CPIndex,2)=0,(F243*EXP(IF(driftswitch=1,D244,$C$4)-1/2*$D$4^2+$D$4*B244)),VLOOKUP(A244,[1]!CPIndex,2))</f>
        <v>263.86235369501</v>
      </c>
      <c r="G244" s="585" t="n">
        <f aca="false">IF(shiftswitch4=1,(F244-F243)/F243,(E244-E243)/E243)</f>
        <v>0.00216898612741991</v>
      </c>
      <c r="H244" s="578" t="n">
        <f aca="false">G244+1</f>
        <v>1.00216898612742</v>
      </c>
    </row>
    <row r="245" customFormat="false" ht="12.75" hidden="false" customHeight="false" outlineLevel="0" collapsed="false">
      <c r="A245" s="575" t="n">
        <v>42522</v>
      </c>
      <c r="B245" s="190" t="n">
        <v>-0.0350052901483971</v>
      </c>
      <c r="C245" s="576" t="n">
        <v>0.00217146119327423</v>
      </c>
      <c r="D245" s="577" t="n">
        <f aca="false">IF(VLOOKUP(A245,[1]!CPIndex,2)=0,VLOOKUP(A245,[1]!CPIndex,6),0)</f>
        <v>0.00217146119327423</v>
      </c>
      <c r="E245" s="576" t="n">
        <v>263.86424469663</v>
      </c>
      <c r="F245" s="577" t="n">
        <f aca="false">IF(VLOOKUP(A245,[1]!CPIndex,2)=0,(F244*EXP(IF(driftswitch=1,D245,$C$4)-1/2*$D$4^2+$D$4*B245)),VLOOKUP(A245,[1]!CPIndex,2))</f>
        <v>264.424296431677</v>
      </c>
      <c r="G245" s="585" t="n">
        <f aca="false">IF(shiftswitch4=1,(F245-F244)/F244,(E245-E244)/E244)</f>
        <v>0.0021730545357364</v>
      </c>
      <c r="H245" s="578" t="n">
        <f aca="false">G245+1</f>
        <v>1.00217305453574</v>
      </c>
    </row>
    <row r="246" customFormat="false" ht="12.75" hidden="false" customHeight="false" outlineLevel="0" collapsed="false">
      <c r="A246" s="575" t="n">
        <v>42552</v>
      </c>
      <c r="B246" s="190" t="n">
        <v>0.0279793464655987</v>
      </c>
      <c r="C246" s="576" t="n">
        <v>0.00217552059037331</v>
      </c>
      <c r="D246" s="577" t="n">
        <f aca="false">IF(VLOOKUP(A246,[1]!CPIndex,2)=0,VLOOKUP(A246,[1]!CPIndex,6),0)</f>
        <v>0.00217552059037331</v>
      </c>
      <c r="E246" s="576" t="n">
        <v>264.438709549938</v>
      </c>
      <c r="F246" s="577" t="n">
        <f aca="false">IF(VLOOKUP(A246,[1]!CPIndex,2)=0,(F245*EXP(IF(driftswitch=1,D246,$C$4)-1/2*$D$4^2+$D$4*B246)),VLOOKUP(A246,[1]!CPIndex,2))</f>
        <v>265.009147963998</v>
      </c>
      <c r="G246" s="585" t="n">
        <f aca="false">IF(shiftswitch4=1,(F246-F245)/F245,(E246-E245)/E245)</f>
        <v>0.00217712276238386</v>
      </c>
      <c r="H246" s="578" t="n">
        <f aca="false">G246+1</f>
        <v>1.00217712276238</v>
      </c>
    </row>
    <row r="247" customFormat="false" ht="12.75" hidden="false" customHeight="false" outlineLevel="0" collapsed="false">
      <c r="A247" s="575" t="n">
        <v>42583</v>
      </c>
      <c r="B247" s="190" t="n">
        <v>-0.00997520451004105</v>
      </c>
      <c r="C247" s="576" t="n">
        <v>0.00217957978973765</v>
      </c>
      <c r="D247" s="577" t="n">
        <f aca="false">IF(VLOOKUP(A247,[1]!CPIndex,2)=0,VLOOKUP(A247,[1]!CPIndex,6),0)</f>
        <v>0.00217957978973765</v>
      </c>
      <c r="E247" s="576" t="n">
        <v>265.015500832324</v>
      </c>
      <c r="F247" s="577" t="n">
        <f aca="false">IF(VLOOKUP(A247,[1]!CPIndex,2)=0,(F246*EXP(IF(driftswitch=1,D247,$C$4)-1/2*$D$4^2+$D$4*B247)),VLOOKUP(A247,[1]!CPIndex,2))</f>
        <v>265.583907959979</v>
      </c>
      <c r="G247" s="585" t="n">
        <f aca="false">IF(shiftswitch4=1,(F247-F246)/F246,(E247-E246)/E246)</f>
        <v>0.00218119080738011</v>
      </c>
      <c r="H247" s="578" t="n">
        <f aca="false">G247+1</f>
        <v>1.00218119080738</v>
      </c>
    </row>
    <row r="248" customFormat="false" ht="12.75" hidden="false" customHeight="false" outlineLevel="0" collapsed="false">
      <c r="A248" s="575" t="n">
        <v>42614</v>
      </c>
      <c r="B248" s="190" t="n">
        <v>0.00953776869407227</v>
      </c>
      <c r="C248" s="576" t="n">
        <v>0.00218363879138645</v>
      </c>
      <c r="D248" s="577" t="n">
        <f aca="false">IF(VLOOKUP(A248,[1]!CPIndex,2)=0,VLOOKUP(A248,[1]!CPIndex,6),0)</f>
        <v>0.00218363879138645</v>
      </c>
      <c r="E248" s="576" t="n">
        <v>265.594628253399</v>
      </c>
      <c r="F248" s="577" t="n">
        <f aca="false">IF(VLOOKUP(A248,[1]!CPIndex,2)=0,(F247*EXP(IF(driftswitch=1,D248,$C$4)-1/2*$D$4^2+$D$4*B248)),VLOOKUP(A248,[1]!CPIndex,2))</f>
        <v>266.167416223012</v>
      </c>
      <c r="G248" s="585" t="n">
        <f aca="false">IF(shiftswitch4=1,(F248-F247)/F247,(E248-E247)/E247)</f>
        <v>0.00218525867074158</v>
      </c>
      <c r="H248" s="578" t="n">
        <f aca="false">G248+1</f>
        <v>1.00218525867074</v>
      </c>
    </row>
    <row r="249" customFormat="false" ht="12.75" hidden="false" customHeight="false" outlineLevel="0" collapsed="false">
      <c r="A249" s="575" t="n">
        <v>42644</v>
      </c>
      <c r="B249" s="190" t="n">
        <v>0.0303731418911704</v>
      </c>
      <c r="C249" s="576" t="n">
        <v>0.00218769759533888</v>
      </c>
      <c r="D249" s="577" t="n">
        <f aca="false">IF(VLOOKUP(A249,[1]!CPIndex,2)=0,VLOOKUP(A249,[1]!CPIndex,6),0)</f>
        <v>0.00218769759533888</v>
      </c>
      <c r="E249" s="576" t="n">
        <v>266.176101572113</v>
      </c>
      <c r="F249" s="577" t="n">
        <f aca="false">IF(VLOOKUP(A249,[1]!CPIndex,2)=0,(F248*EXP(IF(driftswitch=1,D249,$C$4)-1/2*$D$4^2+$D$4*B249)),VLOOKUP(A249,[1]!CPIndex,2))</f>
        <v>266.760161001222</v>
      </c>
      <c r="G249" s="585" t="n">
        <f aca="false">IF(shiftswitch4=1,(F249-F248)/F248,(E249-E248)/E248)</f>
        <v>0.00218932635248563</v>
      </c>
      <c r="H249" s="578" t="n">
        <f aca="false">G249+1</f>
        <v>1.00218932635249</v>
      </c>
    </row>
    <row r="250" customFormat="false" ht="12.75" hidden="false" customHeight="false" outlineLevel="0" collapsed="false">
      <c r="A250" s="575" t="n">
        <v>42675</v>
      </c>
      <c r="B250" s="190" t="n">
        <v>-0.026790951242398</v>
      </c>
      <c r="C250" s="576" t="n">
        <v>0.00219175620161412</v>
      </c>
      <c r="D250" s="577" t="n">
        <f aca="false">IF(VLOOKUP(A250,[1]!CPIndex,2)=0,VLOOKUP(A250,[1]!CPIndex,6),0)</f>
        <v>0.00219175620161412</v>
      </c>
      <c r="E250" s="576" t="n">
        <v>266.759930597017</v>
      </c>
      <c r="F250" s="577" t="n">
        <f aca="false">IF(VLOOKUP(A250,[1]!CPIndex,2)=0,(F249*EXP(IF(driftswitch=1,D250,$C$4)-1/2*$D$4^2+$D$4*B250)),VLOOKUP(A250,[1]!CPIndex,2))</f>
        <v>267.336415709374</v>
      </c>
      <c r="G250" s="585" t="n">
        <f aca="false">IF(shiftswitch4=1,(F250-F249)/F249,(E250-E249)/E249)</f>
        <v>0.00219339385262854</v>
      </c>
      <c r="H250" s="578" t="n">
        <f aca="false">G250+1</f>
        <v>1.00219339385263</v>
      </c>
    </row>
    <row r="251" customFormat="false" ht="12.75" hidden="false" customHeight="false" outlineLevel="0" collapsed="false">
      <c r="A251" s="575" t="n">
        <v>42705</v>
      </c>
      <c r="B251" s="190" t="n">
        <v>0.0459541473178249</v>
      </c>
      <c r="C251" s="576" t="n">
        <v>0.00219581461023179</v>
      </c>
      <c r="D251" s="577" t="n">
        <f aca="false">IF(VLOOKUP(A251,[1]!CPIndex,2)=0,VLOOKUP(A251,[1]!CPIndex,6),0)</f>
        <v>0.00219581461023179</v>
      </c>
      <c r="E251" s="576" t="n">
        <v>267.346125186533</v>
      </c>
      <c r="F251" s="577" t="n">
        <f aca="false">IF(VLOOKUP(A251,[1]!CPIndex,2)=0,(F250*EXP(IF(driftswitch=1,D251,$C$4)-1/2*$D$4^2+$D$4*B251)),VLOOKUP(A251,[1]!CPIndex,2))</f>
        <v>267.939100187479</v>
      </c>
      <c r="G251" s="585" t="n">
        <f aca="false">IF(shiftswitch4=1,(F251-F250)/F250,(E251-E250)/E250)</f>
        <v>0.00219746117118839</v>
      </c>
      <c r="H251" s="578" t="n">
        <f aca="false">G251+1</f>
        <v>1.00219746117119</v>
      </c>
    </row>
    <row r="252" customFormat="false" ht="12.75" hidden="false" customHeight="false" outlineLevel="0" collapsed="false">
      <c r="A252" s="575" t="n">
        <v>42736</v>
      </c>
      <c r="B252" s="190" t="n">
        <v>-0.00810576192750723</v>
      </c>
      <c r="C252" s="576" t="n">
        <v>0.00219852010617662</v>
      </c>
      <c r="D252" s="577" t="n">
        <f aca="false">IF(VLOOKUP(A252,[1]!CPIndex,2)=0,VLOOKUP(A252,[1]!CPIndex,6),0)</f>
        <v>0.00219852010617662</v>
      </c>
      <c r="E252" s="576" t="n">
        <v>267.934332810169</v>
      </c>
      <c r="F252" s="577" t="n">
        <f aca="false">IF(VLOOKUP(A252,[1]!CPIndex,2)=0,(F251*EXP(IF(driftswitch=1,D252,$C$4)-1/2*$D$4^2+$D$4*B252)),VLOOKUP(A252,[1]!CPIndex,2))</f>
        <v>268.525921317571</v>
      </c>
      <c r="G252" s="585" t="n">
        <f aca="false">IF(shiftswitch4=1,(F252-F251)/F251,(E252-E251)/E251)</f>
        <v>0.00220017261602333</v>
      </c>
      <c r="H252" s="578" t="n">
        <f aca="false">G252+1</f>
        <v>1.00220017261602</v>
      </c>
    </row>
    <row r="253" customFormat="false" ht="12.75" hidden="false" customHeight="false" outlineLevel="0" collapsed="false">
      <c r="A253" s="575" t="n">
        <v>42767</v>
      </c>
      <c r="B253" s="190" t="n">
        <v>0.0137404069558043</v>
      </c>
      <c r="C253" s="576" t="n">
        <v>0.00220122551428751</v>
      </c>
      <c r="D253" s="577" t="n">
        <f aca="false">IF(VLOOKUP(A253,[1]!CPIndex,2)=0,VLOOKUP(A253,[1]!CPIndex,6),0)</f>
        <v>0.00220122551428751</v>
      </c>
      <c r="E253" s="576" t="n">
        <v>268.524561059653</v>
      </c>
      <c r="F253" s="577" t="n">
        <f aca="false">IF(VLOOKUP(A253,[1]!CPIndex,2)=0,(F252*EXP(IF(driftswitch=1,D253,$C$4)-1/2*$D$4^2+$D$4*B253)),VLOOKUP(A253,[1]!CPIndex,2))</f>
        <v>269.122024695556</v>
      </c>
      <c r="G253" s="585" t="n">
        <f aca="false">IF(shiftswitch4=1,(F253-F252)/F252,(E253-E252)/E252)</f>
        <v>0.00220288398016658</v>
      </c>
      <c r="H253" s="578" t="n">
        <f aca="false">G253+1</f>
        <v>1.00220288398017</v>
      </c>
    </row>
    <row r="254" customFormat="false" ht="12.75" hidden="false" customHeight="false" outlineLevel="0" collapsed="false">
      <c r="A254" s="575" t="n">
        <v>42795</v>
      </c>
      <c r="B254" s="190" t="n">
        <v>0.0632630864424291</v>
      </c>
      <c r="C254" s="576" t="n">
        <v>0.00220393083457069</v>
      </c>
      <c r="D254" s="577" t="n">
        <f aca="false">IF(VLOOKUP(A254,[1]!CPIndex,2)=0,VLOOKUP(A254,[1]!CPIndex,6),0)</f>
        <v>0.00220393083457069</v>
      </c>
      <c r="E254" s="576" t="n">
        <v>269.116817559693</v>
      </c>
      <c r="F254" s="577" t="n">
        <f aca="false">IF(VLOOKUP(A254,[1]!CPIndex,2)=0,(F253*EXP(IF(driftswitch=1,D254,$C$4)-1/2*$D$4^2+$D$4*B254)),VLOOKUP(A254,[1]!CPIndex,2))</f>
        <v>269.736696294926</v>
      </c>
      <c r="G254" s="585" t="n">
        <f aca="false">IF(shiftswitch4=1,(F254-F253)/F253,(E254-E253)/E253)</f>
        <v>0.00220559526362394</v>
      </c>
      <c r="H254" s="578" t="n">
        <f aca="false">G254+1</f>
        <v>1.00220559526362</v>
      </c>
    </row>
    <row r="255" customFormat="false" ht="12.75" hidden="false" customHeight="false" outlineLevel="0" collapsed="false">
      <c r="A255" s="575" t="n">
        <v>42826</v>
      </c>
      <c r="B255" s="190" t="n">
        <v>0.0294078036870669</v>
      </c>
      <c r="C255" s="576" t="n">
        <v>0.00220663606703151</v>
      </c>
      <c r="D255" s="577" t="n">
        <f aca="false">IF(VLOOKUP(A255,[1]!CPIndex,2)=0,VLOOKUP(A255,[1]!CPIndex,6),0)</f>
        <v>0.00220663606703151</v>
      </c>
      <c r="E255" s="576" t="n">
        <v>269.711109968127</v>
      </c>
      <c r="F255" s="577" t="n">
        <f aca="false">IF(VLOOKUP(A255,[1]!CPIndex,2)=0,(F254*EXP(IF(driftswitch=1,D255,$C$4)-1/2*$D$4^2+$D$4*B255)),VLOOKUP(A255,[1]!CPIndex,2))</f>
        <v>270.342186888499</v>
      </c>
      <c r="G255" s="585" t="n">
        <f aca="false">IF(shiftswitch4=1,(F255-F254)/F254,(E255-E254)/E254)</f>
        <v>0.0022083064664</v>
      </c>
      <c r="H255" s="578" t="n">
        <f aca="false">G255+1</f>
        <v>1.0022083064664</v>
      </c>
    </row>
    <row r="256" customFormat="false" ht="12.75" hidden="false" customHeight="false" outlineLevel="0" collapsed="false">
      <c r="A256" s="575" t="n">
        <v>42856</v>
      </c>
      <c r="B256" s="190" t="n">
        <v>0.0331111706691917</v>
      </c>
      <c r="C256" s="576" t="n">
        <v>0.00220934121167576</v>
      </c>
      <c r="D256" s="577" t="n">
        <f aca="false">IF(VLOOKUP(A256,[1]!CPIndex,2)=0,VLOOKUP(A256,[1]!CPIndex,6),0)</f>
        <v>0.00220934121167576</v>
      </c>
      <c r="E256" s="576" t="n">
        <v>270.30744597608</v>
      </c>
      <c r="F256" s="577" t="n">
        <f aca="false">IF(VLOOKUP(A256,[1]!CPIndex,2)=0,(F255*EXP(IF(driftswitch=1,D256,$C$4)-1/2*$D$4^2+$D$4*B256)),VLOOKUP(A256,[1]!CPIndex,2))</f>
        <v>270.95101023807</v>
      </c>
      <c r="G256" s="585" t="n">
        <f aca="false">IF(shiftswitch4=1,(F256-F255)/F255,(E256-E255)/E255)</f>
        <v>0.00221101758849973</v>
      </c>
      <c r="H256" s="578" t="n">
        <f aca="false">G256+1</f>
        <v>1.0022110175885</v>
      </c>
    </row>
    <row r="257" customFormat="false" ht="12.75" hidden="false" customHeight="false" outlineLevel="0" collapsed="false">
      <c r="A257" s="575" t="n">
        <v>42887</v>
      </c>
      <c r="B257" s="190" t="n">
        <v>0.0116108753977105</v>
      </c>
      <c r="C257" s="576" t="n">
        <v>0.00221204626850945</v>
      </c>
      <c r="D257" s="577" t="n">
        <f aca="false">IF(VLOOKUP(A257,[1]!CPIndex,2)=0,VLOOKUP(A257,[1]!CPIndex,6),0)</f>
        <v>0.00221204626850945</v>
      </c>
      <c r="E257" s="576" t="n">
        <v>270.90583330812</v>
      </c>
      <c r="F257" s="577" t="n">
        <f aca="false">IF(VLOOKUP(A257,[1]!CPIndex,2)=0,(F256*EXP(IF(driftswitch=1,D257,$C$4)-1/2*$D$4^2+$D$4*B257)),VLOOKUP(A257,[1]!CPIndex,2))</f>
        <v>271.554720530114</v>
      </c>
      <c r="G257" s="585" t="n">
        <f aca="false">IF(shiftswitch4=1,(F257-F256)/F256,(E257-E256)/E256)</f>
        <v>0.00221372862992847</v>
      </c>
      <c r="H257" s="578" t="n">
        <f aca="false">G257+1</f>
        <v>1.00221372862993</v>
      </c>
    </row>
    <row r="258" customFormat="false" ht="12.75" hidden="false" customHeight="false" outlineLevel="0" collapsed="false">
      <c r="A258" s="575" t="n">
        <v>42917</v>
      </c>
      <c r="B258" s="190" t="n">
        <v>-0.0430127470787679</v>
      </c>
      <c r="C258" s="576" t="n">
        <v>0.0022147512375377</v>
      </c>
      <c r="D258" s="577" t="n">
        <f aca="false">IF(VLOOKUP(A258,[1]!CPIndex,2)=0,VLOOKUP(A258,[1]!CPIndex,6),0)</f>
        <v>0.0022147512375377</v>
      </c>
      <c r="E258" s="576" t="n">
        <v>271.506279722413</v>
      </c>
      <c r="F258" s="577" t="n">
        <f aca="false">IF(VLOOKUP(A258,[1]!CPIndex,2)=0,(F257*EXP(IF(driftswitch=1,D258,$C$4)-1/2*$D$4^2+$D$4*B258)),VLOOKUP(A258,[1]!CPIndex,2))</f>
        <v>272.14213215871</v>
      </c>
      <c r="G258" s="585" t="n">
        <f aca="false">IF(shiftswitch4=1,(F258-F257)/F257,(E258-E257)/E257)</f>
        <v>0.00221643959069049</v>
      </c>
      <c r="H258" s="578" t="n">
        <f aca="false">G258+1</f>
        <v>1.00221643959069</v>
      </c>
    </row>
    <row r="259" customFormat="false" ht="12.75" hidden="false" customHeight="false" outlineLevel="0" collapsed="false">
      <c r="A259" s="575" t="n">
        <v>42948</v>
      </c>
      <c r="B259" s="190" t="n">
        <v>0.00559247163755207</v>
      </c>
      <c r="C259" s="576" t="n">
        <v>0.00221745611876652</v>
      </c>
      <c r="D259" s="577" t="n">
        <f aca="false">IF(VLOOKUP(A259,[1]!CPIndex,2)=0,VLOOKUP(A259,[1]!CPIndex,6),0)</f>
        <v>0.00221745611876652</v>
      </c>
      <c r="E259" s="576" t="n">
        <v>272.108793010882</v>
      </c>
      <c r="F259" s="577" t="n">
        <f aca="false">IF(VLOOKUP(A259,[1]!CPIndex,2)=0,(F258*EXP(IF(driftswitch=1,D259,$C$4)-1/2*$D$4^2+$D$4*B259)),VLOOKUP(A259,[1]!CPIndex,2))</f>
        <v>272.747942396427</v>
      </c>
      <c r="G259" s="585" t="n">
        <f aca="false">IF(shiftswitch4=1,(F259-F258)/F258,(E259-E258)/E258)</f>
        <v>0.00221915047079155</v>
      </c>
      <c r="H259" s="578" t="n">
        <f aca="false">G259+1</f>
        <v>1.00221915047079</v>
      </c>
    </row>
    <row r="260" customFormat="false" ht="12.75" hidden="false" customHeight="false" outlineLevel="0" collapsed="false">
      <c r="A260" s="575" t="n">
        <v>42979</v>
      </c>
      <c r="B260" s="190" t="n">
        <v>-0.0113290124700158</v>
      </c>
      <c r="C260" s="576" t="n">
        <v>0.0022201609122017</v>
      </c>
      <c r="D260" s="577" t="n">
        <f aca="false">IF(VLOOKUP(A260,[1]!CPIndex,2)=0,VLOOKUP(A260,[1]!CPIndex,6),0)</f>
        <v>0.0022201609122017</v>
      </c>
      <c r="E260" s="576" t="n">
        <v>272.713380999364</v>
      </c>
      <c r="F260" s="577" t="n">
        <f aca="false">IF(VLOOKUP(A260,[1]!CPIndex,2)=0,(F259*EXP(IF(driftswitch=1,D260,$C$4)-1/2*$D$4^2+$D$4*B260)),VLOOKUP(A260,[1]!CPIndex,2))</f>
        <v>273.350121634264</v>
      </c>
      <c r="G260" s="585" t="n">
        <f aca="false">IF(shiftswitch4=1,(F260-F259)/F259,(E260-E259)/E259)</f>
        <v>0.0022218612702363</v>
      </c>
      <c r="H260" s="578" t="n">
        <f aca="false">G260+1</f>
        <v>1.00222186127024</v>
      </c>
    </row>
    <row r="261" customFormat="false" ht="12.75" hidden="false" customHeight="false" outlineLevel="0" collapsed="false">
      <c r="A261" s="575" t="n">
        <v>43009</v>
      </c>
      <c r="B261" s="190" t="n">
        <v>0.057600739501947</v>
      </c>
      <c r="C261" s="576" t="n">
        <v>0.00222286561784881</v>
      </c>
      <c r="D261" s="577" t="n">
        <f aca="false">IF(VLOOKUP(A261,[1]!CPIndex,2)=0,VLOOKUP(A261,[1]!CPIndex,6),0)</f>
        <v>0.00222286561784881</v>
      </c>
      <c r="E261" s="576" t="n">
        <v>273.320051547769</v>
      </c>
      <c r="F261" s="577" t="n">
        <f aca="false">IF(VLOOKUP(A261,[1]!CPIndex,2)=0,(F260*EXP(IF(driftswitch=1,D261,$C$4)-1/2*$D$4^2+$D$4*B261)),VLOOKUP(A261,[1]!CPIndex,2))</f>
        <v>273.977719770998</v>
      </c>
      <c r="G261" s="585" t="n">
        <f aca="false">IF(shiftswitch4=1,(F261-F260)/F260,(E261-E260)/E260)</f>
        <v>0.00222457198903</v>
      </c>
      <c r="H261" s="578" t="n">
        <f aca="false">G261+1</f>
        <v>1.00222457198903</v>
      </c>
    </row>
    <row r="262" customFormat="false" ht="12.75" hidden="false" customHeight="false" outlineLevel="0" collapsed="false">
      <c r="A262" s="575" t="n">
        <v>43040</v>
      </c>
      <c r="B262" s="190" t="n">
        <v>0.0397224995490209</v>
      </c>
      <c r="C262" s="576" t="n">
        <v>0.00222557023571363</v>
      </c>
      <c r="D262" s="577" t="n">
        <f aca="false">IF(VLOOKUP(A262,[1]!CPIndex,2)=0,VLOOKUP(A262,[1]!CPIndex,6),0)</f>
        <v>0.00222557023571363</v>
      </c>
      <c r="E262" s="576" t="n">
        <v>273.92881255024</v>
      </c>
      <c r="F262" s="577" t="n">
        <f aca="false">IF(VLOOKUP(A262,[1]!CPIndex,2)=0,(F261*EXP(IF(driftswitch=1,D262,$C$4)-1/2*$D$4^2+$D$4*B262)),VLOOKUP(A262,[1]!CPIndex,2))</f>
        <v>274.601431578633</v>
      </c>
      <c r="G262" s="585" t="n">
        <f aca="false">IF(shiftswitch4=1,(F262-F261)/F261,(E262-E261)/E261)</f>
        <v>0.00222728262717757</v>
      </c>
      <c r="H262" s="578" t="n">
        <f aca="false">G262+1</f>
        <v>1.00222728262718</v>
      </c>
    </row>
    <row r="263" customFormat="false" ht="12.75" hidden="false" customHeight="false" outlineLevel="0" collapsed="false">
      <c r="A263" s="575" t="n">
        <v>43070</v>
      </c>
      <c r="B263" s="190" t="n">
        <v>-0.0296205727488441</v>
      </c>
      <c r="C263" s="576" t="n">
        <v>0.00222827476580173</v>
      </c>
      <c r="D263" s="577" t="n">
        <f aca="false">IF(VLOOKUP(A263,[1]!CPIndex,2)=0,VLOOKUP(A263,[1]!CPIndex,6),0)</f>
        <v>0.00222827476580173</v>
      </c>
      <c r="E263" s="576" t="n">
        <v>274.539671935316</v>
      </c>
      <c r="F263" s="577" t="n">
        <f aca="false">IF(VLOOKUP(A263,[1]!CPIndex,2)=0,(F262*EXP(IF(driftswitch=1,D263,$C$4)-1/2*$D$4^2+$D$4*B263)),VLOOKUP(A263,[1]!CPIndex,2))</f>
        <v>275.203712074816</v>
      </c>
      <c r="G263" s="585" t="n">
        <f aca="false">IF(shiftswitch4=1,(F263-F262)/F262,(E263-E262)/E262)</f>
        <v>0.00222999318468404</v>
      </c>
      <c r="H263" s="578" t="n">
        <f aca="false">G263+1</f>
        <v>1.00222999318468</v>
      </c>
    </row>
    <row r="264" customFormat="false" ht="12.75" hidden="false" customHeight="false" outlineLevel="0" collapsed="false">
      <c r="A264" s="575" t="n">
        <v>43101</v>
      </c>
      <c r="B264" s="190" t="n">
        <v>-0.0299116717064331</v>
      </c>
      <c r="C264" s="576" t="n">
        <v>0.00223030310576802</v>
      </c>
      <c r="D264" s="577" t="n">
        <f aca="false">IF(VLOOKUP(A264,[1]!CPIndex,2)=0,VLOOKUP(A264,[1]!CPIndex,6),0)</f>
        <v>0.00223030310576802</v>
      </c>
      <c r="E264" s="576" t="n">
        <v>275.152451634805</v>
      </c>
      <c r="F264" s="577" t="n">
        <f aca="false">IF(VLOOKUP(A264,[1]!CPIndex,2)=0,(F263*EXP(IF(driftswitch=1,D264,$C$4)-1/2*$D$4^2+$D$4*B264)),VLOOKUP(A264,[1]!CPIndex,2))</f>
        <v>275.807773711975</v>
      </c>
      <c r="G264" s="585" t="n">
        <f aca="false">IF(shiftswitch4=1,(F264-F263)/F263,(E264-E263)/E263)</f>
        <v>0.00223202604989619</v>
      </c>
      <c r="H264" s="578" t="n">
        <f aca="false">G264+1</f>
        <v>1.0022320260499</v>
      </c>
    </row>
    <row r="265" customFormat="false" ht="12.75" hidden="false" customHeight="false" outlineLevel="0" collapsed="false">
      <c r="A265" s="575" t="n">
        <v>43132</v>
      </c>
      <c r="B265" s="190" t="n">
        <v>0.00626520212124291</v>
      </c>
      <c r="C265" s="576" t="n">
        <v>0.00223233139636535</v>
      </c>
      <c r="D265" s="577" t="n">
        <f aca="false">IF(VLOOKUP(A265,[1]!CPIndex,2)=0,VLOOKUP(A265,[1]!CPIndex,6),0)</f>
        <v>0.00223233139636535</v>
      </c>
      <c r="E265" s="576" t="n">
        <v>275.767158409914</v>
      </c>
      <c r="F265" s="577" t="n">
        <f aca="false">IF(VLOOKUP(A265,[1]!CPIndex,2)=0,(F264*EXP(IF(driftswitch=1,D265,$C$4)-1/2*$D$4^2+$D$4*B265)),VLOOKUP(A265,[1]!CPIndex,2))</f>
        <v>276.426085761504</v>
      </c>
      <c r="G265" s="585" t="n">
        <f aca="false">IF(shiftswitch4=1,(F265-F264)/F264,(E265-E264)/E264)</f>
        <v>0.00223405886975261</v>
      </c>
      <c r="H265" s="578" t="n">
        <f aca="false">G265+1</f>
        <v>1.00223405886975</v>
      </c>
    </row>
    <row r="266" customFormat="false" ht="12.75" hidden="false" customHeight="false" outlineLevel="0" collapsed="false">
      <c r="A266" s="575" t="n">
        <v>43160</v>
      </c>
      <c r="B266" s="190" t="n">
        <v>0.0204636396643141</v>
      </c>
      <c r="C266" s="576" t="n">
        <v>0.00223435963759623</v>
      </c>
      <c r="D266" s="577" t="n">
        <f aca="false">IF(VLOOKUP(A266,[1]!CPIndex,2)=0,VLOOKUP(A266,[1]!CPIndex,6),0)</f>
        <v>0.00223435963759623</v>
      </c>
      <c r="E266" s="576" t="n">
        <v>276.383799048595</v>
      </c>
      <c r="F266" s="577" t="n">
        <f aca="false">IF(VLOOKUP(A266,[1]!CPIndex,2)=0,(F265*EXP(IF(driftswitch=1,D266,$C$4)-1/2*$D$4^2+$D$4*B266)),VLOOKUP(A266,[1]!CPIndex,2))</f>
        <v>277.051209396335</v>
      </c>
      <c r="G266" s="585" t="n">
        <f aca="false">IF(shiftswitch4=1,(F266-F265)/F265,(E266-E265)/E265)</f>
        <v>0.00223609164425514</v>
      </c>
      <c r="H266" s="578" t="n">
        <f aca="false">G266+1</f>
        <v>1.00223609164426</v>
      </c>
    </row>
    <row r="267" customFormat="false" ht="12.75" hidden="false" customHeight="false" outlineLevel="0" collapsed="false">
      <c r="A267" s="575" t="n">
        <v>43191</v>
      </c>
      <c r="B267" s="190" t="n">
        <v>-0.0273008299773337</v>
      </c>
      <c r="C267" s="576" t="n">
        <v>0.00223638782946339</v>
      </c>
      <c r="D267" s="577" t="n">
        <f aca="false">IF(VLOOKUP(A267,[1]!CPIndex,2)=0,VLOOKUP(A267,[1]!CPIndex,6),0)</f>
        <v>0.00223638782946339</v>
      </c>
      <c r="E267" s="576" t="n">
        <v>277.00238036566</v>
      </c>
      <c r="F267" s="577" t="n">
        <f aca="false">IF(VLOOKUP(A267,[1]!CPIndex,2)=0,(F266*EXP(IF(driftswitch=1,D267,$C$4)-1/2*$D$4^2+$D$4*B267)),VLOOKUP(A267,[1]!CPIndex,2))</f>
        <v>277.661911998699</v>
      </c>
      <c r="G267" s="585" t="n">
        <f aca="false">IF(shiftswitch4=1,(F267-F266)/F266,(E267-E266)/E266)</f>
        <v>0.00223812437340662</v>
      </c>
      <c r="H267" s="578" t="n">
        <f aca="false">G267+1</f>
        <v>1.00223812437341</v>
      </c>
    </row>
    <row r="268" customFormat="false" ht="12.75" hidden="false" customHeight="false" outlineLevel="0" collapsed="false">
      <c r="A268" s="575" t="n">
        <v>43221</v>
      </c>
      <c r="B268" s="190" t="n">
        <v>-0.0292483062700418</v>
      </c>
      <c r="C268" s="576" t="n">
        <v>0.00223841597196889</v>
      </c>
      <c r="D268" s="577" t="n">
        <f aca="false">IF(VLOOKUP(A268,[1]!CPIndex,2)=0,VLOOKUP(A268,[1]!CPIndex,6),0)</f>
        <v>0.00223841597196889</v>
      </c>
      <c r="E268" s="576" t="n">
        <v>277.6229092029</v>
      </c>
      <c r="F268" s="577" t="n">
        <f aca="false">IF(VLOOKUP(A268,[1]!CPIndex,2)=0,(F267*EXP(IF(driftswitch=1,D268,$C$4)-1/2*$D$4^2+$D$4*B268)),VLOOKUP(A268,[1]!CPIndex,2))</f>
        <v>278.273855111784</v>
      </c>
      <c r="G268" s="585" t="n">
        <f aca="false">IF(shiftswitch4=1,(F268-F267)/F267,(E268-E267)/E267)</f>
        <v>0.00224015705720856</v>
      </c>
      <c r="H268" s="578" t="n">
        <f aca="false">G268+1</f>
        <v>1.00224015705721</v>
      </c>
    </row>
    <row r="269" customFormat="false" ht="12.75" hidden="false" customHeight="false" outlineLevel="0" collapsed="false">
      <c r="A269" s="575" t="n">
        <v>43252</v>
      </c>
      <c r="B269" s="190" t="n">
        <v>0.00128243343890391</v>
      </c>
      <c r="C269" s="576" t="n">
        <v>0.00224044406511523</v>
      </c>
      <c r="D269" s="577" t="n">
        <f aca="false">IF(VLOOKUP(A269,[1]!CPIndex,2)=0,VLOOKUP(A269,[1]!CPIndex,6),0)</f>
        <v>0.00224044406511523</v>
      </c>
      <c r="E269" s="576" t="n">
        <v>278.245392429195</v>
      </c>
      <c r="F269" s="577" t="n">
        <f aca="false">IF(VLOOKUP(A269,[1]!CPIndex,2)=0,(F268*EXP(IF(driftswitch=1,D269,$C$4)-1/2*$D$4^2+$D$4*B269)),VLOOKUP(A269,[1]!CPIndex,2))</f>
        <v>278.898240098301</v>
      </c>
      <c r="G269" s="585" t="n">
        <f aca="false">IF(shiftswitch4=1,(F269-F268)/F268,(E269-E268)/E268)</f>
        <v>0.00224218969566318</v>
      </c>
      <c r="H269" s="578" t="n">
        <f aca="false">G269+1</f>
        <v>1.00224218969566</v>
      </c>
    </row>
    <row r="270" customFormat="false" ht="12.75" hidden="false" customHeight="false" outlineLevel="0" collapsed="false">
      <c r="A270" s="575" t="n">
        <v>43282</v>
      </c>
      <c r="B270" s="190" t="n">
        <v>-0.0125326803862031</v>
      </c>
      <c r="C270" s="576" t="n">
        <v>0.00224247210890472</v>
      </c>
      <c r="D270" s="577" t="n">
        <f aca="false">IF(VLOOKUP(A270,[1]!CPIndex,2)=0,VLOOKUP(A270,[1]!CPIndex,6),0)</f>
        <v>0.00224247210890472</v>
      </c>
      <c r="E270" s="576" t="n">
        <v>278.869836940633</v>
      </c>
      <c r="F270" s="577" t="n">
        <f aca="false">IF(VLOOKUP(A270,[1]!CPIndex,2)=0,(F269*EXP(IF(driftswitch=1,D270,$C$4)-1/2*$D$4^2+$D$4*B270)),VLOOKUP(A270,[1]!CPIndex,2))</f>
        <v>279.519818486212</v>
      </c>
      <c r="G270" s="585" t="n">
        <f aca="false">IF(shiftswitch4=1,(F270-F269)/F269,(E270-E269)/E269)</f>
        <v>0.00224422228877289</v>
      </c>
      <c r="H270" s="578" t="n">
        <f aca="false">G270+1</f>
        <v>1.00224422228877</v>
      </c>
    </row>
    <row r="271" customFormat="false" ht="12.75" hidden="false" customHeight="false" outlineLevel="0" collapsed="false">
      <c r="A271" s="575" t="n">
        <v>43313</v>
      </c>
      <c r="B271" s="190" t="n">
        <v>-0.0482067831601692</v>
      </c>
      <c r="C271" s="576" t="n">
        <v>0.00224450010334006</v>
      </c>
      <c r="D271" s="577" t="n">
        <f aca="false">IF(VLOOKUP(A271,[1]!CPIndex,2)=0,VLOOKUP(A271,[1]!CPIndex,6),0)</f>
        <v>0.00224450010334006</v>
      </c>
      <c r="E271" s="576" t="n">
        <v>279.496249660625</v>
      </c>
      <c r="F271" s="577" t="n">
        <f aca="false">IF(VLOOKUP(A271,[1]!CPIndex,2)=0,(F270*EXP(IF(driftswitch=1,D271,$C$4)-1/2*$D$4^2+$D$4*B271)),VLOOKUP(A271,[1]!CPIndex,2))</f>
        <v>280.130994306841</v>
      </c>
      <c r="G271" s="585" t="n">
        <f aca="false">IF(shiftswitch4=1,(F271-F270)/F270,(E271-E270)/E270)</f>
        <v>0.00224625483653943</v>
      </c>
      <c r="H271" s="578" t="n">
        <f aca="false">G271+1</f>
        <v>1.00224625483654</v>
      </c>
    </row>
    <row r="272" customFormat="false" ht="12.75" hidden="false" customHeight="false" outlineLevel="0" collapsed="false">
      <c r="A272" s="575" t="n">
        <v>43344</v>
      </c>
      <c r="B272" s="190" t="n">
        <v>0.00669838017260121</v>
      </c>
      <c r="C272" s="576" t="n">
        <v>0.00224652804842334</v>
      </c>
      <c r="D272" s="577" t="n">
        <f aca="false">IF(VLOOKUP(A272,[1]!CPIndex,2)=0,VLOOKUP(A272,[1]!CPIndex,6),0)</f>
        <v>0.00224652804842334</v>
      </c>
      <c r="E272" s="576" t="n">
        <v>280.124637540026</v>
      </c>
      <c r="F272" s="577" t="n">
        <f aca="false">IF(VLOOKUP(A272,[1]!CPIndex,2)=0,(F271*EXP(IF(driftswitch=1,D272,$C$4)-1/2*$D$4^2+$D$4*B272)),VLOOKUP(A272,[1]!CPIndex,2))</f>
        <v>280.763134485107</v>
      </c>
      <c r="G272" s="585" t="n">
        <f aca="false">IF(shiftswitch4=1,(F272-F271)/F271,(E272-E271)/E271)</f>
        <v>0.00224828733896518</v>
      </c>
      <c r="H272" s="578" t="n">
        <f aca="false">G272+1</f>
        <v>1.00224828733897</v>
      </c>
    </row>
    <row r="273" customFormat="false" ht="12.75" hidden="false" customHeight="false" outlineLevel="0" collapsed="false">
      <c r="A273" s="575" t="n">
        <v>43374</v>
      </c>
      <c r="B273" s="190" t="n">
        <v>-0.0271688174535603</v>
      </c>
      <c r="C273" s="576" t="n">
        <v>0.00224855594415727</v>
      </c>
      <c r="D273" s="577" t="n">
        <f aca="false">IF(VLOOKUP(A273,[1]!CPIndex,2)=0,VLOOKUP(A273,[1]!CPIndex,6),0)</f>
        <v>0.00224855594415727</v>
      </c>
      <c r="E273" s="576" t="n">
        <v>280.755007557244</v>
      </c>
      <c r="F273" s="577" t="n">
        <f aca="false">IF(VLOOKUP(A273,[1]!CPIndex,2)=0,(F272*EXP(IF(driftswitch=1,D273,$C$4)-1/2*$D$4^2+$D$4*B273)),VLOOKUP(A273,[1]!CPIndex,2))</f>
        <v>281.385489102299</v>
      </c>
      <c r="G273" s="585" t="n">
        <f aca="false">IF(shiftswitch4=1,(F273-F272)/F272,(E273-E272)/E272)</f>
        <v>0.00225031979605211</v>
      </c>
      <c r="H273" s="578" t="n">
        <f aca="false">G273+1</f>
        <v>1.00225031979605</v>
      </c>
    </row>
    <row r="274" customFormat="false" ht="12.75" hidden="false" customHeight="false" outlineLevel="0" collapsed="false">
      <c r="A274" s="575" t="n">
        <v>43405</v>
      </c>
      <c r="B274" s="190" t="n">
        <v>0.0573346443212145</v>
      </c>
      <c r="C274" s="576" t="n">
        <v>0.00225058379054392</v>
      </c>
      <c r="D274" s="577" t="n">
        <f aca="false">IF(VLOOKUP(A274,[1]!CPIndex,2)=0,VLOOKUP(A274,[1]!CPIndex,6),0)</f>
        <v>0.00225058379054392</v>
      </c>
      <c r="E274" s="576" t="n">
        <v>281.387366718367</v>
      </c>
      <c r="F274" s="577" t="n">
        <f aca="false">IF(VLOOKUP(A274,[1]!CPIndex,2)=0,(F273*EXP(IF(driftswitch=1,D274,$C$4)-1/2*$D$4^2+$D$4*B274)),VLOOKUP(A274,[1]!CPIndex,2))</f>
        <v>282.039260756</v>
      </c>
      <c r="G274" s="585" t="n">
        <f aca="false">IF(shiftswitch4=1,(F274-F273)/F273,(E274-E273)/E273)</f>
        <v>0.00225235220780239</v>
      </c>
      <c r="H274" s="578" t="n">
        <f aca="false">G274+1</f>
        <v>1.0022523522078</v>
      </c>
    </row>
    <row r="275" customFormat="false" ht="12.75" hidden="false" customHeight="false" outlineLevel="0" collapsed="false">
      <c r="A275" s="575" t="n">
        <v>43435</v>
      </c>
      <c r="B275" s="190" t="n">
        <v>-0.00811380310327762</v>
      </c>
      <c r="C275" s="576" t="n">
        <v>0.0022526115875858</v>
      </c>
      <c r="D275" s="577" t="n">
        <f aca="false">IF(VLOOKUP(A275,[1]!CPIndex,2)=0,VLOOKUP(A275,[1]!CPIndex,6),0)</f>
        <v>0.0022526115875858</v>
      </c>
      <c r="E275" s="576" t="n">
        <v>282.021722057277</v>
      </c>
      <c r="F275" s="577" t="n">
        <f aca="false">IF(VLOOKUP(A275,[1]!CPIndex,2)=0,(F274*EXP(IF(driftswitch=1,D275,$C$4)-1/2*$D$4^2+$D$4*B275)),VLOOKUP(A275,[1]!CPIndex,2))</f>
        <v>282.672249990371</v>
      </c>
      <c r="G275" s="585" t="n">
        <f aca="false">IF(shiftswitch4=1,(F275-F274)/F274,(E275-E274)/E274)</f>
        <v>0.00225438457421796</v>
      </c>
      <c r="H275" s="578" t="n">
        <f aca="false">G275+1</f>
        <v>1.00225438457422</v>
      </c>
    </row>
    <row r="276" customFormat="false" ht="12.75" hidden="false" customHeight="false" outlineLevel="0" collapsed="false">
      <c r="A276" s="575" t="n">
        <v>43466</v>
      </c>
      <c r="B276" s="190" t="n">
        <v>-0.00641969372890349</v>
      </c>
      <c r="C276" s="576" t="n">
        <v>0.00225801880514171</v>
      </c>
      <c r="D276" s="577" t="n">
        <f aca="false">IF(VLOOKUP(A276,[1]!CPIndex,2)=0,VLOOKUP(A276,[1]!CPIndex,6),0)</f>
        <v>0.00225801880514171</v>
      </c>
      <c r="E276" s="576" t="n">
        <v>282.659035871846</v>
      </c>
      <c r="F276" s="577" t="n">
        <f aca="false">IF(VLOOKUP(A276,[1]!CPIndex,2)=0,(F275*EXP(IF(driftswitch=1,D276,$C$4)-1/2*$D$4^2+$D$4*B276)),VLOOKUP(A276,[1]!CPIndex,2))</f>
        <v>283.308785177004</v>
      </c>
      <c r="G276" s="585" t="n">
        <f aca="false">IF(shiftswitch4=1,(F276-F275)/F275,(E276-E275)/E275)</f>
        <v>0.00225980399637364</v>
      </c>
      <c r="H276" s="578" t="n">
        <f aca="false">G276+1</f>
        <v>1.00225980399637</v>
      </c>
    </row>
    <row r="277" customFormat="false" ht="12.75" hidden="false" customHeight="false" outlineLevel="0" collapsed="false">
      <c r="A277" s="575" t="n">
        <v>43497</v>
      </c>
      <c r="B277" s="190" t="n">
        <v>0.0101541744243851</v>
      </c>
      <c r="C277" s="576" t="n">
        <v>0.00226342567186435</v>
      </c>
      <c r="D277" s="577" t="n">
        <f aca="false">IF(VLOOKUP(A277,[1]!CPIndex,2)=0,VLOOKUP(A277,[1]!CPIndex,6),0)</f>
        <v>0.00226342567186435</v>
      </c>
      <c r="E277" s="576" t="n">
        <v>283.299321648254</v>
      </c>
      <c r="F277" s="577" t="n">
        <f aca="false">IF(VLOOKUP(A277,[1]!CPIndex,2)=0,(F276*EXP(IF(driftswitch=1,D277,$C$4)-1/2*$D$4^2+$D$4*B277)),VLOOKUP(A277,[1]!CPIndex,2))</f>
        <v>283.954107655084</v>
      </c>
      <c r="G277" s="585" t="n">
        <f aca="false">IF(shiftswitch4=1,(F277-F276)/F276,(E277-E276)/E276)</f>
        <v>0.00226522309620563</v>
      </c>
      <c r="H277" s="578" t="n">
        <f aca="false">G277+1</f>
        <v>1.00226522309621</v>
      </c>
    </row>
    <row r="278" customFormat="false" ht="12.75" hidden="false" customHeight="false" outlineLevel="0" collapsed="false">
      <c r="A278" s="575" t="n">
        <v>43525</v>
      </c>
      <c r="B278" s="190" t="n">
        <v>-0.0119284602327207</v>
      </c>
      <c r="C278" s="576" t="n">
        <v>0.00226883218779933</v>
      </c>
      <c r="D278" s="577" t="n">
        <f aca="false">IF(VLOOKUP(A278,[1]!CPIndex,2)=0,VLOOKUP(A278,[1]!CPIndex,6),0)</f>
        <v>0.00226883218779933</v>
      </c>
      <c r="E278" s="576" t="n">
        <v>283.942592950795</v>
      </c>
      <c r="F278" s="577" t="n">
        <f aca="false">IF(VLOOKUP(A278,[1]!CPIndex,2)=0,(F277*EXP(IF(driftswitch=1,D278,$C$4)-1/2*$D$4^2+$D$4*B278)),VLOOKUP(A278,[1]!CPIndex,2))</f>
        <v>284.594668456264</v>
      </c>
      <c r="G278" s="585" t="n">
        <f aca="false">IF(shiftswitch4=1,(F278-F277)/F277,(E278-E277)/E277)</f>
        <v>0.00227064187375369</v>
      </c>
      <c r="H278" s="578" t="n">
        <f aca="false">G278+1</f>
        <v>1.00227064187375</v>
      </c>
    </row>
    <row r="279" customFormat="false" ht="12.75" hidden="false" customHeight="false" outlineLevel="0" collapsed="false">
      <c r="A279" s="575" t="n">
        <v>43556</v>
      </c>
      <c r="B279" s="190" t="n">
        <v>-0.0506698622363916</v>
      </c>
      <c r="C279" s="576" t="n">
        <v>0.00227423835299208</v>
      </c>
      <c r="D279" s="577" t="n">
        <f aca="false">IF(VLOOKUP(A279,[1]!CPIndex,2)=0,VLOOKUP(A279,[1]!CPIndex,6),0)</f>
        <v>0.00227423835299208</v>
      </c>
      <c r="E279" s="576" t="n">
        <v>284.58886342234</v>
      </c>
      <c r="F279" s="577" t="n">
        <f aca="false">IF(VLOOKUP(A279,[1]!CPIndex,2)=0,(F278*EXP(IF(driftswitch=1,D279,$C$4)-1/2*$D$4^2+$D$4*B279)),VLOOKUP(A279,[1]!CPIndex,2))</f>
        <v>285.224553918619</v>
      </c>
      <c r="G279" s="585" t="n">
        <f aca="false">IF(shiftswitch4=1,(F279-F278)/F278,(E279-E278)/E278)</f>
        <v>0.00227606032905799</v>
      </c>
      <c r="H279" s="578" t="n">
        <f aca="false">G279+1</f>
        <v>1.00227606032906</v>
      </c>
    </row>
    <row r="280" customFormat="false" ht="12.75" hidden="false" customHeight="false" outlineLevel="0" collapsed="false">
      <c r="A280" s="575" t="n">
        <v>43586</v>
      </c>
      <c r="B280" s="190" t="n">
        <v>-0.0501528151133619</v>
      </c>
      <c r="C280" s="576" t="n">
        <v>0.00227964416748799</v>
      </c>
      <c r="D280" s="577" t="n">
        <f aca="false">IF(VLOOKUP(A280,[1]!CPIndex,2)=0,VLOOKUP(A280,[1]!CPIndex,6),0)</f>
        <v>0.00227964416748799</v>
      </c>
      <c r="E280" s="576" t="n">
        <v>285.238146784808</v>
      </c>
      <c r="F280" s="577" t="n">
        <f aca="false">IF(VLOOKUP(A280,[1]!CPIndex,2)=0,(F279*EXP(IF(driftswitch=1,D280,$C$4)-1/2*$D$4^2+$D$4*B280)),VLOOKUP(A280,[1]!CPIndex,2))</f>
        <v>285.857561516836</v>
      </c>
      <c r="G280" s="585" t="n">
        <f aca="false">IF(shiftswitch4=1,(F280-F279)/F279,(E280-E279)/E279)</f>
        <v>0.00228147846215846</v>
      </c>
      <c r="H280" s="578" t="n">
        <f aca="false">G280+1</f>
        <v>1.00228147846216</v>
      </c>
    </row>
    <row r="281" customFormat="false" ht="12.75" hidden="false" customHeight="false" outlineLevel="0" collapsed="false">
      <c r="A281" s="575" t="n">
        <v>43617</v>
      </c>
      <c r="B281" s="190" t="n">
        <v>0.0116437404708313</v>
      </c>
      <c r="C281" s="576" t="n">
        <v>0.0022850496313327</v>
      </c>
      <c r="D281" s="577" t="n">
        <f aca="false">IF(VLOOKUP(A281,[1]!CPIndex,2)=0,VLOOKUP(A281,[1]!CPIndex,6),0)</f>
        <v>0.0022850496313327</v>
      </c>
      <c r="E281" s="576" t="n">
        <v>285.890456839635</v>
      </c>
      <c r="F281" s="577" t="n">
        <f aca="false">IF(VLOOKUP(A281,[1]!CPIndex,2)=0,(F280*EXP(IF(driftswitch=1,D281,$C$4)-1/2*$D$4^2+$D$4*B281)),VLOOKUP(A281,[1]!CPIndex,2))</f>
        <v>286.515412801448</v>
      </c>
      <c r="G281" s="585" t="n">
        <f aca="false">IF(shiftswitch4=1,(F281-F280)/F280,(E281-E280)/E280)</f>
        <v>0.00228689627309549</v>
      </c>
      <c r="H281" s="578" t="n">
        <f aca="false">G281+1</f>
        <v>1.0022868962731</v>
      </c>
    </row>
    <row r="282" customFormat="false" ht="12.75" hidden="false" customHeight="false" outlineLevel="0" collapsed="false">
      <c r="A282" s="575" t="n">
        <v>43647</v>
      </c>
      <c r="B282" s="190" t="n">
        <v>0.0166330290664624</v>
      </c>
      <c r="C282" s="576" t="n">
        <v>0.00229045474457162</v>
      </c>
      <c r="D282" s="577" t="n">
        <f aca="false">IF(VLOOKUP(A282,[1]!CPIndex,2)=0,VLOOKUP(A282,[1]!CPIndex,6),0)</f>
        <v>0.00229045474457162</v>
      </c>
      <c r="E282" s="576" t="n">
        <v>286.545807468247</v>
      </c>
      <c r="F282" s="577" t="n">
        <f aca="false">IF(VLOOKUP(A282,[1]!CPIndex,2)=0,(F281*EXP(IF(driftswitch=1,D282,$C$4)-1/2*$D$4^2+$D$4*B282)),VLOOKUP(A282,[1]!CPIndex,2))</f>
        <v>287.178101739097</v>
      </c>
      <c r="G282" s="585" t="n">
        <f aca="false">IF(shiftswitch4=1,(F282-F281)/F281,(E282-E281)/E281)</f>
        <v>0.00229231376190894</v>
      </c>
      <c r="H282" s="578" t="n">
        <f aca="false">G282+1</f>
        <v>1.00229231376191</v>
      </c>
    </row>
    <row r="283" customFormat="false" ht="12.75" hidden="false" customHeight="false" outlineLevel="0" collapsed="false">
      <c r="A283" s="575" t="n">
        <v>43678</v>
      </c>
      <c r="B283" s="190" t="n">
        <v>-0.00428534090946501</v>
      </c>
      <c r="C283" s="576" t="n">
        <v>0.00229585950725036</v>
      </c>
      <c r="D283" s="577" t="n">
        <f aca="false">IF(VLOOKUP(A283,[1]!CPIndex,2)=0,VLOOKUP(A283,[1]!CPIndex,6),0)</f>
        <v>0.00229585950725036</v>
      </c>
      <c r="E283" s="576" t="n">
        <v>287.204212632538</v>
      </c>
      <c r="F283" s="577" t="n">
        <f aca="false">IF(VLOOKUP(A283,[1]!CPIndex,2)=0,(F282*EXP(IF(driftswitch=1,D283,$C$4)-1/2*$D$4^2+$D$4*B283)),VLOOKUP(A283,[1]!CPIndex,2))</f>
        <v>287.836434687018</v>
      </c>
      <c r="G283" s="585" t="n">
        <f aca="false">IF(shiftswitch4=1,(F283-F282)/F282,(E283-E282)/E282)</f>
        <v>0.00229773092863849</v>
      </c>
      <c r="H283" s="578" t="n">
        <f aca="false">G283+1</f>
        <v>1.00229773092864</v>
      </c>
    </row>
    <row r="284" customFormat="false" ht="12.75" hidden="false" customHeight="false" outlineLevel="0" collapsed="false">
      <c r="A284" s="575" t="n">
        <v>43709</v>
      </c>
      <c r="B284" s="190" t="n">
        <v>0.0051278943854907</v>
      </c>
      <c r="C284" s="576" t="n">
        <v>0.00230126391941455</v>
      </c>
      <c r="D284" s="577" t="n">
        <f aca="false">IF(VLOOKUP(A284,[1]!CPIndex,2)=0,VLOOKUP(A284,[1]!CPIndex,6),0)</f>
        <v>0.00230126391941455</v>
      </c>
      <c r="E284" s="576" t="n">
        <v>287.865686375353</v>
      </c>
      <c r="F284" s="577" t="n">
        <f aca="false">IF(VLOOKUP(A284,[1]!CPIndex,2)=0,(F283*EXP(IF(driftswitch=1,D284,$C$4)-1/2*$D$4^2+$D$4*B284)),VLOOKUP(A284,[1]!CPIndex,2))</f>
        <v>288.50119363933</v>
      </c>
      <c r="G284" s="585" t="n">
        <f aca="false">IF(shiftswitch4=1,(F284-F283)/F283,(E284-E283)/E283)</f>
        <v>0.00230314777332531</v>
      </c>
      <c r="H284" s="578" t="n">
        <f aca="false">G284+1</f>
        <v>1.00230314777333</v>
      </c>
    </row>
    <row r="285" customFormat="false" ht="12.75" hidden="false" customHeight="false" outlineLevel="0" collapsed="false">
      <c r="A285" s="575" t="n">
        <v>43739</v>
      </c>
      <c r="B285" s="190" t="n">
        <v>0.0211732258693032</v>
      </c>
      <c r="C285" s="576" t="n">
        <v>0.00230666798110914</v>
      </c>
      <c r="D285" s="577" t="n">
        <f aca="false">IF(VLOOKUP(A285,[1]!CPIndex,2)=0,VLOOKUP(A285,[1]!CPIndex,6),0)</f>
        <v>0.00230666798110914</v>
      </c>
      <c r="E285" s="576" t="n">
        <v>288.530242820965</v>
      </c>
      <c r="F285" s="577" t="n">
        <f aca="false">IF(VLOOKUP(A285,[1]!CPIndex,2)=0,(F284*EXP(IF(driftswitch=1,D285,$C$4)-1/2*$D$4^2+$D$4*B285)),VLOOKUP(A285,[1]!CPIndex,2))</f>
        <v>289.174787195936</v>
      </c>
      <c r="G285" s="585" t="n">
        <f aca="false">IF(shiftswitch4=1,(F285-F284)/F284,(E285-E284)/E284)</f>
        <v>0.00230856429600806</v>
      </c>
      <c r="H285" s="578" t="n">
        <f aca="false">G285+1</f>
        <v>1.00230856429601</v>
      </c>
    </row>
    <row r="286" customFormat="false" ht="12.75" hidden="false" customHeight="false" outlineLevel="0" collapsed="false">
      <c r="A286" s="575" t="n">
        <v>43770</v>
      </c>
      <c r="B286" s="190" t="n">
        <v>0.00487570819252126</v>
      </c>
      <c r="C286" s="576" t="n">
        <v>0.00231207169237999</v>
      </c>
      <c r="D286" s="577" t="n">
        <f aca="false">IF(VLOOKUP(A286,[1]!CPIndex,2)=0,VLOOKUP(A286,[1]!CPIndex,6),0)</f>
        <v>0.00231207169237999</v>
      </c>
      <c r="E286" s="576" t="n">
        <v>289.197896175568</v>
      </c>
      <c r="F286" s="577" t="n">
        <f aca="false">IF(VLOOKUP(A286,[1]!CPIndex,2)=0,(F285*EXP(IF(driftswitch=1,D286,$C$4)-1/2*$D$4^2+$D$4*B286)),VLOOKUP(A286,[1]!CPIndex,2))</f>
        <v>289.845679273226</v>
      </c>
      <c r="G286" s="585" t="n">
        <f aca="false">IF(shiftswitch4=1,(F286-F285)/F285,(E286-E285)/E285)</f>
        <v>0.00231398049672754</v>
      </c>
      <c r="H286" s="578" t="n">
        <f aca="false">G286+1</f>
        <v>1.00231398049673</v>
      </c>
    </row>
    <row r="287" customFormat="false" ht="12.75" hidden="false" customHeight="false" outlineLevel="0" collapsed="false">
      <c r="A287" s="575" t="n">
        <v>43800</v>
      </c>
      <c r="B287" s="190" t="n">
        <v>-0.0497625105894455</v>
      </c>
      <c r="C287" s="576" t="n">
        <v>0.00231747505327227</v>
      </c>
      <c r="D287" s="577" t="n">
        <f aca="false">IF(VLOOKUP(A287,[1]!CPIndex,2)=0,VLOOKUP(A287,[1]!CPIndex,6),0)</f>
        <v>0.00231747505327227</v>
      </c>
      <c r="E287" s="576" t="n">
        <v>289.868660727767</v>
      </c>
      <c r="F287" s="577" t="n">
        <f aca="false">IF(VLOOKUP(A287,[1]!CPIndex,2)=0,(F286*EXP(IF(driftswitch=1,D287,$C$4)-1/2*$D$4^2+$D$4*B287)),VLOOKUP(A287,[1]!CPIndex,2))</f>
        <v>290.500072524291</v>
      </c>
      <c r="G287" s="585" t="n">
        <f aca="false">IF(shiftswitch4=1,(F287-F286)/F286,(E287-E286)/E286)</f>
        <v>0.00231939637552355</v>
      </c>
      <c r="H287" s="578" t="n">
        <f aca="false">G287+1</f>
        <v>1.00231939637552</v>
      </c>
    </row>
    <row r="288" customFormat="false" ht="12.75" hidden="false" customHeight="false" outlineLevel="0" collapsed="false">
      <c r="A288" s="575" t="n">
        <v>43831</v>
      </c>
      <c r="B288" s="190" t="n">
        <v>-0.0152767235860692</v>
      </c>
      <c r="C288" s="576" t="n">
        <v>0.00232287806383159</v>
      </c>
      <c r="D288" s="577" t="n">
        <f aca="false">IF(VLOOKUP(A288,[1]!CPIndex,2)=0,VLOOKUP(A288,[1]!CPIndex,6),0)</f>
        <v>0.00232287806383159</v>
      </c>
      <c r="E288" s="576" t="n">
        <v>290.542550849066</v>
      </c>
      <c r="F288" s="577" t="n">
        <f aca="false">IF(VLOOKUP(A288,[1]!CPIndex,2)=0,(F287*EXP(IF(driftswitch=1,D288,$C$4)-1/2*$D$4^2+$D$4*B288)),VLOOKUP(A288,[1]!CPIndex,2))</f>
        <v>291.169930909328</v>
      </c>
      <c r="G288" s="585" t="n">
        <f aca="false">IF(shiftswitch4=1,(F288-F287)/F287,(E288-E287)/E287)</f>
        <v>0.00232481193243624</v>
      </c>
      <c r="H288" s="578" t="n">
        <f aca="false">G288+1</f>
        <v>1.00232481193244</v>
      </c>
    </row>
    <row r="289" customFormat="false" ht="12.75" hidden="false" customHeight="false" outlineLevel="0" collapsed="false">
      <c r="A289" s="575" t="n">
        <v>43862</v>
      </c>
      <c r="B289" s="190" t="n">
        <v>-0.0149264711996724</v>
      </c>
      <c r="C289" s="576" t="n">
        <v>0.00232828072410336</v>
      </c>
      <c r="D289" s="577" t="n">
        <f aca="false">IF(VLOOKUP(A289,[1]!CPIndex,2)=0,VLOOKUP(A289,[1]!CPIndex,6),0)</f>
        <v>0.00232828072410336</v>
      </c>
      <c r="E289" s="576" t="n">
        <v>291.219580994371</v>
      </c>
      <c r="F289" s="577" t="n">
        <f aca="false">IF(VLOOKUP(A289,[1]!CPIndex,2)=0,(F288*EXP(IF(driftswitch=1,D289,$C$4)-1/2*$D$4^2+$D$4*B289)),VLOOKUP(A289,[1]!CPIndex,2))</f>
        <v>291.84303701324</v>
      </c>
      <c r="G289" s="585" t="n">
        <f aca="false">IF(shiftswitch4=1,(F289-F288)/F288,(E289-E288)/E288)</f>
        <v>0.00233022716750515</v>
      </c>
      <c r="H289" s="578" t="n">
        <f aca="false">G289+1</f>
        <v>1.00233022716751</v>
      </c>
    </row>
    <row r="290" customFormat="false" ht="12.75" hidden="false" customHeight="false" outlineLevel="0" collapsed="false">
      <c r="A290" s="575" t="n">
        <v>43891</v>
      </c>
      <c r="B290" s="190" t="n">
        <v>0.000935265171868155</v>
      </c>
      <c r="C290" s="576" t="n">
        <v>0.00233368303413319</v>
      </c>
      <c r="D290" s="577" t="n">
        <f aca="false">IF(VLOOKUP(A290,[1]!CPIndex,2)=0,VLOOKUP(A290,[1]!CPIndex,6),0)</f>
        <v>0.00233368303413319</v>
      </c>
      <c r="E290" s="576" t="n">
        <v>291.899765702486</v>
      </c>
      <c r="F290" s="577" t="n">
        <f aca="false">IF(VLOOKUP(A290,[1]!CPIndex,2)=0,(F289*EXP(IF(driftswitch=1,D290,$C$4)-1/2*$D$4^2+$D$4*B290)),VLOOKUP(A290,[1]!CPIndex,2))</f>
        <v>292.525016152309</v>
      </c>
      <c r="G290" s="585" t="n">
        <f aca="false">IF(shiftswitch4=1,(F290-F289)/F289,(E290-E289)/E289)</f>
        <v>0.00233564208077119</v>
      </c>
      <c r="H290" s="578" t="n">
        <f aca="false">G290+1</f>
        <v>1.00233564208077</v>
      </c>
    </row>
    <row r="291" customFormat="false" ht="12.75" hidden="false" customHeight="false" outlineLevel="0" collapsed="false">
      <c r="A291" s="575" t="n">
        <v>43922</v>
      </c>
      <c r="B291" s="190" t="n">
        <v>0.0174274260565598</v>
      </c>
      <c r="C291" s="576" t="n">
        <v>0.00233908499396602</v>
      </c>
      <c r="D291" s="577" t="n">
        <f aca="false">IF(VLOOKUP(A291,[1]!CPIndex,2)=0,VLOOKUP(A291,[1]!CPIndex,6),0)</f>
        <v>0.00233908499396602</v>
      </c>
      <c r="E291" s="576" t="n">
        <v>292.583119596619</v>
      </c>
      <c r="F291" s="577" t="n">
        <f aca="false">IF(VLOOKUP(A291,[1]!CPIndex,2)=0,(F290*EXP(IF(driftswitch=1,D291,$C$4)-1/2*$D$4^2+$D$4*B291)),VLOOKUP(A291,[1]!CPIndex,2))</f>
        <v>293.216151662823</v>
      </c>
      <c r="G291" s="585" t="n">
        <f aca="false">IF(shiftswitch4=1,(F291-F290)/F290,(E291-E290)/E290)</f>
        <v>0.00234105667227356</v>
      </c>
      <c r="H291" s="578" t="n">
        <f aca="false">G291+1</f>
        <v>1.00234105667227</v>
      </c>
    </row>
    <row r="292" customFormat="false" ht="12.75" hidden="false" customHeight="false" outlineLevel="0" collapsed="false">
      <c r="A292" s="575" t="n">
        <v>43952</v>
      </c>
      <c r="B292" s="190" t="n">
        <v>-0.0204025258115524</v>
      </c>
      <c r="C292" s="576" t="n">
        <v>0.0023444866036477</v>
      </c>
      <c r="D292" s="577" t="n">
        <f aca="false">IF(VLOOKUP(A292,[1]!CPIndex,2)=0,VLOOKUP(A292,[1]!CPIndex,6),0)</f>
        <v>0.0023444866036477</v>
      </c>
      <c r="E292" s="576" t="n">
        <v>293.269657384887</v>
      </c>
      <c r="F292" s="577" t="n">
        <f aca="false">IF(VLOOKUP(A292,[1]!CPIndex,2)=0,(F291*EXP(IF(driftswitch=1,D292,$C$4)-1/2*$D$4^2+$D$4*B292)),VLOOKUP(A292,[1]!CPIndex,2))</f>
        <v>293.896761084281</v>
      </c>
      <c r="G292" s="585" t="n">
        <f aca="false">IF(shiftswitch4=1,(F292-F291)/F291,(E292-E291)/E291)</f>
        <v>0.0023464709420525</v>
      </c>
      <c r="H292" s="578" t="n">
        <f aca="false">G292+1</f>
        <v>1.00234647094205</v>
      </c>
    </row>
    <row r="293" customFormat="false" ht="12.75" hidden="false" customHeight="false" outlineLevel="0" collapsed="false">
      <c r="A293" s="575" t="n">
        <v>43983</v>
      </c>
      <c r="B293" s="190" t="n">
        <v>0.029516337953417</v>
      </c>
      <c r="C293" s="576" t="n">
        <v>0.00234988786322317</v>
      </c>
      <c r="D293" s="577" t="n">
        <f aca="false">IF(VLOOKUP(A293,[1]!CPIndex,2)=0,VLOOKUP(A293,[1]!CPIndex,6),0)</f>
        <v>0.00234988786322317</v>
      </c>
      <c r="E293" s="576" t="n">
        <v>293.95939386083</v>
      </c>
      <c r="F293" s="577" t="n">
        <f aca="false">IF(VLOOKUP(A293,[1]!CPIndex,2)=0,(F292*EXP(IF(driftswitch=1,D293,$C$4)-1/2*$D$4^2+$D$4*B293)),VLOOKUP(A293,[1]!CPIndex,2))</f>
        <v>294.598723206949</v>
      </c>
      <c r="G293" s="585" t="n">
        <f aca="false">IF(shiftswitch4=1,(F293-F292)/F292,(E293-E292)/E292)</f>
        <v>0.00235188489014751</v>
      </c>
      <c r="H293" s="578" t="n">
        <f aca="false">G293+1</f>
        <v>1.00235188489015</v>
      </c>
    </row>
    <row r="294" customFormat="false" ht="12.75" hidden="false" customHeight="false" outlineLevel="0" collapsed="false">
      <c r="A294" s="575" t="n">
        <v>44013</v>
      </c>
      <c r="B294" s="190" t="n">
        <v>-0.0152129738443508</v>
      </c>
      <c r="C294" s="576" t="n">
        <v>0.00235528877273826</v>
      </c>
      <c r="D294" s="577" t="n">
        <f aca="false">IF(VLOOKUP(A294,[1]!CPIndex,2)=0,VLOOKUP(A294,[1]!CPIndex,6),0)</f>
        <v>0.00235528877273826</v>
      </c>
      <c r="E294" s="576" t="n">
        <v>294.652343903918</v>
      </c>
      <c r="F294" s="577" t="n">
        <f aca="false">IF(VLOOKUP(A294,[1]!CPIndex,2)=0,(F293*EXP(IF(driftswitch=1,D294,$C$4)-1/2*$D$4^2+$D$4*B294)),VLOOKUP(A294,[1]!CPIndex,2))</f>
        <v>295.287626189536</v>
      </c>
      <c r="G294" s="585" t="n">
        <f aca="false">IF(shiftswitch4=1,(F294-F293)/F293,(E294-E293)/E293)</f>
        <v>0.00235729851659948</v>
      </c>
      <c r="H294" s="578" t="n">
        <f aca="false">G294+1</f>
        <v>1.0023572985166</v>
      </c>
    </row>
    <row r="295" customFormat="false" ht="12.75" hidden="false" customHeight="false" outlineLevel="0" collapsed="false">
      <c r="A295" s="575" t="n">
        <v>44044</v>
      </c>
      <c r="B295" s="190" t="n">
        <v>-0.00630418688314028</v>
      </c>
      <c r="C295" s="576" t="n">
        <v>0.00236068933223814</v>
      </c>
      <c r="D295" s="577" t="n">
        <f aca="false">IF(VLOOKUP(A295,[1]!CPIndex,2)=0,VLOOKUP(A295,[1]!CPIndex,6),0)</f>
        <v>0.00236068933223814</v>
      </c>
      <c r="E295" s="576" t="n">
        <v>295.348522480077</v>
      </c>
      <c r="F295" s="577" t="n">
        <f aca="false">IF(VLOOKUP(A295,[1]!CPIndex,2)=0,(F294*EXP(IF(driftswitch=1,D295,$C$4)-1/2*$D$4^2+$D$4*B295)),VLOOKUP(A295,[1]!CPIndex,2))</f>
        <v>295.982998732646</v>
      </c>
      <c r="G295" s="585" t="n">
        <f aca="false">IF(shiftswitch4=1,(F295-F294)/F294,(E295-E294)/E294)</f>
        <v>0.00236271182144754</v>
      </c>
      <c r="H295" s="578" t="n">
        <f aca="false">G295+1</f>
        <v>1.00236271182145</v>
      </c>
    </row>
    <row r="296" customFormat="false" ht="12.75" hidden="false" customHeight="false" outlineLevel="0" collapsed="false">
      <c r="A296" s="575" t="n">
        <v>44075</v>
      </c>
      <c r="B296" s="190" t="n">
        <v>-0.00999186894083417</v>
      </c>
      <c r="C296" s="576" t="n">
        <v>0.00236608954176821</v>
      </c>
      <c r="D296" s="577" t="n">
        <f aca="false">IF(VLOOKUP(A296,[1]!CPIndex,2)=0,VLOOKUP(A296,[1]!CPIndex,6),0)</f>
        <v>0.00236608954176821</v>
      </c>
      <c r="E296" s="576" t="n">
        <v>296.047944642203</v>
      </c>
      <c r="F296" s="577" t="n">
        <f aca="false">IF(VLOOKUP(A296,[1]!CPIndex,2)=0,(F295*EXP(IF(driftswitch=1,D296,$C$4)-1/2*$D$4^2+$D$4*B296)),VLOOKUP(A296,[1]!CPIndex,2))</f>
        <v>296.680258259435</v>
      </c>
      <c r="G296" s="585" t="n">
        <f aca="false">IF(shiftswitch4=1,(F296-F295)/F295,(E296-E295)/E295)</f>
        <v>0.00236812480473208</v>
      </c>
      <c r="H296" s="578" t="n">
        <f aca="false">G296+1</f>
        <v>1.00236812480473</v>
      </c>
    </row>
    <row r="297" customFormat="false" ht="12.75" hidden="false" customHeight="false" outlineLevel="0" collapsed="false">
      <c r="A297" s="575" t="n">
        <v>44105</v>
      </c>
      <c r="B297" s="190" t="n">
        <v>-0.0611595105866315</v>
      </c>
      <c r="C297" s="576" t="n">
        <v>0.00237148940137361</v>
      </c>
      <c r="D297" s="577" t="n">
        <f aca="false">IF(VLOOKUP(A297,[1]!CPIndex,2)=0,VLOOKUP(A297,[1]!CPIndex,6),0)</f>
        <v>0.00237148940137361</v>
      </c>
      <c r="E297" s="576" t="n">
        <v>296.75062553069</v>
      </c>
      <c r="F297" s="577" t="n">
        <f aca="false">IF(VLOOKUP(A297,[1]!CPIndex,2)=0,(F296*EXP(IF(driftswitch=1,D297,$C$4)-1/2*$D$4^2+$D$4*B297)),VLOOKUP(A297,[1]!CPIndex,2))</f>
        <v>297.361953563198</v>
      </c>
      <c r="G297" s="585" t="n">
        <f aca="false">IF(shiftswitch4=1,(F297-F296)/F296,(E297-E296)/E296)</f>
        <v>0.00237353746649275</v>
      </c>
      <c r="H297" s="578" t="n">
        <f aca="false">G297+1</f>
        <v>1.00237353746649</v>
      </c>
    </row>
    <row r="298" customFormat="false" ht="12.75" hidden="false" customHeight="false" outlineLevel="0" collapsed="false">
      <c r="A298" s="575" t="n">
        <v>44136</v>
      </c>
      <c r="B298" s="190" t="n">
        <v>-0.00335886862649592</v>
      </c>
      <c r="C298" s="576" t="n">
        <v>0.00237688891110018</v>
      </c>
      <c r="D298" s="577" t="n">
        <f aca="false">IF(VLOOKUP(A298,[1]!CPIndex,2)=0,VLOOKUP(A298,[1]!CPIndex,6),0)</f>
        <v>0.00237688891110018</v>
      </c>
      <c r="E298" s="576" t="n">
        <v>297.456580373955</v>
      </c>
      <c r="F298" s="577" t="n">
        <f aca="false">IF(VLOOKUP(A298,[1]!CPIndex,2)=0,(F297*EXP(IF(driftswitch=1,D298,$C$4)-1/2*$D$4^2+$D$4*B298)),VLOOKUP(A298,[1]!CPIndex,2))</f>
        <v>298.068124887607</v>
      </c>
      <c r="G298" s="585" t="n">
        <f aca="false">IF(shiftswitch4=1,(F298-F297)/F297,(E298-E297)/E297)</f>
        <v>0.00237894980676993</v>
      </c>
      <c r="H298" s="578" t="n">
        <f aca="false">G298+1</f>
        <v>1.00237894980677</v>
      </c>
    </row>
    <row r="299" customFormat="false" ht="12.75" hidden="false" customHeight="false" outlineLevel="0" collapsed="false">
      <c r="A299" s="575" t="n">
        <v>44166</v>
      </c>
      <c r="B299" s="190" t="n">
        <v>-0.0228817062350067</v>
      </c>
      <c r="C299" s="576" t="n">
        <v>0.00238228807099264</v>
      </c>
      <c r="D299" s="577" t="n">
        <f aca="false">IF(VLOOKUP(A299,[1]!CPIndex,2)=0,VLOOKUP(A299,[1]!CPIndex,6),0)</f>
        <v>0.00238228807099264</v>
      </c>
      <c r="E299" s="576" t="n">
        <v>298.165824488973</v>
      </c>
      <c r="F299" s="577" t="n">
        <f aca="false">IF(VLOOKUP(A299,[1]!CPIndex,2)=0,(F298*EXP(IF(driftswitch=1,D299,$C$4)-1/2*$D$4^2+$D$4*B299)),VLOOKUP(A299,[1]!CPIndex,2))</f>
        <v>298.770374624559</v>
      </c>
      <c r="G299" s="585" t="n">
        <f aca="false">IF(shiftswitch4=1,(F299-F298)/F298,(E299-E298)/E298)</f>
        <v>0.00238436182560299</v>
      </c>
      <c r="H299" s="578" t="n">
        <f aca="false">G299+1</f>
        <v>1.0023843618256</v>
      </c>
    </row>
    <row r="300" customFormat="false" ht="12.75" hidden="false" customHeight="false" outlineLevel="0" collapsed="false">
      <c r="A300" s="575" t="n">
        <v>44197</v>
      </c>
      <c r="B300" s="190" t="n">
        <v>-0.035229726013756</v>
      </c>
      <c r="C300" s="576" t="n">
        <v>0.00239241055303784</v>
      </c>
      <c r="D300" s="577" t="n">
        <f aca="false">IF(VLOOKUP(A300,[1]!CPIndex,2)=0,VLOOKUP(A300,[1]!CPIndex,6),0)</f>
        <v>0.00239241055303784</v>
      </c>
      <c r="E300" s="576" t="n">
        <v>298.87978508853</v>
      </c>
      <c r="F300" s="577" t="n">
        <f aca="false">IF(VLOOKUP(A300,[1]!CPIndex,2)=0,(F299*EXP(IF(driftswitch=1,D300,$C$4)-1/2*$D$4^2+$D$4*B300)),VLOOKUP(A300,[1]!CPIndex,2))</f>
        <v>299.472738240988</v>
      </c>
      <c r="G300" s="585" t="n">
        <f aca="false">IF(shiftswitch4=1,(F300-F299)/F299,(E300-E299)/E299)</f>
        <v>0.00239450849466256</v>
      </c>
      <c r="H300" s="578" t="n">
        <f aca="false">G300+1</f>
        <v>1.00239450849466</v>
      </c>
    </row>
    <row r="301" customFormat="false" ht="12.75" hidden="false" customHeight="false" outlineLevel="0" collapsed="false">
      <c r="A301" s="575" t="n">
        <v>44228</v>
      </c>
      <c r="B301" s="190" t="n">
        <v>-0.0112519438017778</v>
      </c>
      <c r="C301" s="576" t="n">
        <v>0.00240253180565635</v>
      </c>
      <c r="D301" s="577" t="n">
        <f aca="false">IF(VLOOKUP(A301,[1]!CPIndex,2)=0,VLOOKUP(A301,[1]!CPIndex,6),0)</f>
        <v>0.00240253180565635</v>
      </c>
      <c r="E301" s="576" t="n">
        <v>299.598487569439</v>
      </c>
      <c r="F301" s="577" t="n">
        <f aca="false">IF(VLOOKUP(A301,[1]!CPIndex,2)=0,(F300*EXP(IF(driftswitch=1,D301,$C$4)-1/2*$D$4^2+$D$4*B301)),VLOOKUP(A301,[1]!CPIndex,2))</f>
        <v>300.188690390109</v>
      </c>
      <c r="G301" s="585" t="n">
        <f aca="false">IF(shiftswitch4=1,(F301-F300)/F300,(E301-E300)/E300)</f>
        <v>0.00240465403404929</v>
      </c>
      <c r="H301" s="578" t="n">
        <f aca="false">G301+1</f>
        <v>1.00240465403405</v>
      </c>
    </row>
    <row r="302" customFormat="false" ht="12.75" hidden="false" customHeight="false" outlineLevel="0" collapsed="false">
      <c r="A302" s="575" t="n">
        <v>44256</v>
      </c>
      <c r="B302" s="190" t="n">
        <v>0.000714967048934316</v>
      </c>
      <c r="C302" s="576" t="n">
        <v>0.00241265182914738</v>
      </c>
      <c r="D302" s="577" t="n">
        <f aca="false">IF(VLOOKUP(A302,[1]!CPIndex,2)=0,VLOOKUP(A302,[1]!CPIndex,6),0)</f>
        <v>0.00241265182914738</v>
      </c>
      <c r="E302" s="576" t="n">
        <v>300.321957531054</v>
      </c>
      <c r="F302" s="577" t="n">
        <f aca="false">IF(VLOOKUP(A302,[1]!CPIndex,2)=0,(F301*EXP(IF(driftswitch=1,D302,$C$4)-1/2*$D$4^2+$D$4*B302)),VLOOKUP(A302,[1]!CPIndex,2))</f>
        <v>300.913851572932</v>
      </c>
      <c r="G302" s="585" t="n">
        <f aca="false">IF(shiftswitch4=1,(F302-F301)/F301,(E302-E301)/E301)</f>
        <v>0.00241479844402628</v>
      </c>
      <c r="H302" s="578" t="n">
        <f aca="false">G302+1</f>
        <v>1.00241479844403</v>
      </c>
    </row>
    <row r="303" customFormat="false" ht="12.75" hidden="false" customHeight="false" outlineLevel="0" collapsed="false">
      <c r="A303" s="575" t="n">
        <v>44287</v>
      </c>
      <c r="B303" s="190" t="n">
        <v>0.042575225162585</v>
      </c>
      <c r="C303" s="576" t="n">
        <v>0.00242277062380882</v>
      </c>
      <c r="D303" s="577" t="n">
        <f aca="false">IF(VLOOKUP(A303,[1]!CPIndex,2)=0,VLOOKUP(A303,[1]!CPIndex,6),0)</f>
        <v>0.00242277062380882</v>
      </c>
      <c r="E303" s="576" t="n">
        <v>301.050220776762</v>
      </c>
      <c r="F303" s="577" t="n">
        <f aca="false">IF(VLOOKUP(A303,[1]!CPIndex,2)=0,(F302*EXP(IF(driftswitch=1,D303,$C$4)-1/2*$D$4^2+$D$4*B303)),VLOOKUP(A303,[1]!CPIndex,2))</f>
        <v>301.659428888821</v>
      </c>
      <c r="G303" s="585" t="n">
        <f aca="false">IF(shiftswitch4=1,(F303-F302)/F302,(E303-E302)/E302)</f>
        <v>0.00242494172485613</v>
      </c>
      <c r="H303" s="578" t="n">
        <f aca="false">G303+1</f>
        <v>1.00242494172486</v>
      </c>
    </row>
    <row r="304" customFormat="false" ht="12.75" hidden="false" customHeight="false" outlineLevel="0" collapsed="false">
      <c r="A304" s="575" t="n">
        <v>44317</v>
      </c>
      <c r="B304" s="190" t="n">
        <v>0.0250409708977514</v>
      </c>
      <c r="C304" s="576" t="n">
        <v>0.00243288818993965</v>
      </c>
      <c r="D304" s="577" t="n">
        <f aca="false">IF(VLOOKUP(A304,[1]!CPIndex,2)=0,VLOOKUP(A304,[1]!CPIndex,6),0)</f>
        <v>0.00243288818993965</v>
      </c>
      <c r="E304" s="576" t="n">
        <v>301.783303315483</v>
      </c>
      <c r="F304" s="577" t="n">
        <f aca="false">IF(VLOOKUP(A304,[1]!CPIndex,2)=0,(F303*EXP(IF(driftswitch=1,D304,$C$4)-1/2*$D$4^2+$D$4*B304)),VLOOKUP(A304,[1]!CPIndex,2))</f>
        <v>302.403357258537</v>
      </c>
      <c r="G304" s="585" t="n">
        <f aca="false">IF(shiftswitch4=1,(F304-F303)/F303,(E304-E303)/E303)</f>
        <v>0.00243508387680206</v>
      </c>
      <c r="H304" s="578" t="n">
        <f aca="false">G304+1</f>
        <v>1.0024350838768</v>
      </c>
    </row>
    <row r="305" customFormat="false" ht="12.75" hidden="false" customHeight="false" outlineLevel="0" collapsed="false">
      <c r="A305" s="575" t="n">
        <v>44348</v>
      </c>
      <c r="B305" s="190" t="n">
        <v>0.0237065597307339</v>
      </c>
      <c r="C305" s="576" t="n">
        <v>0.0024430045278377</v>
      </c>
      <c r="D305" s="577" t="n">
        <f aca="false">IF(VLOOKUP(A305,[1]!CPIndex,2)=0,VLOOKUP(A305,[1]!CPIndex,6),0)</f>
        <v>0.0024430045278377</v>
      </c>
      <c r="E305" s="576" t="n">
        <v>302.521231363192</v>
      </c>
      <c r="F305" s="577" t="n">
        <f aca="false">IF(VLOOKUP(A305,[1]!CPIndex,2)=0,(F304*EXP(IF(driftswitch=1,D305,$C$4)-1/2*$D$4^2+$D$4*B305)),VLOOKUP(A305,[1]!CPIndex,2))</f>
        <v>303.151686864835</v>
      </c>
      <c r="G305" s="585" t="n">
        <f aca="false">IF(shiftswitch4=1,(F305-F304)/F304,(E305-E304)/E304)</f>
        <v>0.00244522490012626</v>
      </c>
      <c r="H305" s="578" t="n">
        <f aca="false">G305+1</f>
        <v>1.00244522490013</v>
      </c>
    </row>
    <row r="306" customFormat="false" ht="12.75" hidden="false" customHeight="false" outlineLevel="0" collapsed="false">
      <c r="A306" s="575" t="n">
        <v>44378</v>
      </c>
      <c r="B306" s="190" t="n">
        <v>-0.00703514035668782</v>
      </c>
      <c r="C306" s="576" t="n">
        <v>0.00245311963780147</v>
      </c>
      <c r="D306" s="577" t="n">
        <f aca="false">IF(VLOOKUP(A306,[1]!CPIndex,2)=0,VLOOKUP(A306,[1]!CPIndex,6),0)</f>
        <v>0.00245311963780147</v>
      </c>
      <c r="E306" s="576" t="n">
        <v>303.264031344449</v>
      </c>
      <c r="F306" s="577" t="n">
        <f aca="false">IF(VLOOKUP(A306,[1]!CPIndex,2)=0,(F305*EXP(IF(driftswitch=1,D306,$C$4)-1/2*$D$4^2+$D$4*B306)),VLOOKUP(A306,[1]!CPIndex,2))</f>
        <v>303.893391522079</v>
      </c>
      <c r="G306" s="585" t="n">
        <f aca="false">IF(shiftswitch4=1,(F306-F305)/F305,(E306-E305)/E305)</f>
        <v>0.00245536479509182</v>
      </c>
      <c r="H306" s="578" t="n">
        <f aca="false">G306+1</f>
        <v>1.00245536479509</v>
      </c>
    </row>
    <row r="307" customFormat="false" ht="12.75" hidden="false" customHeight="false" outlineLevel="0" collapsed="false">
      <c r="A307" s="575" t="n">
        <v>44409</v>
      </c>
      <c r="B307" s="190" t="n">
        <v>0.0424405928254734</v>
      </c>
      <c r="C307" s="576" t="n">
        <v>0.00246323352012879</v>
      </c>
      <c r="D307" s="577" t="n">
        <f aca="false">IF(VLOOKUP(A307,[1]!CPIndex,2)=0,VLOOKUP(A307,[1]!CPIndex,6),0)</f>
        <v>0.00246323352012879</v>
      </c>
      <c r="E307" s="576" t="n">
        <v>304.011729893943</v>
      </c>
      <c r="F307" s="577" t="n">
        <f aca="false">IF(VLOOKUP(A307,[1]!CPIndex,2)=0,(F306*EXP(IF(driftswitch=1,D307,$C$4)-1/2*$D$4^2+$D$4*B307)),VLOOKUP(A307,[1]!CPIndex,2))</f>
        <v>304.658627684834</v>
      </c>
      <c r="G307" s="585" t="n">
        <f aca="false">IF(shiftswitch4=1,(F307-F306)/F306,(E307-E306)/E306)</f>
        <v>0.00246550356196094</v>
      </c>
      <c r="H307" s="578" t="n">
        <f aca="false">G307+1</f>
        <v>1.00246550356196</v>
      </c>
    </row>
    <row r="308" customFormat="false" ht="12.75" hidden="false" customHeight="false" outlineLevel="0" collapsed="false">
      <c r="A308" s="575" t="n">
        <v>44440</v>
      </c>
      <c r="B308" s="190" t="n">
        <v>-0.00613920356073475</v>
      </c>
      <c r="C308" s="576" t="n">
        <v>0.00247334617511744</v>
      </c>
      <c r="D308" s="577" t="n">
        <f aca="false">IF(VLOOKUP(A308,[1]!CPIndex,2)=0,VLOOKUP(A308,[1]!CPIndex,6),0)</f>
        <v>0.00247334617511744</v>
      </c>
      <c r="E308" s="576" t="n">
        <v>304.764353858055</v>
      </c>
      <c r="F308" s="577" t="n">
        <f aca="false">IF(VLOOKUP(A308,[1]!CPIndex,2)=0,(F307*EXP(IF(driftswitch=1,D308,$C$4)-1/2*$D$4^2+$D$4*B308)),VLOOKUP(A308,[1]!CPIndex,2))</f>
        <v>305.410534930454</v>
      </c>
      <c r="G308" s="585" t="n">
        <f aca="false">IF(shiftswitch4=1,(F308-F307)/F307,(E308-E307)/E307)</f>
        <v>0.0024756412009957</v>
      </c>
      <c r="H308" s="578" t="n">
        <f aca="false">G308+1</f>
        <v>1.002475641201</v>
      </c>
    </row>
    <row r="309" customFormat="false" ht="12.75" hidden="false" customHeight="false" outlineLevel="0" collapsed="false">
      <c r="A309" s="575" t="n">
        <v>44470</v>
      </c>
      <c r="B309" s="190" t="n">
        <v>0.00425323341807282</v>
      </c>
      <c r="C309" s="576" t="n">
        <v>0.00248345760306589</v>
      </c>
      <c r="D309" s="577" t="n">
        <f aca="false">IF(VLOOKUP(A309,[1]!CPIndex,2)=0,VLOOKUP(A309,[1]!CPIndex,6),0)</f>
        <v>0.00248345760306589</v>
      </c>
      <c r="E309" s="576" t="n">
        <v>305.521930296427</v>
      </c>
      <c r="F309" s="577" t="n">
        <f aca="false">IF(VLOOKUP(A309,[1]!CPIndex,2)=0,(F308*EXP(IF(driftswitch=1,D309,$C$4)-1/2*$D$4^2+$D$4*B309)),VLOOKUP(A309,[1]!CPIndex,2))</f>
        <v>306.171327671812</v>
      </c>
      <c r="G309" s="585" t="n">
        <f aca="false">IF(shiftswitch4=1,(F309-F308)/F308,(E309-E308)/E308)</f>
        <v>0.00248577771245864</v>
      </c>
      <c r="H309" s="578" t="n">
        <f aca="false">G309+1</f>
        <v>1.00248577771246</v>
      </c>
    </row>
    <row r="310" customFormat="false" ht="12.75" hidden="false" customHeight="false" outlineLevel="0" collapsed="false">
      <c r="A310" s="575" t="n">
        <v>44501</v>
      </c>
      <c r="B310" s="190" t="n">
        <v>0.0105616973644139</v>
      </c>
      <c r="C310" s="576" t="n">
        <v>0.00249356780427123</v>
      </c>
      <c r="D310" s="577" t="n">
        <f aca="false">IF(VLOOKUP(A310,[1]!CPIndex,2)=0,VLOOKUP(A310,[1]!CPIndex,6),0)</f>
        <v>0.00249356780427123</v>
      </c>
      <c r="E310" s="576" t="n">
        <v>306.284486483556</v>
      </c>
      <c r="F310" s="577" t="n">
        <f aca="false">IF(VLOOKUP(A310,[1]!CPIndex,2)=0,(F309*EXP(IF(driftswitch=1,D310,$C$4)-1/2*$D$4^2+$D$4*B310)),VLOOKUP(A310,[1]!CPIndex,2))</f>
        <v>306.939512792227</v>
      </c>
      <c r="G310" s="585" t="n">
        <f aca="false">IF(shiftswitch4=1,(F310-F309)/F309,(E310-E309)/E309)</f>
        <v>0.0024959130966123</v>
      </c>
      <c r="H310" s="578" t="n">
        <f aca="false">G310+1</f>
        <v>1.00249591309661</v>
      </c>
    </row>
    <row r="311" customFormat="false" ht="12.75" hidden="false" customHeight="false" outlineLevel="0" collapsed="false">
      <c r="A311" s="575" t="n">
        <v>44531</v>
      </c>
      <c r="B311" s="190" t="n">
        <v>-0.0416257021188259</v>
      </c>
      <c r="C311" s="576" t="n">
        <v>0.00250367677903144</v>
      </c>
      <c r="D311" s="577" t="n">
        <f aca="false">IF(VLOOKUP(A311,[1]!CPIndex,2)=0,VLOOKUP(A311,[1]!CPIndex,6),0)</f>
        <v>0.00250367677903144</v>
      </c>
      <c r="E311" s="576" t="n">
        <v>307.052049910393</v>
      </c>
      <c r="F311" s="577" t="n">
        <f aca="false">IF(VLOOKUP(A311,[1]!CPIndex,2)=0,(F310*EXP(IF(driftswitch=1,D311,$C$4)-1/2*$D$4^2+$D$4*B311)),VLOOKUP(A311,[1]!CPIndex,2))</f>
        <v>307.692881785925</v>
      </c>
      <c r="G311" s="585" t="n">
        <f aca="false">IF(shiftswitch4=1,(F311-F310)/F310,(E311-E310)/E310)</f>
        <v>0.0025060473537184</v>
      </c>
      <c r="H311" s="578" t="n">
        <f aca="false">G311+1</f>
        <v>1.00250604735372</v>
      </c>
    </row>
    <row r="312" customFormat="false" ht="12.75" hidden="false" customHeight="false" outlineLevel="0" collapsed="false">
      <c r="A312" s="575" t="n">
        <v>44562</v>
      </c>
      <c r="B312" s="190" t="n">
        <v>0.0427777313512091</v>
      </c>
      <c r="C312" s="576" t="n">
        <v>0.00250772002559753</v>
      </c>
      <c r="D312" s="577" t="n">
        <f aca="false">IF(VLOOKUP(A312,[1]!CPIndex,2)=0,VLOOKUP(A312,[1]!CPIndex,6),0)</f>
        <v>0.00250772002559753</v>
      </c>
      <c r="E312" s="576" t="n">
        <v>307.822781488413</v>
      </c>
      <c r="F312" s="577" t="n">
        <f aca="false">IF(VLOOKUP(A312,[1]!CPIndex,2)=0,(F311*EXP(IF(driftswitch=1,D312,$C$4)-1/2*$D$4^2+$D$4*B312)),VLOOKUP(A312,[1]!CPIndex,2))</f>
        <v>308.481537012809</v>
      </c>
      <c r="G312" s="585" t="n">
        <f aca="false">IF(shiftswitch4=1,(F312-F311)/F311,(E312-E311)/E311)</f>
        <v>0.00251010074104616</v>
      </c>
      <c r="H312" s="578" t="n">
        <f aca="false">G312+1</f>
        <v>1.00251010074105</v>
      </c>
    </row>
    <row r="313" customFormat="false" ht="12.75" hidden="false" customHeight="false" outlineLevel="0" collapsed="false">
      <c r="A313" s="575" t="n">
        <v>44593</v>
      </c>
      <c r="B313" s="190" t="n">
        <v>0.00568067779747392</v>
      </c>
      <c r="C313" s="576" t="n">
        <v>0.00251176307599893</v>
      </c>
      <c r="D313" s="577" t="n">
        <f aca="false">IF(VLOOKUP(A313,[1]!CPIndex,2)=0,VLOOKUP(A313,[1]!CPIndex,6),0)</f>
        <v>0.00251176307599893</v>
      </c>
      <c r="E313" s="576" t="n">
        <v>308.596695349809</v>
      </c>
      <c r="F313" s="577" t="n">
        <f aca="false">IF(VLOOKUP(A313,[1]!CPIndex,2)=0,(F312*EXP(IF(driftswitch=1,D313,$C$4)-1/2*$D$4^2+$D$4*B313)),VLOOKUP(A313,[1]!CPIndex,2))</f>
        <v>309.259279165787</v>
      </c>
      <c r="G313" s="585" t="n">
        <f aca="false">IF(shiftswitch4=1,(F313-F312)/F312,(E313-E312)/E312)</f>
        <v>0.00251415394810509</v>
      </c>
      <c r="H313" s="578" t="n">
        <f aca="false">G313+1</f>
        <v>1.00251415394811</v>
      </c>
    </row>
    <row r="314" customFormat="false" ht="12.75" hidden="false" customHeight="false" outlineLevel="0" collapsed="false">
      <c r="A314" s="575" t="n">
        <v>44621</v>
      </c>
      <c r="B314" s="190" t="n">
        <v>-0.0382245025987966</v>
      </c>
      <c r="C314" s="576" t="n">
        <v>0.0025158059302548</v>
      </c>
      <c r="D314" s="577" t="n">
        <f aca="false">IF(VLOOKUP(A314,[1]!CPIndex,2)=0,VLOOKUP(A314,[1]!CPIndex,6),0)</f>
        <v>0.0025158059302548</v>
      </c>
      <c r="E314" s="576" t="n">
        <v>309.373805700474</v>
      </c>
      <c r="F314" s="577" t="n">
        <f aca="false">IF(VLOOKUP(A314,[1]!CPIndex,2)=0,(F313*EXP(IF(driftswitch=1,D314,$C$4)-1/2*$D$4^2+$D$4*B314)),VLOOKUP(A314,[1]!CPIndex,2))</f>
        <v>310.02340590874</v>
      </c>
      <c r="G314" s="585" t="n">
        <f aca="false">IF(shiftswitch4=1,(F314-F313)/F313,(E314-E313)/E313)</f>
        <v>0.00251820697491192</v>
      </c>
      <c r="H314" s="578" t="n">
        <f aca="false">G314+1</f>
        <v>1.00251820697491</v>
      </c>
    </row>
    <row r="315" customFormat="false" ht="12.75" hidden="false" customHeight="false" outlineLevel="0" collapsed="false">
      <c r="A315" s="575" t="n">
        <v>44652</v>
      </c>
      <c r="B315" s="190" t="n">
        <v>-0.00182235128322941</v>
      </c>
      <c r="C315" s="576" t="n">
        <v>0.00251984858838405</v>
      </c>
      <c r="D315" s="577" t="n">
        <f aca="false">IF(VLOOKUP(A315,[1]!CPIndex,2)=0,VLOOKUP(A315,[1]!CPIndex,6),0)</f>
        <v>0.00251984858838405</v>
      </c>
      <c r="E315" s="576" t="n">
        <v>310.154126820411</v>
      </c>
      <c r="F315" s="577" t="n">
        <f aca="false">IF(VLOOKUP(A315,[1]!CPIndex,2)=0,(F314*EXP(IF(driftswitch=1,D315,$C$4)-1/2*$D$4^2+$D$4*B315)),VLOOKUP(A315,[1]!CPIndex,2))</f>
        <v>310.804665205001</v>
      </c>
      <c r="G315" s="585" t="n">
        <f aca="false">IF(shiftswitch4=1,(F315-F314)/F314,(E315-E314)/E314)</f>
        <v>0.00252225982148315</v>
      </c>
      <c r="H315" s="578" t="n">
        <f aca="false">G315+1</f>
        <v>1.00252225982148</v>
      </c>
    </row>
    <row r="316" customFormat="false" ht="12.75" hidden="false" customHeight="false" outlineLevel="0" collapsed="false">
      <c r="A316" s="575" t="n">
        <v>44682</v>
      </c>
      <c r="B316" s="190" t="n">
        <v>-0.0363415201421213</v>
      </c>
      <c r="C316" s="576" t="n">
        <v>0.00252389105040606</v>
      </c>
      <c r="D316" s="577" t="n">
        <f aca="false">IF(VLOOKUP(A316,[1]!CPIndex,2)=0,VLOOKUP(A316,[1]!CPIndex,6),0)</f>
        <v>0.00252389105040606</v>
      </c>
      <c r="E316" s="576" t="n">
        <v>310.937673064152</v>
      </c>
      <c r="F316" s="577" t="n">
        <f aca="false">IF(VLOOKUP(A316,[1]!CPIndex,2)=0,(F315*EXP(IF(driftswitch=1,D316,$C$4)-1/2*$D$4^2+$D$4*B316)),VLOOKUP(A316,[1]!CPIndex,2))</f>
        <v>311.575854821481</v>
      </c>
      <c r="G316" s="585" t="n">
        <f aca="false">IF(shiftswitch4=1,(F316-F315)/F315,(E316-E315)/E315)</f>
        <v>0.00252631248783614</v>
      </c>
      <c r="H316" s="578" t="n">
        <f aca="false">G316+1</f>
        <v>1.00252631248784</v>
      </c>
    </row>
    <row r="317" customFormat="false" ht="12.75" hidden="false" customHeight="false" outlineLevel="0" collapsed="false">
      <c r="A317" s="575" t="n">
        <v>44713</v>
      </c>
      <c r="B317" s="190" t="n">
        <v>-0.0513211638614316</v>
      </c>
      <c r="C317" s="576" t="n">
        <v>0.0025279333163393</v>
      </c>
      <c r="D317" s="577" t="n">
        <f aca="false">IF(VLOOKUP(A317,[1]!CPIndex,2)=0,VLOOKUP(A317,[1]!CPIndex,6),0)</f>
        <v>0.0025279333163393</v>
      </c>
      <c r="E317" s="576" t="n">
        <v>311.724458861166</v>
      </c>
      <c r="F317" s="577" t="n">
        <f aca="false">IF(VLOOKUP(A317,[1]!CPIndex,2)=0,(F316*EXP(IF(driftswitch=1,D317,$C$4)-1/2*$D$4^2+$D$4*B317)),VLOOKUP(A317,[1]!CPIndex,2))</f>
        <v>312.344435697686</v>
      </c>
      <c r="G317" s="585" t="n">
        <f aca="false">IF(shiftswitch4=1,(F317-F316)/F316,(E317-E316)/E316)</f>
        <v>0.0025303649739868</v>
      </c>
      <c r="H317" s="578" t="n">
        <f aca="false">G317+1</f>
        <v>1.00253036497399</v>
      </c>
    </row>
    <row r="318" customFormat="false" ht="12.75" hidden="false" customHeight="false" outlineLevel="0" collapsed="false">
      <c r="A318" s="575" t="n">
        <v>44743</v>
      </c>
      <c r="B318" s="190" t="n">
        <v>-0.037752140855082</v>
      </c>
      <c r="C318" s="576" t="n">
        <v>0.00253197538620336</v>
      </c>
      <c r="D318" s="577" t="n">
        <f aca="false">IF(VLOOKUP(A318,[1]!CPIndex,2)=0,VLOOKUP(A318,[1]!CPIndex,6),0)</f>
        <v>0.00253197538620336</v>
      </c>
      <c r="E318" s="576" t="n">
        <v>312.514498716288</v>
      </c>
      <c r="F318" s="577" t="n">
        <f aca="false">IF(VLOOKUP(A318,[1]!CPIndex,2)=0,(F317*EXP(IF(driftswitch=1,D318,$C$4)-1/2*$D$4^2+$D$4*B318)),VLOOKUP(A318,[1]!CPIndex,2))</f>
        <v>313.121431163271</v>
      </c>
      <c r="G318" s="585" t="n">
        <f aca="false">IF(shiftswitch4=1,(F318-F317)/F317,(E318-E317)/E317)</f>
        <v>0.00253441727995262</v>
      </c>
      <c r="H318" s="578" t="n">
        <f aca="false">G318+1</f>
        <v>1.00253441727995</v>
      </c>
    </row>
    <row r="319" customFormat="false" ht="12.75" hidden="false" customHeight="false" outlineLevel="0" collapsed="false">
      <c r="A319" s="575" t="n">
        <v>44774</v>
      </c>
      <c r="B319" s="190" t="n">
        <v>-0.053782474832799</v>
      </c>
      <c r="C319" s="576" t="n">
        <v>0.00253601726001672</v>
      </c>
      <c r="D319" s="577" t="n">
        <f aca="false">IF(VLOOKUP(A319,[1]!CPIndex,2)=0,VLOOKUP(A319,[1]!CPIndex,6),0)</f>
        <v>0.00253601726001672</v>
      </c>
      <c r="E319" s="576" t="n">
        <v>313.307807210132</v>
      </c>
      <c r="F319" s="577" t="n">
        <f aca="false">IF(VLOOKUP(A319,[1]!CPIndex,2)=0,(F318*EXP(IF(driftswitch=1,D319,$C$4)-1/2*$D$4^2+$D$4*B319)),VLOOKUP(A319,[1]!CPIndex,2))</f>
        <v>313.895406879423</v>
      </c>
      <c r="G319" s="585" t="n">
        <f aca="false">IF(shiftswitch4=1,(F319-F318)/F318,(E319-E318)/E318)</f>
        <v>0.0025384694057499</v>
      </c>
      <c r="H319" s="578" t="n">
        <f aca="false">G319+1</f>
        <v>1.00253846940575</v>
      </c>
    </row>
    <row r="320" customFormat="false" ht="12.75" hidden="false" customHeight="false" outlineLevel="0" collapsed="false">
      <c r="A320" s="575" t="n">
        <v>44805</v>
      </c>
      <c r="B320" s="190" t="n">
        <v>0.0142060851711301</v>
      </c>
      <c r="C320" s="576" t="n">
        <v>0.00254005893779897</v>
      </c>
      <c r="D320" s="577" t="n">
        <f aca="false">IF(VLOOKUP(A320,[1]!CPIndex,2)=0,VLOOKUP(A320,[1]!CPIndex,6),0)</f>
        <v>0.00254005893779897</v>
      </c>
      <c r="E320" s="576" t="n">
        <v>314.104398999523</v>
      </c>
      <c r="F320" s="577" t="n">
        <f aca="false">IF(VLOOKUP(A320,[1]!CPIndex,2)=0,(F319*EXP(IF(driftswitch=1,D320,$C$4)-1/2*$D$4^2+$D$4*B320)),VLOOKUP(A320,[1]!CPIndex,2))</f>
        <v>314.699020044583</v>
      </c>
      <c r="G320" s="585" t="n">
        <f aca="false">IF(shiftswitch4=1,(F320-F319)/F319,(E320-E319)/E319)</f>
        <v>0.00254252135139607</v>
      </c>
      <c r="H320" s="578" t="n">
        <f aca="false">G320+1</f>
        <v>1.0025425213514</v>
      </c>
    </row>
    <row r="321" customFormat="false" ht="12.75" hidden="false" customHeight="false" outlineLevel="0" collapsed="false">
      <c r="A321" s="575" t="n">
        <v>44835</v>
      </c>
      <c r="B321" s="190" t="n">
        <v>-0.0419547234525206</v>
      </c>
      <c r="C321" s="576" t="n">
        <v>0.00254410041956859</v>
      </c>
      <c r="D321" s="577" t="n">
        <f aca="false">IF(VLOOKUP(A321,[1]!CPIndex,2)=0,VLOOKUP(A321,[1]!CPIndex,6),0)</f>
        <v>0.00254410041956859</v>
      </c>
      <c r="E321" s="576" t="n">
        <v>314.904288817917</v>
      </c>
      <c r="F321" s="577" t="n">
        <f aca="false">IF(VLOOKUP(A321,[1]!CPIndex,2)=0,(F320*EXP(IF(driftswitch=1,D321,$C$4)-1/2*$D$4^2+$D$4*B321)),VLOOKUP(A321,[1]!CPIndex,2))</f>
        <v>315.484058817357</v>
      </c>
      <c r="G321" s="585" t="n">
        <f aca="false">IF(shiftswitch4=1,(F321-F320)/F320,(E321-E320)/E320)</f>
        <v>0.0025465731169067</v>
      </c>
      <c r="H321" s="578" t="n">
        <f aca="false">G321+1</f>
        <v>1.00254657311691</v>
      </c>
    </row>
    <row r="322" customFormat="false" ht="12.75" hidden="false" customHeight="false" outlineLevel="0" collapsed="false">
      <c r="A322" s="575" t="n">
        <v>44866</v>
      </c>
      <c r="B322" s="190" t="n">
        <v>0.0302820367463883</v>
      </c>
      <c r="C322" s="576" t="n">
        <v>0.00254814170534493</v>
      </c>
      <c r="D322" s="577" t="n">
        <f aca="false">IF(VLOOKUP(A322,[1]!CPIndex,2)=0,VLOOKUP(A322,[1]!CPIndex,6),0)</f>
        <v>0.00254814170534493</v>
      </c>
      <c r="E322" s="576" t="n">
        <v>315.707491475836</v>
      </c>
      <c r="F322" s="577" t="n">
        <f aca="false">IF(VLOOKUP(A322,[1]!CPIndex,2)=0,(F321*EXP(IF(driftswitch=1,D322,$C$4)-1/2*$D$4^2+$D$4*B322)),VLOOKUP(A322,[1]!CPIndex,2))</f>
        <v>316.300582416974</v>
      </c>
      <c r="G322" s="585" t="n">
        <f aca="false">IF(shiftswitch4=1,(F322-F321)/F321,(E322-E321)/E321)</f>
        <v>0.00255062470229966</v>
      </c>
      <c r="H322" s="578" t="n">
        <f aca="false">G322+1</f>
        <v>1.0025506247023</v>
      </c>
    </row>
    <row r="323" customFormat="false" ht="12.75" hidden="false" customHeight="false" outlineLevel="0" collapsed="false">
      <c r="A323" s="575" t="n">
        <v>44896</v>
      </c>
      <c r="B323" s="190" t="n">
        <v>0.0202579604879612</v>
      </c>
      <c r="C323" s="576" t="n">
        <v>0.00255218279514671</v>
      </c>
      <c r="D323" s="577" t="n">
        <f aca="false">IF(VLOOKUP(A323,[1]!CPIndex,2)=0,VLOOKUP(A323,[1]!CPIndex,6),0)</f>
        <v>0.00255218279514671</v>
      </c>
      <c r="E323" s="576" t="n">
        <v>316.514021861297</v>
      </c>
      <c r="F323" s="577" t="n">
        <f aca="false">IF(VLOOKUP(A323,[1]!CPIndex,2)=0,(F322*EXP(IF(driftswitch=1,D323,$C$4)-1/2*$D$4^2+$D$4*B323)),VLOOKUP(A323,[1]!CPIndex,2))</f>
        <v>317.116570570991</v>
      </c>
      <c r="G323" s="585" t="n">
        <f aca="false">IF(shiftswitch4=1,(F323-F322)/F322,(E323-E322)/E322)</f>
        <v>0.00255467610759098</v>
      </c>
      <c r="H323" s="578" t="n">
        <f aca="false">G323+1</f>
        <v>1.00255467610759</v>
      </c>
    </row>
    <row r="324" customFormat="false" ht="12.75" hidden="false" customHeight="false" outlineLevel="0" collapsed="false">
      <c r="A324" s="575" t="n">
        <v>44927</v>
      </c>
      <c r="B324" s="190" t="n">
        <v>0.0630000557458157</v>
      </c>
      <c r="C324" s="576" t="n">
        <v>0.00255689715225116</v>
      </c>
      <c r="D324" s="577" t="n">
        <f aca="false">IF(VLOOKUP(A324,[1]!CPIndex,2)=0,VLOOKUP(A324,[1]!CPIndex,6),0)</f>
        <v>0.00255689715225116</v>
      </c>
      <c r="E324" s="576" t="n">
        <v>317.324108646304</v>
      </c>
      <c r="F324" s="577" t="n">
        <f aca="false">IF(VLOOKUP(A324,[1]!CPIndex,2)=0,(F323*EXP(IF(driftswitch=1,D324,$C$4)-1/2*$D$4^2+$D$4*B324)),VLOOKUP(A324,[1]!CPIndex,2))</f>
        <v>317.952964678509</v>
      </c>
      <c r="G324" s="585" t="n">
        <f aca="false">IF(shiftswitch4=1,(F324-F323)/F323,(E324-E323)/E323)</f>
        <v>0.0025594025194919</v>
      </c>
      <c r="H324" s="578" t="n">
        <f aca="false">G324+1</f>
        <v>1.00255940251949</v>
      </c>
    </row>
    <row r="325" customFormat="false" ht="12.75" hidden="false" customHeight="false" outlineLevel="0" collapsed="false">
      <c r="A325" s="575" t="n">
        <v>44958</v>
      </c>
      <c r="B325" s="190" t="n">
        <v>0.00635245300761761</v>
      </c>
      <c r="C325" s="576" t="n">
        <v>0.00256161124266873</v>
      </c>
      <c r="D325" s="577" t="n">
        <f aca="false">IF(VLOOKUP(A325,[1]!CPIndex,2)=0,VLOOKUP(A325,[1]!CPIndex,6),0)</f>
        <v>0.00256161124266873</v>
      </c>
      <c r="E325" s="576" t="n">
        <v>318.137768496139</v>
      </c>
      <c r="F325" s="577" t="n">
        <f aca="false">IF(VLOOKUP(A325,[1]!CPIndex,2)=0,(F324*EXP(IF(driftswitch=1,D325,$C$4)-1/2*$D$4^2+$D$4*B325)),VLOOKUP(A325,[1]!CPIndex,2))</f>
        <v>318.770740639175</v>
      </c>
      <c r="G325" s="585" t="n">
        <f aca="false">IF(shiftswitch4=1,(F325-F324)/F324,(E325-E324)/E324)</f>
        <v>0.00256412868630408</v>
      </c>
      <c r="H325" s="578" t="n">
        <f aca="false">G325+1</f>
        <v>1.0025641286863</v>
      </c>
    </row>
    <row r="326" customFormat="false" ht="12.75" hidden="false" customHeight="false" outlineLevel="0" collapsed="false">
      <c r="A326" s="575" t="n">
        <v>44986</v>
      </c>
      <c r="B326" s="190" t="n">
        <v>0.00377499971288875</v>
      </c>
      <c r="C326" s="576" t="n">
        <v>0.00256632506642944</v>
      </c>
      <c r="D326" s="577" t="n">
        <f aca="false">IF(VLOOKUP(A326,[1]!CPIndex,2)=0,VLOOKUP(A326,[1]!CPIndex,6),0)</f>
        <v>0.00256632506642944</v>
      </c>
      <c r="E326" s="576" t="n">
        <v>318.955018168737</v>
      </c>
      <c r="F326" s="577" t="n">
        <f aca="false">IF(VLOOKUP(A326,[1]!CPIndex,2)=0,(F325*EXP(IF(driftswitch=1,D326,$C$4)-1/2*$D$4^2+$D$4*B326)),VLOOKUP(A326,[1]!CPIndex,2))</f>
        <v>319.591107967848</v>
      </c>
      <c r="G326" s="585" t="n">
        <f aca="false">IF(shiftswitch4=1,(F326-F325)/F325,(E326-E325)/E325)</f>
        <v>0.00256885460805414</v>
      </c>
      <c r="H326" s="578" t="n">
        <f aca="false">G326+1</f>
        <v>1.00256885460805</v>
      </c>
    </row>
    <row r="327" customFormat="false" ht="12.75" hidden="false" customHeight="false" outlineLevel="0" collapsed="false">
      <c r="A327" s="575" t="n">
        <v>45017</v>
      </c>
      <c r="B327" s="190" t="n">
        <v>0.0697171890303609</v>
      </c>
      <c r="C327" s="576" t="n">
        <v>0.00257103862356377</v>
      </c>
      <c r="D327" s="577" t="n">
        <f aca="false">IF(VLOOKUP(A327,[1]!CPIndex,2)=0,VLOOKUP(A327,[1]!CPIndex,6),0)</f>
        <v>0.00257103862356377</v>
      </c>
      <c r="E327" s="576" t="n">
        <v>319.775874515224</v>
      </c>
      <c r="F327" s="577" t="n">
        <f aca="false">IF(VLOOKUP(A327,[1]!CPIndex,2)=0,(F326*EXP(IF(driftswitch=1,D327,$C$4)-1/2*$D$4^2+$D$4*B327)),VLOOKUP(A327,[1]!CPIndex,2))</f>
        <v>320.441221346091</v>
      </c>
      <c r="G327" s="585" t="n">
        <f aca="false">IF(shiftswitch4=1,(F327-F326)/F326,(E327-E326)/E326)</f>
        <v>0.00257358028476893</v>
      </c>
      <c r="H327" s="578" t="n">
        <f aca="false">G327+1</f>
        <v>1.00257358028477</v>
      </c>
    </row>
    <row r="328" customFormat="false" ht="12.75" hidden="false" customHeight="false" outlineLevel="0" collapsed="false">
      <c r="A328" s="575" t="n">
        <v>45047</v>
      </c>
      <c r="B328" s="190" t="n">
        <v>-0.0520298691030737</v>
      </c>
      <c r="C328" s="576" t="n">
        <v>0.00257575191410172</v>
      </c>
      <c r="D328" s="577" t="n">
        <f aca="false">IF(VLOOKUP(A328,[1]!CPIndex,2)=0,VLOOKUP(A328,[1]!CPIndex,6),0)</f>
        <v>0.00257575191410172</v>
      </c>
      <c r="E328" s="576" t="n">
        <v>320.600354480477</v>
      </c>
      <c r="F328" s="577" t="n">
        <f aca="false">IF(VLOOKUP(A328,[1]!CPIndex,2)=0,(F327*EXP(IF(driftswitch=1,D328,$C$4)-1/2*$D$4^2+$D$4*B328)),VLOOKUP(A328,[1]!CPIndex,2))</f>
        <v>321.246750625552</v>
      </c>
      <c r="G328" s="585" t="n">
        <f aca="false">IF(shiftswitch4=1,(F328-F327)/F327,(E328-E327)/E327)</f>
        <v>0.00257830571647458</v>
      </c>
      <c r="H328" s="578" t="n">
        <f aca="false">G328+1</f>
        <v>1.00257830571647</v>
      </c>
    </row>
    <row r="329" customFormat="false" ht="12.75" hidden="false" customHeight="false" outlineLevel="0" collapsed="false">
      <c r="A329" s="575" t="n">
        <v>45078</v>
      </c>
      <c r="B329" s="190" t="n">
        <v>-0.0332578736081155</v>
      </c>
      <c r="C329" s="576" t="n">
        <v>0.00258046493807333</v>
      </c>
      <c r="D329" s="577" t="n">
        <f aca="false">IF(VLOOKUP(A329,[1]!CPIndex,2)=0,VLOOKUP(A329,[1]!CPIndex,6),0)</f>
        <v>0.00258046493807333</v>
      </c>
      <c r="E329" s="576" t="n">
        <v>321.428475103677</v>
      </c>
      <c r="F329" s="577" t="n">
        <f aca="false">IF(VLOOKUP(A329,[1]!CPIndex,2)=0,(F328*EXP(IF(driftswitch=1,D329,$C$4)-1/2*$D$4^2+$D$4*B329)),VLOOKUP(A329,[1]!CPIndex,2))</f>
        <v>322.063297529859</v>
      </c>
      <c r="G329" s="585" t="n">
        <f aca="false">IF(shiftswitch4=1,(F329-F328)/F328,(E329-E328)/E328)</f>
        <v>0.00258303090319784</v>
      </c>
      <c r="H329" s="578" t="n">
        <f aca="false">G329+1</f>
        <v>1.0025830309032</v>
      </c>
    </row>
    <row r="330" customFormat="false" ht="12.75" hidden="false" customHeight="false" outlineLevel="0" collapsed="false">
      <c r="A330" s="575" t="n">
        <v>45108</v>
      </c>
      <c r="B330" s="190" t="n">
        <v>0.020485935100487</v>
      </c>
      <c r="C330" s="576" t="n">
        <v>0.00258517769550905</v>
      </c>
      <c r="D330" s="577" t="n">
        <f aca="false">IF(VLOOKUP(A330,[1]!CPIndex,2)=0,VLOOKUP(A330,[1]!CPIndex,6),0)</f>
        <v>0.00258517769550905</v>
      </c>
      <c r="E330" s="576" t="n">
        <v>322.260253518864</v>
      </c>
      <c r="F330" s="577" t="n">
        <f aca="false">IF(VLOOKUP(A330,[1]!CPIndex,2)=0,(F329*EXP(IF(driftswitch=1,D330,$C$4)-1/2*$D$4^2+$D$4*B330)),VLOOKUP(A330,[1]!CPIndex,2))</f>
        <v>322.904897313459</v>
      </c>
      <c r="G330" s="585" t="n">
        <f aca="false">IF(shiftswitch4=1,(F330-F329)/F329,(E330-E329)/E329)</f>
        <v>0.00258775584496536</v>
      </c>
      <c r="H330" s="578" t="n">
        <f aca="false">G330+1</f>
        <v>1.00258775584497</v>
      </c>
    </row>
    <row r="331" customFormat="false" ht="12.75" hidden="false" customHeight="false" outlineLevel="0" collapsed="false">
      <c r="A331" s="575" t="n">
        <v>45139</v>
      </c>
      <c r="B331" s="190" t="n">
        <v>0.011656709425789</v>
      </c>
      <c r="C331" s="576" t="n">
        <v>0.00258989018643868</v>
      </c>
      <c r="D331" s="577" t="n">
        <f aca="false">IF(VLOOKUP(A331,[1]!CPIndex,2)=0,VLOOKUP(A331,[1]!CPIndex,6),0)</f>
        <v>0.00258989018643868</v>
      </c>
      <c r="E331" s="576" t="n">
        <v>323.095706955509</v>
      </c>
      <c r="F331" s="577" t="n">
        <f aca="false">IF(VLOOKUP(A331,[1]!CPIndex,2)=0,(F330*EXP(IF(driftswitch=1,D331,$C$4)-1/2*$D$4^2+$D$4*B331)),VLOOKUP(A331,[1]!CPIndex,2))</f>
        <v>323.746687843828</v>
      </c>
      <c r="G331" s="585" t="n">
        <f aca="false">IF(shiftswitch4=1,(F331-F330)/F330,(E331-E330)/E330)</f>
        <v>0.0025924805418034</v>
      </c>
      <c r="H331" s="578" t="n">
        <f aca="false">G331+1</f>
        <v>1.0025924805418</v>
      </c>
    </row>
    <row r="332" customFormat="false" ht="12.75" hidden="false" customHeight="false" outlineLevel="0" collapsed="false">
      <c r="A332" s="575" t="n">
        <v>45170</v>
      </c>
      <c r="B332" s="190" t="n">
        <v>0.0227503304242916</v>
      </c>
      <c r="C332" s="576" t="n">
        <v>0.00259460241089268</v>
      </c>
      <c r="D332" s="577" t="n">
        <f aca="false">IF(VLOOKUP(A332,[1]!CPIndex,2)=0,VLOOKUP(A332,[1]!CPIndex,6),0)</f>
        <v>0.00259460241089268</v>
      </c>
      <c r="E332" s="576" t="n">
        <v>323.934852739069</v>
      </c>
      <c r="F332" s="577" t="n">
        <f aca="false">IF(VLOOKUP(A332,[1]!CPIndex,2)=0,(F331*EXP(IF(driftswitch=1,D332,$C$4)-1/2*$D$4^2+$D$4*B332)),VLOOKUP(A332,[1]!CPIndex,2))</f>
        <v>324.596654548757</v>
      </c>
      <c r="G332" s="585" t="n">
        <f aca="false">IF(shiftswitch4=1,(F332-F331)/F331,(E332-E331)/E331)</f>
        <v>0.00259720499373914</v>
      </c>
      <c r="H332" s="578" t="n">
        <f aca="false">G332+1</f>
        <v>1.00259720499374</v>
      </c>
    </row>
    <row r="333" customFormat="false" ht="12.75" hidden="false" customHeight="false" outlineLevel="0" collapsed="false">
      <c r="A333" s="575" t="n">
        <v>45200</v>
      </c>
      <c r="B333" s="190" t="n">
        <v>0.0394690007301309</v>
      </c>
      <c r="C333" s="576" t="n">
        <v>0.00259931436890084</v>
      </c>
      <c r="D333" s="577" t="n">
        <f aca="false">IF(VLOOKUP(A333,[1]!CPIndex,2)=0,VLOOKUP(A333,[1]!CPIndex,6),0)</f>
        <v>0.00259931436890084</v>
      </c>
      <c r="E333" s="576" t="n">
        <v>324.777708291567</v>
      </c>
      <c r="F333" s="577" t="n">
        <f aca="false">IF(VLOOKUP(A333,[1]!CPIndex,2)=0,(F332*EXP(IF(driftswitch=1,D333,$C$4)-1/2*$D$4^2+$D$4*B333)),VLOOKUP(A333,[1]!CPIndex,2))</f>
        <v>325.457113635324</v>
      </c>
      <c r="G333" s="585" t="n">
        <f aca="false">IF(shiftswitch4=1,(F333-F332)/F332,(E333-E332)/E332)</f>
        <v>0.00260192920079808</v>
      </c>
      <c r="H333" s="578" t="n">
        <f aca="false">G333+1</f>
        <v>1.0026019292008</v>
      </c>
    </row>
    <row r="334" customFormat="false" ht="12.75" hidden="false" customHeight="false" outlineLevel="0" collapsed="false">
      <c r="A334" s="575" t="n">
        <v>45231</v>
      </c>
      <c r="B334" s="190" t="n">
        <v>0.0767026852743362</v>
      </c>
      <c r="C334" s="576" t="n">
        <v>0.00260402606049363</v>
      </c>
      <c r="D334" s="577" t="n">
        <f aca="false">IF(VLOOKUP(A334,[1]!CPIndex,2)=0,VLOOKUP(A334,[1]!CPIndex,6),0)</f>
        <v>0.00260402606049363</v>
      </c>
      <c r="E334" s="576" t="n">
        <v>325.62429113216</v>
      </c>
      <c r="F334" s="577" t="n">
        <f aca="false">IF(VLOOKUP(A334,[1]!CPIndex,2)=0,(F333*EXP(IF(driftswitch=1,D334,$C$4)-1/2*$D$4^2+$D$4*B334)),VLOOKUP(A334,[1]!CPIndex,2))</f>
        <v>326.336413820005</v>
      </c>
      <c r="G334" s="585" t="n">
        <f aca="false">IF(shiftswitch4=1,(F334-F333)/F333,(E334-E333)/E333)</f>
        <v>0.00260665316300782</v>
      </c>
      <c r="H334" s="578" t="n">
        <f aca="false">G334+1</f>
        <v>1.00260665316301</v>
      </c>
    </row>
    <row r="335" customFormat="false" ht="12.75" hidden="false" customHeight="false" outlineLevel="0" collapsed="false">
      <c r="A335" s="575" t="n">
        <v>45261</v>
      </c>
      <c r="B335" s="190" t="n">
        <v>-0.0375571068024221</v>
      </c>
      <c r="C335" s="576" t="n">
        <v>0.00260873748570107</v>
      </c>
      <c r="D335" s="577" t="n">
        <f aca="false">IF(VLOOKUP(A335,[1]!CPIndex,2)=0,VLOOKUP(A335,[1]!CPIndex,6),0)</f>
        <v>0.00260873748570107</v>
      </c>
      <c r="E335" s="576" t="n">
        <v>326.474618877717</v>
      </c>
      <c r="F335" s="577" t="n">
        <f aca="false">IF(VLOOKUP(A335,[1]!CPIndex,2)=0,(F334*EXP(IF(driftswitch=1,D335,$C$4)-1/2*$D$4^2+$D$4*B335)),VLOOKUP(A335,[1]!CPIndex,2))</f>
        <v>327.173408505516</v>
      </c>
      <c r="G335" s="585" t="n">
        <f aca="false">IF(shiftswitch4=1,(F335-F334)/F334,(E335-E334)/E334)</f>
        <v>0.00261137688039431</v>
      </c>
      <c r="H335" s="578" t="n">
        <f aca="false">G335+1</f>
        <v>1.00261137688039</v>
      </c>
    </row>
    <row r="336" customFormat="false" ht="12.75" hidden="false" customHeight="false" outlineLevel="0" collapsed="false">
      <c r="A336" s="575" t="n">
        <v>45292</v>
      </c>
      <c r="B336" s="190" t="n">
        <v>-0.0182533534805618</v>
      </c>
      <c r="C336" s="576" t="n">
        <v>0</v>
      </c>
      <c r="D336" s="577" t="n">
        <f aca="false">IF(VLOOKUP(A336,[1]!CPIndex,2)=0,VLOOKUP(A336,[1]!CPIndex,6),0)</f>
        <v>0</v>
      </c>
      <c r="E336" s="576" t="n">
        <v>326.474369344903</v>
      </c>
      <c r="F336" s="577" t="n">
        <f aca="false">IF(VLOOKUP(A336,[1]!CPIndex,2)=0,(F335*EXP(IF(driftswitch=1,D336,$C$4)-1/2*$D$4^2+$D$4*B336)),VLOOKUP(A336,[1]!CPIndex,2))</f>
        <v>327.165774813599</v>
      </c>
      <c r="G336" s="585" t="n">
        <f aca="false">IF(shiftswitch4=1,(F336-F335)/F335,(E336-E335)/E335)</f>
        <v>-7.64325310345563E-007</v>
      </c>
      <c r="H336" s="578" t="n">
        <f aca="false">G336+1</f>
        <v>0.99999923567469</v>
      </c>
    </row>
    <row r="337" customFormat="false" ht="12.75" hidden="false" customHeight="false" outlineLevel="0" collapsed="false">
      <c r="A337" s="575" t="n">
        <v>45323</v>
      </c>
      <c r="B337" s="190" t="n">
        <v>-0.0131302343408426</v>
      </c>
      <c r="C337" s="576" t="n">
        <v>0.00261681359496096</v>
      </c>
      <c r="D337" s="577" t="n">
        <f aca="false">IF(VLOOKUP(A337,[1]!CPIndex,2)=0,VLOOKUP(A337,[1]!CPIndex,6),0)</f>
        <v>0.00261681359496096</v>
      </c>
      <c r="E337" s="576" t="n">
        <v>327.329560503671</v>
      </c>
      <c r="F337" s="577" t="n">
        <f aca="false">IF(VLOOKUP(A337,[1]!CPIndex,2)=0,(F336*EXP(IF(driftswitch=1,D337,$C$4)-1/2*$D$4^2+$D$4*B337)),VLOOKUP(A337,[1]!CPIndex,2))</f>
        <v>328.017451998613</v>
      </c>
      <c r="G337" s="585" t="n">
        <f aca="false">IF(shiftswitch4=1,(F337-F336)/F336,(E337-E336)/E336)</f>
        <v>0.0026194741121162</v>
      </c>
      <c r="H337" s="578" t="n">
        <f aca="false">G337+1</f>
        <v>1.00261947411212</v>
      </c>
    </row>
    <row r="338" customFormat="false" ht="12.75" hidden="false" customHeight="false" outlineLevel="0" collapsed="false">
      <c r="A338" s="575" t="n">
        <v>45352</v>
      </c>
      <c r="B338" s="190" t="n">
        <v>-0.0305441411999638</v>
      </c>
      <c r="C338" s="576" t="n">
        <v>0.00262488892161428</v>
      </c>
      <c r="D338" s="577" t="n">
        <f aca="false">IF(VLOOKUP(A338,[1]!CPIndex,2)=0,VLOOKUP(A338,[1]!CPIndex,6),0)</f>
        <v>0.00262488892161428</v>
      </c>
      <c r="E338" s="576" t="n">
        <v>328.189642041404</v>
      </c>
      <c r="F338" s="577" t="n">
        <f aca="false">IF(VLOOKUP(A338,[1]!CPIndex,2)=0,(F337*EXP(IF(driftswitch=1,D338,$C$4)-1/2*$D$4^2+$D$4*B338)),VLOOKUP(A338,[1]!CPIndex,2))</f>
        <v>328.866921336763</v>
      </c>
      <c r="G338" s="585" t="n">
        <f aca="false">IF(shiftswitch4=1,(F338-F337)/F337,(E338-E337)/E337)</f>
        <v>0.00262757062456952</v>
      </c>
      <c r="H338" s="578" t="n">
        <f aca="false">G338+1</f>
        <v>1.00262757062457</v>
      </c>
    </row>
    <row r="339" customFormat="false" ht="12.75" hidden="false" customHeight="false" outlineLevel="0" collapsed="false">
      <c r="A339" s="575" t="n">
        <v>45383</v>
      </c>
      <c r="B339" s="190" t="n">
        <v>0.00432876681673513</v>
      </c>
      <c r="C339" s="576" t="n">
        <v>0.00262488892161428</v>
      </c>
      <c r="D339" s="577" t="n">
        <f aca="false">IF(VLOOKUP(A339,[1]!CPIndex,2)=0,VLOOKUP(A339,[1]!CPIndex,6),0)</f>
        <v>0.00262488892161428</v>
      </c>
      <c r="E339" s="576" t="n">
        <v>329.05198350412</v>
      </c>
      <c r="F339" s="577" t="n">
        <f aca="false">IF(VLOOKUP(A339,[1]!CPIndex,2)=0,(F338*EXP(IF(driftswitch=1,D339,$C$4)-1/2*$D$4^2+$D$4*B339)),VLOOKUP(A339,[1]!CPIndex,2))</f>
        <v>329.732807133221</v>
      </c>
      <c r="G339" s="585" t="n">
        <f aca="false">IF(shiftswitch4=1,(F339-F338)/F338,(E339-E338)/E338)</f>
        <v>0.00262757062456946</v>
      </c>
      <c r="H339" s="578" t="n">
        <f aca="false">G339+1</f>
        <v>1.00262757062457</v>
      </c>
    </row>
    <row r="340" customFormat="false" ht="12.75" hidden="false" customHeight="false" outlineLevel="0" collapsed="false">
      <c r="A340" s="575" t="n">
        <v>45413</v>
      </c>
      <c r="B340" s="190" t="n">
        <v>-0.0288103346244028</v>
      </c>
      <c r="C340" s="576" t="n">
        <v>0.00263296346581255</v>
      </c>
      <c r="D340" s="577" t="n">
        <f aca="false">IF(VLOOKUP(A340,[1]!CPIndex,2)=0,VLOOKUP(A340,[1]!CPIndex,6),0)</f>
        <v>0.00263296346581255</v>
      </c>
      <c r="E340" s="576" t="n">
        <v>329.919254766781</v>
      </c>
      <c r="F340" s="577" t="n">
        <f aca="false">IF(VLOOKUP(A340,[1]!CPIndex,2)=0,(F339*EXP(IF(driftswitch=1,D340,$C$4)-1/2*$D$4^2+$D$4*B340)),VLOOKUP(A340,[1]!CPIndex,2))</f>
        <v>330.590096757992</v>
      </c>
      <c r="G340" s="585" t="n">
        <f aca="false">IF(shiftswitch4=1,(F340-F339)/F339,(E340-E339)/E339)</f>
        <v>0.00263566641788797</v>
      </c>
      <c r="H340" s="578" t="n">
        <f aca="false">G340+1</f>
        <v>1.00263566641789</v>
      </c>
    </row>
    <row r="341" customFormat="false" ht="12.75" hidden="false" customHeight="false" outlineLevel="0" collapsed="false">
      <c r="A341" s="575" t="n">
        <v>45444</v>
      </c>
      <c r="B341" s="190" t="n">
        <v>-0.0227016534684109</v>
      </c>
      <c r="C341" s="576" t="n">
        <v>0.00264103722770752</v>
      </c>
      <c r="D341" s="577" t="n">
        <f aca="false">IF(VLOOKUP(A341,[1]!CPIndex,2)=0,VLOOKUP(A341,[1]!CPIndex,6),0)</f>
        <v>0.00264103722770752</v>
      </c>
      <c r="E341" s="576" t="n">
        <v>330.79148258807</v>
      </c>
      <c r="F341" s="577" t="n">
        <f aca="false">IF(VLOOKUP(A341,[1]!CPIndex,2)=0,(F340*EXP(IF(driftswitch=1,D341,$C$4)-1/2*$D$4^2+$D$4*B341)),VLOOKUP(A341,[1]!CPIndex,2))</f>
        <v>331.454794716971</v>
      </c>
      <c r="G341" s="585" t="n">
        <f aca="false">IF(shiftswitch4=1,(F341-F340)/F340,(E341-E340)/E340)</f>
        <v>0.00264376149220474</v>
      </c>
      <c r="H341" s="578" t="n">
        <f aca="false">G341+1</f>
        <v>1.0026437614922</v>
      </c>
    </row>
    <row r="342" customFormat="false" ht="12.75" hidden="false" customHeight="false" outlineLevel="0" collapsed="false">
      <c r="A342" s="575" t="n">
        <v>45474</v>
      </c>
      <c r="B342" s="190" t="n">
        <v>-0.0219477451139217</v>
      </c>
      <c r="C342" s="576" t="n">
        <v>0.00264103722770752</v>
      </c>
      <c r="D342" s="577" t="n">
        <f aca="false">IF(VLOOKUP(A342,[1]!CPIndex,2)=0,VLOOKUP(A342,[1]!CPIndex,6),0)</f>
        <v>0.00264103722770752</v>
      </c>
      <c r="E342" s="576" t="n">
        <v>331.666016371686</v>
      </c>
      <c r="F342" s="577" t="n">
        <f aca="false">IF(VLOOKUP(A342,[1]!CPIndex,2)=0,(F341*EXP(IF(driftswitch=1,D342,$C$4)-1/2*$D$4^2+$D$4*B342)),VLOOKUP(A342,[1]!CPIndex,2))</f>
        <v>332.322064161501</v>
      </c>
      <c r="G342" s="585" t="n">
        <f aca="false">IF(shiftswitch4=1,(F342-F341)/F341,(E342-E341)/E341)</f>
        <v>0.0026437614922048</v>
      </c>
      <c r="H342" s="578" t="n">
        <f aca="false">G342+1</f>
        <v>1.0026437614922</v>
      </c>
    </row>
    <row r="343" customFormat="false" ht="12.75" hidden="false" customHeight="false" outlineLevel="0" collapsed="false">
      <c r="A343" s="575" t="n">
        <v>45505</v>
      </c>
      <c r="B343" s="190" t="n">
        <v>0.0259597460720612</v>
      </c>
      <c r="C343" s="576" t="n">
        <v>0.0026491102074507</v>
      </c>
      <c r="D343" s="577" t="n">
        <f aca="false">IF(VLOOKUP(A343,[1]!CPIndex,2)=0,VLOOKUP(A343,[1]!CPIndex,6),0)</f>
        <v>0.0026491102074507</v>
      </c>
      <c r="E343" s="576" t="n">
        <v>332.545546836669</v>
      </c>
      <c r="F343" s="577" t="n">
        <f aca="false">IF(VLOOKUP(A343,[1]!CPIndex,2)=0,(F342*EXP(IF(driftswitch=1,D343,$C$4)-1/2*$D$4^2+$D$4*B343)),VLOOKUP(A343,[1]!CPIndex,2))</f>
        <v>333.214029128359</v>
      </c>
      <c r="G343" s="585" t="n">
        <f aca="false">IF(shiftswitch4=1,(F343-F342)/F342,(E343-E342)/E342)</f>
        <v>0.00265185584765365</v>
      </c>
      <c r="H343" s="578" t="n">
        <f aca="false">G343+1</f>
        <v>1.00265185584765</v>
      </c>
    </row>
    <row r="344" customFormat="false" ht="12.75" hidden="false" customHeight="false" outlineLevel="0" collapsed="false">
      <c r="A344" s="575" t="n">
        <v>45536</v>
      </c>
      <c r="B344" s="190" t="n">
        <v>0.0289562057930125</v>
      </c>
      <c r="C344" s="576" t="n">
        <v>0.0026491102074507</v>
      </c>
      <c r="D344" s="577" t="n">
        <f aca="false">IF(VLOOKUP(A344,[1]!CPIndex,2)=0,VLOOKUP(A344,[1]!CPIndex,6),0)</f>
        <v>0.0026491102074507</v>
      </c>
      <c r="E344" s="576" t="n">
        <v>333.427409689659</v>
      </c>
      <c r="F344" s="577" t="n">
        <f aca="false">IF(VLOOKUP(A344,[1]!CPIndex,2)=0,(F343*EXP(IF(driftswitch=1,D344,$C$4)-1/2*$D$4^2+$D$4*B344)),VLOOKUP(A344,[1]!CPIndex,2))</f>
        <v>334.109625963864</v>
      </c>
      <c r="G344" s="585" t="n">
        <f aca="false">IF(shiftswitch4=1,(F344-F343)/F343,(E344-E343)/E343)</f>
        <v>0.00265185584765355</v>
      </c>
      <c r="H344" s="578" t="n">
        <f aca="false">G344+1</f>
        <v>1.00265185584765</v>
      </c>
    </row>
    <row r="345" customFormat="false" ht="12.75" hidden="false" customHeight="false" outlineLevel="0" collapsed="false">
      <c r="A345" s="575" t="n">
        <v>45566</v>
      </c>
      <c r="B345" s="190" t="n">
        <v>0.0103858734608012</v>
      </c>
      <c r="C345" s="576" t="n">
        <v>0.0026491102074507</v>
      </c>
      <c r="D345" s="577" t="n">
        <f aca="false">IF(VLOOKUP(A345,[1]!CPIndex,2)=0,VLOOKUP(A345,[1]!CPIndex,6),0)</f>
        <v>0.0026491102074507</v>
      </c>
      <c r="E345" s="576" t="n">
        <v>334.311611115813</v>
      </c>
      <c r="F345" s="577" t="n">
        <f aca="false">IF(VLOOKUP(A345,[1]!CPIndex,2)=0,(F344*EXP(IF(driftswitch=1,D345,$C$4)-1/2*$D$4^2+$D$4*B345)),VLOOKUP(A345,[1]!CPIndex,2))</f>
        <v>334.999938219799</v>
      </c>
      <c r="G345" s="585" t="n">
        <f aca="false">IF(shiftswitch4=1,(F345-F344)/F344,(E345-E344)/E344)</f>
        <v>0.00265185584765367</v>
      </c>
      <c r="H345" s="578" t="n">
        <f aca="false">G345+1</f>
        <v>1.00265185584765</v>
      </c>
    </row>
    <row r="346" customFormat="false" ht="12.75" hidden="false" customHeight="false" outlineLevel="0" collapsed="false">
      <c r="A346" s="575" t="n">
        <v>45597</v>
      </c>
      <c r="B346" s="190" t="n">
        <v>-0.045813759486801</v>
      </c>
      <c r="C346" s="576" t="n">
        <v>0.0026571824051934</v>
      </c>
      <c r="D346" s="577" t="n">
        <f aca="false">IF(VLOOKUP(A346,[1]!CPIndex,2)=0,VLOOKUP(A346,[1]!CPIndex,6),0)</f>
        <v>0.0026571824051934</v>
      </c>
      <c r="E346" s="576" t="n">
        <v>335.200863113418</v>
      </c>
      <c r="F346" s="577" t="n">
        <f aca="false">IF(VLOOKUP(A346,[1]!CPIndex,2)=0,(F345*EXP(IF(driftswitch=1,D346,$C$4)-1/2*$D$4^2+$D$4*B346)),VLOOKUP(A346,[1]!CPIndex,2))</f>
        <v>335.871995626216</v>
      </c>
      <c r="G346" s="585" t="n">
        <f aca="false">IF(shiftswitch4=1,(F346-F345)/F345,(E346-E345)/E345)</f>
        <v>0.0026599494843677</v>
      </c>
      <c r="H346" s="578" t="n">
        <f aca="false">G346+1</f>
        <v>1.00265994948437</v>
      </c>
    </row>
    <row r="347" customFormat="false" ht="12.75" hidden="false" customHeight="false" outlineLevel="0" collapsed="false">
      <c r="A347" s="575" t="n">
        <v>45627</v>
      </c>
      <c r="B347" s="190" t="n">
        <v>0.0209360478297654</v>
      </c>
      <c r="C347" s="576" t="n">
        <v>0.0026571824051934</v>
      </c>
      <c r="D347" s="577" t="n">
        <f aca="false">IF(VLOOKUP(A347,[1]!CPIndex,2)=0,VLOOKUP(A347,[1]!CPIndex,6),0)</f>
        <v>0.0026571824051934</v>
      </c>
      <c r="E347" s="576" t="n">
        <v>336.092480476417</v>
      </c>
      <c r="F347" s="577" t="n">
        <f aca="false">IF(VLOOKUP(A347,[1]!CPIndex,2)=0,(F346*EXP(IF(driftswitch=1,D347,$C$4)-1/2*$D$4^2+$D$4*B347)),VLOOKUP(A347,[1]!CPIndex,2))</f>
        <v>336.774115467683</v>
      </c>
      <c r="G347" s="585" t="n">
        <f aca="false">IF(shiftswitch4=1,(F347-F346)/F346,(E347-E346)/E346)</f>
        <v>0.00265994948436771</v>
      </c>
      <c r="H347" s="578" t="n">
        <f aca="false">G347+1</f>
        <v>1.00265994948437</v>
      </c>
    </row>
    <row r="348" customFormat="false" ht="12.75" hidden="false" customHeight="false" outlineLevel="0" collapsed="false">
      <c r="A348" s="575" t="n">
        <v>45658</v>
      </c>
      <c r="B348" s="190" t="n">
        <v>0.00625805431582018</v>
      </c>
      <c r="C348" s="576" t="n">
        <v>0.0026571824051934</v>
      </c>
      <c r="D348" s="577" t="n">
        <f aca="false">IF(VLOOKUP(A348,[1]!CPIndex,2)=0,VLOOKUP(A348,[1]!CPIndex,6),0)</f>
        <v>0.0026571824051934</v>
      </c>
      <c r="E348" s="576" t="n">
        <v>336.98646949656</v>
      </c>
      <c r="F348" s="577" t="n">
        <f aca="false">IF(VLOOKUP(A348,[1]!CPIndex,2)=0,(F347*EXP(IF(driftswitch=1,D348,$C$4)-1/2*$D$4^2+$D$4*B348)),VLOOKUP(A348,[1]!CPIndex,2))</f>
        <v>337.672530290658</v>
      </c>
      <c r="G348" s="585" t="n">
        <f aca="false">IF(shiftswitch4=1,(F348-F347)/F347,(E348-E347)/E347)</f>
        <v>0.00265994948436776</v>
      </c>
      <c r="H348" s="578" t="n">
        <f aca="false">G348+1</f>
        <v>1.00265994948437</v>
      </c>
    </row>
    <row r="349" customFormat="false" ht="12.75" hidden="false" customHeight="false" outlineLevel="0" collapsed="false">
      <c r="A349" s="575" t="n">
        <v>45689</v>
      </c>
      <c r="B349" s="190" t="n">
        <v>0.00754772382384768</v>
      </c>
      <c r="C349" s="576" t="n">
        <v>0.0026571824051934</v>
      </c>
      <c r="D349" s="577" t="n">
        <f aca="false">IF(VLOOKUP(A349,[1]!CPIndex,2)=0,VLOOKUP(A349,[1]!CPIndex,6),0)</f>
        <v>0.0026571824051934</v>
      </c>
      <c r="E349" s="576" t="n">
        <v>337.882836482336</v>
      </c>
      <c r="F349" s="577" t="n">
        <f aca="false">IF(VLOOKUP(A349,[1]!CPIndex,2)=0,(F348*EXP(IF(driftswitch=1,D349,$C$4)-1/2*$D$4^2+$D$4*B349)),VLOOKUP(A349,[1]!CPIndex,2))</f>
        <v>338.57388168727</v>
      </c>
      <c r="G349" s="585" t="n">
        <f aca="false">IF(shiftswitch4=1,(F349-F348)/F348,(E349-E348)/E348)</f>
        <v>0.00265994948436779</v>
      </c>
      <c r="H349" s="578" t="n">
        <f aca="false">G349+1</f>
        <v>1.00265994948437</v>
      </c>
    </row>
    <row r="350" customFormat="false" ht="12.75" hidden="false" customHeight="false" outlineLevel="0" collapsed="false">
      <c r="A350" s="575" t="n">
        <v>45717</v>
      </c>
      <c r="B350" s="190" t="n">
        <v>0.0116702087966816</v>
      </c>
      <c r="C350" s="576" t="n">
        <v>0.0026571824051934</v>
      </c>
      <c r="D350" s="577" t="n">
        <f aca="false">IF(VLOOKUP(A350,[1]!CPIndex,2)=0,VLOOKUP(A350,[1]!CPIndex,6),0)</f>
        <v>0.0026571824051934</v>
      </c>
      <c r="E350" s="576" t="n">
        <v>338.781587759014</v>
      </c>
      <c r="F350" s="577" t="n">
        <f aca="false">IF(VLOOKUP(A350,[1]!CPIndex,2)=0,(F349*EXP(IF(driftswitch=1,D350,$C$4)-1/2*$D$4^2+$D$4*B350)),VLOOKUP(A350,[1]!CPIndex,2))</f>
        <v>339.479369383355</v>
      </c>
      <c r="G350" s="585" t="n">
        <f aca="false">IF(shiftswitch4=1,(F350-F349)/F349,(E350-E349)/E349)</f>
        <v>0.00265994948436774</v>
      </c>
      <c r="H350" s="578" t="n">
        <f aca="false">G350+1</f>
        <v>1.00265994948437</v>
      </c>
    </row>
    <row r="351" customFormat="false" ht="12.75" hidden="false" customHeight="false" outlineLevel="0" collapsed="false">
      <c r="A351" s="575" t="n">
        <v>45748</v>
      </c>
      <c r="B351" s="190" t="n">
        <v>-0.00603208722411517</v>
      </c>
      <c r="C351" s="576" t="n">
        <v>0.0026571824051934</v>
      </c>
      <c r="D351" s="577" t="n">
        <f aca="false">IF(VLOOKUP(A351,[1]!CPIndex,2)=0,VLOOKUP(A351,[1]!CPIndex,6),0)</f>
        <v>0.0026571824051934</v>
      </c>
      <c r="E351" s="576" t="n">
        <v>339.682729668687</v>
      </c>
      <c r="F351" s="577" t="n">
        <f aca="false">IF(VLOOKUP(A351,[1]!CPIndex,2)=0,(F350*EXP(IF(driftswitch=1,D351,$C$4)-1/2*$D$4^2+$D$4*B351)),VLOOKUP(A351,[1]!CPIndex,2))</f>
        <v>340.379828797971</v>
      </c>
      <c r="G351" s="585" t="n">
        <f aca="false">IF(shiftswitch4=1,(F351-F350)/F350,(E351-E350)/E350)</f>
        <v>0.00265994948436782</v>
      </c>
      <c r="H351" s="578" t="n">
        <f aca="false">G351+1</f>
        <v>1.00265994948437</v>
      </c>
    </row>
    <row r="352" customFormat="false" ht="12.75" hidden="false" customHeight="false" outlineLevel="0" collapsed="false">
      <c r="A352" s="575" t="n">
        <v>45778</v>
      </c>
      <c r="B352" s="190" t="n">
        <v>-0.0121970389472526</v>
      </c>
      <c r="C352" s="576" t="n">
        <v>0.0026571824051934</v>
      </c>
      <c r="D352" s="577" t="n">
        <f aca="false">IF(VLOOKUP(A352,[1]!CPIndex,2)=0,VLOOKUP(A352,[1]!CPIndex,6),0)</f>
        <v>0.0026571824051934</v>
      </c>
      <c r="E352" s="576" t="n">
        <v>340.586268570318</v>
      </c>
      <c r="F352" s="577" t="n">
        <f aca="false">IF(VLOOKUP(A352,[1]!CPIndex,2)=0,(F351*EXP(IF(driftswitch=1,D352,$C$4)-1/2*$D$4^2+$D$4*B352)),VLOOKUP(A352,[1]!CPIndex,2))</f>
        <v>341.28007531957</v>
      </c>
      <c r="G352" s="585" t="n">
        <f aca="false">IF(shiftswitch4=1,(F352-F351)/F351,(E352-E351)/E351)</f>
        <v>0.00265994948436771</v>
      </c>
      <c r="H352" s="578" t="n">
        <f aca="false">G352+1</f>
        <v>1.00265994948437</v>
      </c>
    </row>
    <row r="353" customFormat="false" ht="12.75" hidden="false" customHeight="false" outlineLevel="0" collapsed="false">
      <c r="A353" s="575" t="n">
        <v>45809</v>
      </c>
      <c r="B353" s="190" t="n">
        <v>-0.0445644636889217</v>
      </c>
      <c r="C353" s="576" t="n">
        <v>0.0026571824051934</v>
      </c>
      <c r="D353" s="577" t="n">
        <f aca="false">IF(VLOOKUP(A353,[1]!CPIndex,2)=0,VLOOKUP(A353,[1]!CPIndex,6),0)</f>
        <v>0.0026571824051934</v>
      </c>
      <c r="E353" s="576" t="n">
        <v>341.492210839784</v>
      </c>
      <c r="F353" s="577" t="n">
        <f aca="false">IF(VLOOKUP(A353,[1]!CPIndex,2)=0,(F352*EXP(IF(driftswitch=1,D353,$C$4)-1/2*$D$4^2+$D$4*B353)),VLOOKUP(A353,[1]!CPIndex,2))</f>
        <v>342.169009426362</v>
      </c>
      <c r="G353" s="585" t="n">
        <f aca="false">IF(shiftswitch4=1,(F353-F352)/F352,(E353-E352)/E352)</f>
        <v>0.00265994948436783</v>
      </c>
      <c r="H353" s="578" t="n">
        <f aca="false">G353+1</f>
        <v>1.00265994948437</v>
      </c>
    </row>
    <row r="354" customFormat="false" ht="12.75" hidden="false" customHeight="false" outlineLevel="0" collapsed="false">
      <c r="A354" s="575" t="n">
        <v>45839</v>
      </c>
      <c r="B354" s="190" t="n">
        <v>0.0145500827906684</v>
      </c>
      <c r="C354" s="576" t="n">
        <v>0.0026571824051934</v>
      </c>
      <c r="D354" s="577" t="n">
        <f aca="false">IF(VLOOKUP(A354,[1]!CPIndex,2)=0,VLOOKUP(A354,[1]!CPIndex,6),0)</f>
        <v>0.0026571824051934</v>
      </c>
      <c r="E354" s="576" t="n">
        <v>342.400562869923</v>
      </c>
      <c r="F354" s="577" t="n">
        <f aca="false">IF(VLOOKUP(A354,[1]!CPIndex,2)=0,(F353*EXP(IF(driftswitch=1,D354,$C$4)-1/2*$D$4^2+$D$4*B354)),VLOOKUP(A354,[1]!CPIndex,2))</f>
        <v>343.085333592793</v>
      </c>
      <c r="G354" s="585" t="n">
        <f aca="false">IF(shiftswitch4=1,(F354-F353)/F353,(E354-E353)/E353)</f>
        <v>0.00265994948436771</v>
      </c>
      <c r="H354" s="578" t="n">
        <f aca="false">G354+1</f>
        <v>1.00265994948437</v>
      </c>
    </row>
    <row r="355" customFormat="false" ht="12.75" hidden="false" customHeight="false" outlineLevel="0" collapsed="false">
      <c r="A355" s="575" t="n">
        <v>45870</v>
      </c>
      <c r="B355" s="190" t="n">
        <v>-0.016762377652419</v>
      </c>
      <c r="C355" s="576" t="n">
        <v>0.0026571824051934</v>
      </c>
      <c r="D355" s="577" t="n">
        <f aca="false">IF(VLOOKUP(A355,[1]!CPIndex,2)=0,VLOOKUP(A355,[1]!CPIndex,6),0)</f>
        <v>0.0026571824051934</v>
      </c>
      <c r="E355" s="576" t="n">
        <v>343.311331070576</v>
      </c>
      <c r="F355" s="577" t="n">
        <f aca="false">IF(VLOOKUP(A355,[1]!CPIndex,2)=0,(F354*EXP(IF(driftswitch=1,D355,$C$4)-1/2*$D$4^2+$D$4*B355)),VLOOKUP(A355,[1]!CPIndex,2))</f>
        <v>343.990794043323</v>
      </c>
      <c r="G355" s="585" t="n">
        <f aca="false">IF(shiftswitch4=1,(F355-F354)/F354,(E355-E354)/E354)</f>
        <v>0.00265994948436776</v>
      </c>
      <c r="H355" s="578" t="n">
        <f aca="false">G355+1</f>
        <v>1.00265994948437</v>
      </c>
    </row>
    <row r="356" customFormat="false" ht="12.75" hidden="false" customHeight="false" outlineLevel="0" collapsed="false">
      <c r="A356" s="575" t="n">
        <v>45901</v>
      </c>
      <c r="B356" s="190" t="n">
        <v>0.009444037609383</v>
      </c>
      <c r="C356" s="576" t="n">
        <v>0.0026571824051934</v>
      </c>
      <c r="D356" s="577" t="n">
        <f aca="false">IF(VLOOKUP(A356,[1]!CPIndex,2)=0,VLOOKUP(A356,[1]!CPIndex,6),0)</f>
        <v>0.0026571824051934</v>
      </c>
      <c r="E356" s="576" t="n">
        <v>344.224521868635</v>
      </c>
      <c r="F356" s="577" t="n">
        <f aca="false">IF(VLOOKUP(A356,[1]!CPIndex,2)=0,(F355*EXP(IF(driftswitch=1,D356,$C$4)-1/2*$D$4^2+$D$4*B356)),VLOOKUP(A356,[1]!CPIndex,2))</f>
        <v>344.909819487381</v>
      </c>
      <c r="G356" s="585" t="n">
        <f aca="false">IF(shiftswitch4=1,(F356-F355)/F355,(E356-E355)/E355)</f>
        <v>0.00265994948436777</v>
      </c>
      <c r="H356" s="578" t="n">
        <f aca="false">G356+1</f>
        <v>1.00265994948437</v>
      </c>
    </row>
    <row r="357" customFormat="false" ht="12.75" hidden="false" customHeight="false" outlineLevel="0" collapsed="false">
      <c r="A357" s="575" t="n">
        <v>45931</v>
      </c>
      <c r="B357" s="190" t="n">
        <v>0.0612993794826945</v>
      </c>
      <c r="C357" s="576" t="n">
        <v>0.0026571824051934</v>
      </c>
      <c r="D357" s="577" t="n">
        <f aca="false">IF(VLOOKUP(A357,[1]!CPIndex,2)=0,VLOOKUP(A357,[1]!CPIndex,6),0)</f>
        <v>0.0026571824051934</v>
      </c>
      <c r="E357" s="576" t="n">
        <v>345.140141708086</v>
      </c>
      <c r="F357" s="577" t="n">
        <f aca="false">IF(VLOOKUP(A357,[1]!CPIndex,2)=0,(F356*EXP(IF(driftswitch=1,D357,$C$4)-1/2*$D$4^2+$D$4*B357)),VLOOKUP(A357,[1]!CPIndex,2))</f>
        <v>345.853473327128</v>
      </c>
      <c r="G357" s="585" t="n">
        <f aca="false">IF(shiftswitch4=1,(F357-F356)/F356,(E357-E356)/E356)</f>
        <v>0.00265994948436775</v>
      </c>
      <c r="H357" s="578" t="n">
        <f aca="false">G357+1</f>
        <v>1.00265994948437</v>
      </c>
    </row>
    <row r="358" customFormat="false" ht="12.75" hidden="false" customHeight="false" outlineLevel="0" collapsed="false">
      <c r="A358" s="575" t="n">
        <v>45962</v>
      </c>
      <c r="B358" s="190" t="n">
        <v>-0.00296474607134858</v>
      </c>
      <c r="C358" s="576" t="n">
        <v>0.0026571824051934</v>
      </c>
      <c r="D358" s="577" t="n">
        <f aca="false">IF(VLOOKUP(A358,[1]!CPIndex,2)=0,VLOOKUP(A358,[1]!CPIndex,6),0)</f>
        <v>0.0026571824051934</v>
      </c>
      <c r="E358" s="576" t="n">
        <v>346.058197050057</v>
      </c>
      <c r="F358" s="577" t="n">
        <f aca="false">IF(VLOOKUP(A358,[1]!CPIndex,2)=0,(F357*EXP(IF(driftswitch=1,D358,$C$4)-1/2*$D$4^2+$D$4*B358)),VLOOKUP(A358,[1]!CPIndex,2))</f>
        <v>346.772154974688</v>
      </c>
      <c r="G358" s="585" t="n">
        <f aca="false">IF(shiftswitch4=1,(F358-F357)/F357,(E358-E357)/E357)</f>
        <v>0.00265994948436768</v>
      </c>
      <c r="H358" s="578" t="n">
        <f aca="false">G358+1</f>
        <v>1.00265994948437</v>
      </c>
    </row>
    <row r="359" customFormat="false" ht="12.75" hidden="false" customHeight="false" outlineLevel="0" collapsed="false">
      <c r="A359" s="575" t="n">
        <v>45992</v>
      </c>
      <c r="B359" s="190" t="n">
        <v>0.0526220077367548</v>
      </c>
      <c r="C359" s="576" t="n">
        <v>0.0026571824051934</v>
      </c>
      <c r="D359" s="577" t="n">
        <f aca="false">IF(VLOOKUP(A359,[1]!CPIndex,2)=0,VLOOKUP(A359,[1]!CPIndex,6),0)</f>
        <v>0.0026571824051934</v>
      </c>
      <c r="E359" s="576" t="n">
        <v>346.978694372861</v>
      </c>
      <c r="F359" s="577" t="n">
        <f aca="false">IF(VLOOKUP(A359,[1]!CPIndex,2)=0,(F358*EXP(IF(driftswitch=1,D359,$C$4)-1/2*$D$4^2+$D$4*B359)),VLOOKUP(A359,[1]!CPIndex,2))</f>
        <v>347.717173526528</v>
      </c>
      <c r="G359" s="585" t="n">
        <f aca="false">IF(shiftswitch4=1,(F359-F358)/F358,(E359-E358)/E358)</f>
        <v>0.00265994948436772</v>
      </c>
      <c r="H359" s="578" t="n">
        <f aca="false">G359+1</f>
        <v>1.00265994948437</v>
      </c>
    </row>
    <row r="360" customFormat="false" ht="12.75" hidden="false" customHeight="false" outlineLevel="0" collapsed="false">
      <c r="A360" s="575" t="n">
        <v>46023</v>
      </c>
      <c r="B360" s="190" t="n">
        <v>-0.0392048957348755</v>
      </c>
      <c r="C360" s="576" t="n">
        <v>0.0026571824051934</v>
      </c>
      <c r="D360" s="577" t="n">
        <f aca="false">IF(VLOOKUP(A360,[1]!CPIndex,2)=0,VLOOKUP(A360,[1]!CPIndex,6),0)</f>
        <v>0.0026571824051934</v>
      </c>
      <c r="E360" s="576" t="n">
        <v>347.901640172045</v>
      </c>
      <c r="F360" s="577" t="n">
        <f aca="false">IF(VLOOKUP(A360,[1]!CPIndex,2)=0,(F359*EXP(IF(driftswitch=1,D360,$C$4)-1/2*$D$4^2+$D$4*B360)),VLOOKUP(A360,[1]!CPIndex,2))</f>
        <v>348.62518453472</v>
      </c>
      <c r="G360" s="585" t="n">
        <f aca="false">IF(shiftswitch4=1,(F360-F359)/F359,(E360-E359)/E359)</f>
        <v>0.00265994948436781</v>
      </c>
      <c r="H360" s="578" t="n">
        <f aca="false">G360+1</f>
        <v>1.00265994948437</v>
      </c>
    </row>
    <row r="361" customFormat="false" ht="12.75" hidden="false" customHeight="false" outlineLevel="0" collapsed="false">
      <c r="A361" s="575" t="n">
        <v>46054</v>
      </c>
      <c r="B361" s="190" t="n">
        <v>0.00465364783030893</v>
      </c>
      <c r="C361" s="576" t="n">
        <v>0.0026571824051934</v>
      </c>
      <c r="D361" s="577" t="n">
        <f aca="false">IF(VLOOKUP(A361,[1]!CPIndex,2)=0,VLOOKUP(A361,[1]!CPIndex,6),0)</f>
        <v>0.0026571824051934</v>
      </c>
      <c r="E361" s="576" t="n">
        <v>348.827040960432</v>
      </c>
      <c r="F361" s="577" t="n">
        <f aca="false">IF(VLOOKUP(A361,[1]!CPIndex,2)=0,(F360*EXP(IF(driftswitch=1,D361,$C$4)-1/2*$D$4^2+$D$4*B361)),VLOOKUP(A361,[1]!CPIndex,2))</f>
        <v>349.554521142949</v>
      </c>
      <c r="G361" s="585" t="n">
        <f aca="false">IF(shiftswitch4=1,(F361-F360)/F360,(E361-E360)/E360)</f>
        <v>0.00265994948436783</v>
      </c>
      <c r="H361" s="578" t="n">
        <f aca="false">G361+1</f>
        <v>1.00265994948437</v>
      </c>
    </row>
    <row r="362" customFormat="false" ht="12.75" hidden="false" customHeight="false" outlineLevel="0" collapsed="false">
      <c r="A362" s="575" t="n">
        <v>46082</v>
      </c>
      <c r="B362" s="190" t="n">
        <v>-0.000863805006519335</v>
      </c>
      <c r="C362" s="576" t="n">
        <v>0.0026571824051934</v>
      </c>
      <c r="D362" s="577" t="n">
        <f aca="false">IF(VLOOKUP(A362,[1]!CPIndex,2)=0,VLOOKUP(A362,[1]!CPIndex,6),0)</f>
        <v>0.0026571824051934</v>
      </c>
      <c r="E362" s="576" t="n">
        <v>349.754903268168</v>
      </c>
      <c r="F362" s="577" t="n">
        <f aca="false">IF(VLOOKUP(A362,[1]!CPIndex,2)=0,(F361*EXP(IF(driftswitch=1,D362,$C$4)-1/2*$D$4^2+$D$4*B362)),VLOOKUP(A362,[1]!CPIndex,2))</f>
        <v>350.483944195319</v>
      </c>
      <c r="G362" s="585" t="n">
        <f aca="false">IF(shiftswitch4=1,(F362-F361)/F361,(E362-E361)/E361)</f>
        <v>0.00265994948436777</v>
      </c>
      <c r="H362" s="578" t="n">
        <f aca="false">G362+1</f>
        <v>1.00265994948437</v>
      </c>
    </row>
    <row r="363" customFormat="false" ht="12.75" hidden="false" customHeight="false" outlineLevel="0" collapsed="false">
      <c r="A363" s="575" t="n">
        <v>46113</v>
      </c>
      <c r="B363" s="190" t="n">
        <v>0.0637326338265953</v>
      </c>
      <c r="C363" s="576" t="n">
        <v>0.0026571824051934</v>
      </c>
      <c r="D363" s="577" t="n">
        <f aca="false">IF(VLOOKUP(A363,[1]!CPIndex,2)=0,VLOOKUP(A363,[1]!CPIndex,6),0)</f>
        <v>0.0026571824051934</v>
      </c>
      <c r="E363" s="576" t="n">
        <v>350.685233642771</v>
      </c>
      <c r="F363" s="577" t="n">
        <f aca="false">IF(VLOOKUP(A363,[1]!CPIndex,2)=0,(F362*EXP(IF(driftswitch=1,D363,$C$4)-1/2*$D$4^2+$D$4*B363)),VLOOKUP(A363,[1]!CPIndex,2))</f>
        <v>351.443905823492</v>
      </c>
      <c r="G363" s="585" t="n">
        <f aca="false">IF(shiftswitch4=1,(F363-F362)/F362,(E363-E362)/E362)</f>
        <v>0.0026599494843678</v>
      </c>
      <c r="H363" s="578" t="n">
        <f aca="false">G363+1</f>
        <v>1.00265994948437</v>
      </c>
    </row>
    <row r="364" customFormat="false" ht="12.75" hidden="false" customHeight="false" outlineLevel="0" collapsed="false">
      <c r="A364" s="575" t="n">
        <v>46143</v>
      </c>
      <c r="B364" s="190" t="n">
        <v>0.00653542819555266</v>
      </c>
      <c r="C364" s="576" t="n">
        <v>0.0026571824051934</v>
      </c>
      <c r="D364" s="577" t="n">
        <f aca="false">IF(VLOOKUP(A364,[1]!CPIndex,2)=0,VLOOKUP(A364,[1]!CPIndex,6),0)</f>
        <v>0.0026571824051934</v>
      </c>
      <c r="E364" s="576" t="n">
        <v>351.618038649175</v>
      </c>
      <c r="F364" s="577" t="n">
        <f aca="false">IF(VLOOKUP(A364,[1]!CPIndex,2)=0,(F363*EXP(IF(driftswitch=1,D364,$C$4)-1/2*$D$4^2+$D$4*B364)),VLOOKUP(A364,[1]!CPIndex,2))</f>
        <v>352.381576201925</v>
      </c>
      <c r="G364" s="585" t="n">
        <f aca="false">IF(shiftswitch4=1,(F364-F363)/F363,(E364-E363)/E363)</f>
        <v>0.00265994948436782</v>
      </c>
      <c r="H364" s="578" t="n">
        <f aca="false">G364+1</f>
        <v>1.00265994948437</v>
      </c>
    </row>
    <row r="365" customFormat="false" ht="12.75" hidden="false" customHeight="false" outlineLevel="0" collapsed="false">
      <c r="A365" s="575" t="n">
        <v>46174</v>
      </c>
      <c r="B365" s="190" t="n">
        <v>0.0257909539624926</v>
      </c>
      <c r="C365" s="576" t="n">
        <v>0.0026571824051934</v>
      </c>
      <c r="D365" s="577" t="n">
        <f aca="false">IF(VLOOKUP(A365,[1]!CPIndex,2)=0,VLOOKUP(A365,[1]!CPIndex,6),0)</f>
        <v>0.0026571824051934</v>
      </c>
      <c r="E365" s="576" t="n">
        <v>352.553324869774</v>
      </c>
      <c r="F365" s="577" t="n">
        <f aca="false">IF(VLOOKUP(A365,[1]!CPIndex,2)=0,(F364*EXP(IF(driftswitch=1,D365,$C$4)-1/2*$D$4^2+$D$4*B365)),VLOOKUP(A365,[1]!CPIndex,2))</f>
        <v>353.330160059162</v>
      </c>
      <c r="G365" s="585" t="n">
        <f aca="false">IF(shiftswitch4=1,(F365-F364)/F364,(E365-E364)/E364)</f>
        <v>0.00265994948436774</v>
      </c>
      <c r="H365" s="578" t="n">
        <f aca="false">G365+1</f>
        <v>1.00265994948437</v>
      </c>
    </row>
    <row r="366" customFormat="false" ht="12.75" hidden="false" customHeight="false" outlineLevel="0" collapsed="false">
      <c r="A366" s="575" t="n">
        <v>46204</v>
      </c>
      <c r="B366" s="190" t="n">
        <v>-0.049242323315005</v>
      </c>
      <c r="C366" s="576" t="n">
        <v>0.0026571824051934</v>
      </c>
      <c r="D366" s="577" t="n">
        <f aca="false">IF(VLOOKUP(A366,[1]!CPIndex,2)=0,VLOOKUP(A366,[1]!CPIndex,6),0)</f>
        <v>0.0026571824051934</v>
      </c>
      <c r="E366" s="576" t="n">
        <v>353.491098904473</v>
      </c>
      <c r="F366" s="577" t="n">
        <f aca="false">IF(VLOOKUP(A366,[1]!CPIndex,2)=0,(F365*EXP(IF(driftswitch=1,D366,$C$4)-1/2*$D$4^2+$D$4*B366)),VLOOKUP(A366,[1]!CPIndex,2))</f>
        <v>354.24843223661</v>
      </c>
      <c r="G366" s="585" t="n">
        <f aca="false">IF(shiftswitch4=1,(F366-F365)/F365,(E366-E365)/E365)</f>
        <v>0.00265994948436774</v>
      </c>
      <c r="H366" s="578" t="n">
        <f aca="false">G366+1</f>
        <v>1.00265994948437</v>
      </c>
    </row>
    <row r="367" customFormat="false" ht="12.75" hidden="false" customHeight="false" outlineLevel="0" collapsed="false">
      <c r="A367" s="575" t="n">
        <v>46235</v>
      </c>
      <c r="B367" s="190" t="n">
        <v>0.0876813222096656</v>
      </c>
      <c r="C367" s="576" t="n">
        <v>0.0026571824051934</v>
      </c>
      <c r="D367" s="577" t="n">
        <f aca="false">IF(VLOOKUP(A367,[1]!CPIndex,2)=0,VLOOKUP(A367,[1]!CPIndex,6),0)</f>
        <v>0.0026571824051934</v>
      </c>
      <c r="E367" s="576" t="n">
        <v>354.431367370733</v>
      </c>
      <c r="F367" s="577" t="n">
        <f aca="false">IF(VLOOKUP(A367,[1]!CPIndex,2)=0,(F366*EXP(IF(driftswitch=1,D367,$C$4)-1/2*$D$4^2+$D$4*B367)),VLOOKUP(A367,[1]!CPIndex,2))</f>
        <v>355.22922276996</v>
      </c>
      <c r="G367" s="585" t="n">
        <f aca="false">IF(shiftswitch4=1,(F367-F366)/F366,(E367-E366)/E366)</f>
        <v>0.00265994948436782</v>
      </c>
      <c r="H367" s="578" t="n">
        <f aca="false">G367+1</f>
        <v>1.00265994948437</v>
      </c>
    </row>
    <row r="368" customFormat="false" ht="12.75" hidden="false" customHeight="false" outlineLevel="0" collapsed="false">
      <c r="A368" s="575" t="n">
        <v>46266</v>
      </c>
      <c r="B368" s="190" t="n">
        <v>0.0424085983914179</v>
      </c>
      <c r="C368" s="576" t="n">
        <v>0.0026571824051934</v>
      </c>
      <c r="D368" s="577" t="n">
        <f aca="false">IF(VLOOKUP(A368,[1]!CPIndex,2)=0,VLOOKUP(A368,[1]!CPIndex,6),0)</f>
        <v>0.0026571824051934</v>
      </c>
      <c r="E368" s="576" t="n">
        <v>355.374136903614</v>
      </c>
      <c r="F368" s="577" t="n">
        <f aca="false">IF(VLOOKUP(A368,[1]!CPIndex,2)=0,(F367*EXP(IF(driftswitch=1,D368,$C$4)-1/2*$D$4^2+$D$4*B368)),VLOOKUP(A368,[1]!CPIndex,2))</f>
        <v>356.192790471661</v>
      </c>
      <c r="G368" s="585" t="n">
        <f aca="false">IF(shiftswitch4=1,(F368-F367)/F367,(E368-E367)/E367)</f>
        <v>0.00265994948436772</v>
      </c>
      <c r="H368" s="578" t="n">
        <f aca="false">G368+1</f>
        <v>1.00265994948437</v>
      </c>
    </row>
    <row r="369" customFormat="false" ht="12.75" hidden="false" customHeight="false" outlineLevel="0" collapsed="false">
      <c r="A369" s="575" t="n">
        <v>46296</v>
      </c>
      <c r="B369" s="190" t="n">
        <v>-0.0385835763436279</v>
      </c>
      <c r="C369" s="576" t="n">
        <v>0.0026571824051934</v>
      </c>
      <c r="D369" s="577" t="n">
        <f aca="false">IF(VLOOKUP(A369,[1]!CPIndex,2)=0,VLOOKUP(A369,[1]!CPIndex,6),0)</f>
        <v>0.0026571824051934</v>
      </c>
      <c r="E369" s="576" t="n">
        <v>356.319414155829</v>
      </c>
      <c r="F369" s="577" t="n">
        <f aca="false">IF(VLOOKUP(A369,[1]!CPIndex,2)=0,(F368*EXP(IF(driftswitch=1,D369,$C$4)-1/2*$D$4^2+$D$4*B369)),VLOOKUP(A369,[1]!CPIndex,2))</f>
        <v>357.123208615149</v>
      </c>
      <c r="G369" s="585" t="n">
        <f aca="false">IF(shiftswitch4=1,(F369-F368)/F368,(E369-E368)/E368)</f>
        <v>0.00265994948436773</v>
      </c>
      <c r="H369" s="578" t="n">
        <f aca="false">G369+1</f>
        <v>1.00265994948437</v>
      </c>
    </row>
    <row r="370" customFormat="false" ht="12.75" hidden="false" customHeight="false" outlineLevel="0" collapsed="false">
      <c r="A370" s="575" t="n">
        <v>46327</v>
      </c>
      <c r="B370" s="190" t="n">
        <v>0.0321929616362558</v>
      </c>
      <c r="C370" s="576" t="n">
        <v>0.0026571824051934</v>
      </c>
      <c r="D370" s="577" t="n">
        <f aca="false">IF(VLOOKUP(A370,[1]!CPIndex,2)=0,VLOOKUP(A370,[1]!CPIndex,6),0)</f>
        <v>0.0026571824051934</v>
      </c>
      <c r="E370" s="576" t="n">
        <v>357.267205797783</v>
      </c>
      <c r="F370" s="577" t="n">
        <f aca="false">IF(VLOOKUP(A370,[1]!CPIndex,2)=0,(F369*EXP(IF(driftswitch=1,D370,$C$4)-1/2*$D$4^2+$D$4*B370)),VLOOKUP(A370,[1]!CPIndex,2))</f>
        <v>358.087390956444</v>
      </c>
      <c r="G370" s="585" t="n">
        <f aca="false">IF(shiftswitch4=1,(F370-F369)/F369,(E370-E369)/E369)</f>
        <v>0.00265994948436782</v>
      </c>
      <c r="H370" s="578" t="n">
        <f aca="false">G370+1</f>
        <v>1.00265994948437</v>
      </c>
    </row>
    <row r="371" customFormat="false" ht="12.75" hidden="false" customHeight="false" outlineLevel="0" collapsed="false">
      <c r="A371" s="575" t="n">
        <v>46357</v>
      </c>
      <c r="B371" s="190" t="n">
        <v>-0.041768213034361</v>
      </c>
      <c r="C371" s="576" t="n">
        <v>0.0026571824051934</v>
      </c>
      <c r="D371" s="577" t="n">
        <f aca="false">IF(VLOOKUP(A371,[1]!CPIndex,2)=0,VLOOKUP(A371,[1]!CPIndex,6),0)</f>
        <v>0.0026571824051934</v>
      </c>
      <c r="E371" s="576" t="n">
        <v>358.217518517626</v>
      </c>
      <c r="F371" s="577" t="n">
        <f aca="false">IF(VLOOKUP(A371,[1]!CPIndex,2)=0,(F370*EXP(IF(driftswitch=1,D371,$C$4)-1/2*$D$4^2+$D$4*B371)),VLOOKUP(A371,[1]!CPIndex,2))</f>
        <v>359.021344394591</v>
      </c>
      <c r="G371" s="585" t="n">
        <f aca="false">IF(shiftswitch4=1,(F371-F370)/F370,(E371-E370)/E370)</f>
        <v>0.00265994948436781</v>
      </c>
      <c r="H371" s="578" t="n">
        <f aca="false">G371+1</f>
        <v>1.00265994948437</v>
      </c>
    </row>
    <row r="372" customFormat="false" ht="12.75" hidden="false" customHeight="false" outlineLevel="0" collapsed="false">
      <c r="A372" s="575" t="n">
        <v>46388</v>
      </c>
      <c r="B372" s="190" t="n">
        <v>-0.00733991873810707</v>
      </c>
      <c r="C372" s="576" t="n">
        <v>0.0026571824051934</v>
      </c>
      <c r="D372" s="577" t="n">
        <f aca="false">IF(VLOOKUP(A372,[1]!CPIndex,2)=0,VLOOKUP(A372,[1]!CPIndex,6),0)</f>
        <v>0.0026571824051934</v>
      </c>
      <c r="E372" s="576" t="n">
        <v>359.170359021299</v>
      </c>
      <c r="F372" s="577" t="n">
        <f aca="false">IF(VLOOKUP(A372,[1]!CPIndex,2)=0,(F371*EXP(IF(driftswitch=1,D372,$C$4)-1/2*$D$4^2+$D$4*B372)),VLOOKUP(A372,[1]!CPIndex,2))</f>
        <v>359.973056273061</v>
      </c>
      <c r="G372" s="585" t="n">
        <f aca="false">IF(shiftswitch4=1,(F372-F371)/F371,(E372-E371)/E371)</f>
        <v>0.00265994948436777</v>
      </c>
      <c r="H372" s="578" t="n">
        <f aca="false">G372+1</f>
        <v>1.00265994948437</v>
      </c>
    </row>
    <row r="373" customFormat="false" ht="12.75" hidden="false" customHeight="false" outlineLevel="0" collapsed="false">
      <c r="A373" s="575" t="n">
        <v>46419</v>
      </c>
      <c r="B373" s="190" t="n">
        <v>-0.00659699349273198</v>
      </c>
      <c r="C373" s="576" t="n">
        <v>0.0026571824051934</v>
      </c>
      <c r="D373" s="577" t="n">
        <f aca="false">IF(VLOOKUP(A373,[1]!CPIndex,2)=0,VLOOKUP(A373,[1]!CPIndex,6),0)</f>
        <v>0.0026571824051934</v>
      </c>
      <c r="E373" s="576" t="n">
        <v>360.125734032578</v>
      </c>
      <c r="F373" s="577" t="n">
        <f aca="false">IF(VLOOKUP(A373,[1]!CPIndex,2)=0,(F372*EXP(IF(driftswitch=1,D373,$C$4)-1/2*$D$4^2+$D$4*B373)),VLOOKUP(A373,[1]!CPIndex,2))</f>
        <v>360.927622524612</v>
      </c>
      <c r="G373" s="585" t="n">
        <f aca="false">IF(shiftswitch4=1,(F373-F372)/F372,(E373-E372)/E372)</f>
        <v>0.00265994948436773</v>
      </c>
      <c r="H373" s="578" t="n">
        <f aca="false">G373+1</f>
        <v>1.00265994948437</v>
      </c>
    </row>
    <row r="374" customFormat="false" ht="12.75" hidden="false" customHeight="false" outlineLevel="0" collapsed="false">
      <c r="A374" s="575" t="n">
        <v>46447</v>
      </c>
      <c r="B374" s="190" t="n">
        <v>-0.0299689721092448</v>
      </c>
      <c r="C374" s="576" t="n">
        <v>0.0026571824051934</v>
      </c>
      <c r="D374" s="577" t="n">
        <f aca="false">IF(VLOOKUP(A374,[1]!CPIndex,2)=0,VLOOKUP(A374,[1]!CPIndex,6),0)</f>
        <v>0.0026571824051934</v>
      </c>
      <c r="E374" s="576" t="n">
        <v>361.083650293125</v>
      </c>
      <c r="F374" s="577" t="n">
        <f aca="false">IF(VLOOKUP(A374,[1]!CPIndex,2)=0,(F373*EXP(IF(driftswitch=1,D374,$C$4)-1/2*$D$4^2+$D$4*B374)),VLOOKUP(A374,[1]!CPIndex,2))</f>
        <v>361.874262910042</v>
      </c>
      <c r="G374" s="585" t="n">
        <f aca="false">IF(shiftswitch4=1,(F374-F373)/F373,(E374-E373)/E373)</f>
        <v>0.00265994948436773</v>
      </c>
      <c r="H374" s="578" t="n">
        <f aca="false">G374+1</f>
        <v>1.00265994948437</v>
      </c>
    </row>
    <row r="375" customFormat="false" ht="12.75" hidden="false" customHeight="false" outlineLevel="0" collapsed="false">
      <c r="A375" s="575" t="n">
        <v>46478</v>
      </c>
      <c r="B375" s="190" t="n">
        <v>0.00334766492863924</v>
      </c>
      <c r="C375" s="576" t="n">
        <v>0.0026571824051934</v>
      </c>
      <c r="D375" s="577" t="n">
        <f aca="false">IF(VLOOKUP(A375,[1]!CPIndex,2)=0,VLOOKUP(A375,[1]!CPIndex,6),0)</f>
        <v>0.0026571824051934</v>
      </c>
      <c r="E375" s="576" t="n">
        <v>362.044114562536</v>
      </c>
      <c r="F375" s="577" t="n">
        <f aca="false">IF(VLOOKUP(A375,[1]!CPIndex,2)=0,(F374*EXP(IF(driftswitch=1,D375,$C$4)-1/2*$D$4^2+$D$4*B375)),VLOOKUP(A375,[1]!CPIndex,2))</f>
        <v>362.838331956444</v>
      </c>
      <c r="G375" s="585" t="n">
        <f aca="false">IF(shiftswitch4=1,(F375-F374)/F374,(E375-E374)/E374)</f>
        <v>0.00265994948436771</v>
      </c>
      <c r="H375" s="578" t="n">
        <f aca="false">G375+1</f>
        <v>1.00265994948437</v>
      </c>
    </row>
    <row r="376" customFormat="false" ht="12.75" hidden="false" customHeight="false" outlineLevel="0" collapsed="false">
      <c r="A376" s="575" t="n">
        <v>46508</v>
      </c>
      <c r="B376" s="190" t="n">
        <v>-0.00881908546792369</v>
      </c>
      <c r="C376" s="576" t="n">
        <v>0.0026571824051934</v>
      </c>
      <c r="D376" s="577" t="n">
        <f aca="false">IF(VLOOKUP(A376,[1]!CPIndex,2)=0,VLOOKUP(A376,[1]!CPIndex,6),0)</f>
        <v>0.0026571824051934</v>
      </c>
      <c r="E376" s="576" t="n">
        <v>363.007133618385</v>
      </c>
      <c r="F376" s="577" t="n">
        <f aca="false">IF(VLOOKUP(A376,[1]!CPIndex,2)=0,(F375*EXP(IF(driftswitch=1,D376,$C$4)-1/2*$D$4^2+$D$4*B376)),VLOOKUP(A376,[1]!CPIndex,2))</f>
        <v>363.799496772993</v>
      </c>
      <c r="G376" s="585" t="n">
        <f aca="false">IF(shiftswitch4=1,(F376-F375)/F375,(E376-E375)/E375)</f>
        <v>0.00265994948436769</v>
      </c>
      <c r="H376" s="578" t="n">
        <f aca="false">G376+1</f>
        <v>1.00265994948437</v>
      </c>
    </row>
    <row r="377" customFormat="false" ht="12.75" hidden="false" customHeight="false" outlineLevel="0" collapsed="false">
      <c r="A377" s="575" t="n">
        <v>46539</v>
      </c>
      <c r="B377" s="190" t="n">
        <v>-0.0587424933543746</v>
      </c>
      <c r="C377" s="576" t="n">
        <v>0.0026571824051934</v>
      </c>
      <c r="D377" s="577" t="n">
        <f aca="false">IF(VLOOKUP(A377,[1]!CPIndex,2)=0,VLOOKUP(A377,[1]!CPIndex,6),0)</f>
        <v>0.0026571824051934</v>
      </c>
      <c r="E377" s="576" t="n">
        <v>363.972714256275</v>
      </c>
      <c r="F377" s="577" t="n">
        <f aca="false">IF(VLOOKUP(A377,[1]!CPIndex,2)=0,(F376*EXP(IF(driftswitch=1,D377,$C$4)-1/2*$D$4^2+$D$4*B377)),VLOOKUP(A377,[1]!CPIndex,2))</f>
        <v>364.740693555684</v>
      </c>
      <c r="G377" s="585" t="n">
        <f aca="false">IF(shiftswitch4=1,(F377-F376)/F376,(E377-E376)/E376)</f>
        <v>0.00265994948436769</v>
      </c>
      <c r="H377" s="578" t="n">
        <f aca="false">G377+1</f>
        <v>1.00265994948437</v>
      </c>
    </row>
    <row r="378" customFormat="false" ht="12.75" hidden="false" customHeight="false" outlineLevel="0" collapsed="false">
      <c r="A378" s="575" t="n">
        <v>46569</v>
      </c>
      <c r="B378" s="190" t="n">
        <v>0.0481053379965414</v>
      </c>
      <c r="C378" s="576" t="n">
        <v>0.0026571824051934</v>
      </c>
      <c r="D378" s="577" t="n">
        <f aca="false">IF(VLOOKUP(A378,[1]!CPIndex,2)=0,VLOOKUP(A378,[1]!CPIndex,6),0)</f>
        <v>0.0026571824051934</v>
      </c>
      <c r="E378" s="576" t="n">
        <v>364.940863289885</v>
      </c>
      <c r="F378" s="577" t="n">
        <f aca="false">IF(VLOOKUP(A378,[1]!CPIndex,2)=0,(F377*EXP(IF(driftswitch=1,D378,$C$4)-1/2*$D$4^2+$D$4*B378)),VLOOKUP(A378,[1]!CPIndex,2))</f>
        <v>365.732637329353</v>
      </c>
      <c r="G378" s="585" t="n">
        <f aca="false">IF(shiftswitch4=1,(F378-F377)/F377,(E378-E377)/E377)</f>
        <v>0.00265994948436774</v>
      </c>
      <c r="H378" s="578" t="n">
        <f aca="false">G378+1</f>
        <v>1.00265994948437</v>
      </c>
    </row>
    <row r="379" customFormat="false" ht="12.75" hidden="false" customHeight="false" outlineLevel="0" collapsed="false">
      <c r="A379" s="575" t="n">
        <v>46600</v>
      </c>
      <c r="B379" s="190" t="n">
        <v>-0.0179425464288825</v>
      </c>
      <c r="C379" s="576" t="n">
        <v>0.0026571824051934</v>
      </c>
      <c r="D379" s="577" t="n">
        <f aca="false">IF(VLOOKUP(A379,[1]!CPIndex,2)=0,VLOOKUP(A379,[1]!CPIndex,6),0)</f>
        <v>0.0026571824051934</v>
      </c>
      <c r="E379" s="576" t="n">
        <v>365.911587551017</v>
      </c>
      <c r="F379" s="577" t="n">
        <f aca="false">IF(VLOOKUP(A379,[1]!CPIndex,2)=0,(F378*EXP(IF(driftswitch=1,D379,$C$4)-1/2*$D$4^2+$D$4*B379)),VLOOKUP(A379,[1]!CPIndex,2))</f>
        <v>366.697332795098</v>
      </c>
      <c r="G379" s="585" t="n">
        <f aca="false">IF(shiftswitch4=1,(F379-F378)/F378,(E379-E378)/E378)</f>
        <v>0.00265994948436777</v>
      </c>
      <c r="H379" s="578" t="n">
        <f aca="false">G379+1</f>
        <v>1.00265994948437</v>
      </c>
    </row>
    <row r="380" customFormat="false" ht="12.75" hidden="false" customHeight="false" outlineLevel="0" collapsed="false">
      <c r="A380" s="575" t="n">
        <v>46631</v>
      </c>
      <c r="B380" s="190" t="n">
        <v>-0.013130145757663</v>
      </c>
      <c r="C380" s="576" t="n">
        <v>0.0026571824051934</v>
      </c>
      <c r="D380" s="577" t="n">
        <f aca="false">IF(VLOOKUP(A380,[1]!CPIndex,2)=0,VLOOKUP(A380,[1]!CPIndex,6),0)</f>
        <v>0.0026571824051934</v>
      </c>
      <c r="E380" s="576" t="n">
        <v>366.884893889648</v>
      </c>
      <c r="F380" s="577" t="n">
        <f aca="false">IF(VLOOKUP(A380,[1]!CPIndex,2)=0,(F379*EXP(IF(driftswitch=1,D380,$C$4)-1/2*$D$4^2+$D$4*B380)),VLOOKUP(A380,[1]!CPIndex,2))</f>
        <v>367.666760450389</v>
      </c>
      <c r="G380" s="585" t="n">
        <f aca="false">IF(shiftswitch4=1,(F380-F379)/F379,(E380-E379)/E379)</f>
        <v>0.0026599494843677</v>
      </c>
      <c r="H380" s="578" t="n">
        <f aca="false">G380+1</f>
        <v>1.00265994948437</v>
      </c>
    </row>
    <row r="381" customFormat="false" ht="12.75" hidden="false" customHeight="false" outlineLevel="0" collapsed="false">
      <c r="A381" s="575" t="n">
        <v>46661</v>
      </c>
      <c r="B381" s="190" t="n">
        <v>-0.0316703902201185</v>
      </c>
      <c r="C381" s="576" t="n">
        <v>0.0026571824051934</v>
      </c>
      <c r="D381" s="577" t="n">
        <f aca="false">IF(VLOOKUP(A381,[1]!CPIndex,2)=0,VLOOKUP(A381,[1]!CPIndex,6),0)</f>
        <v>0.0026571824051934</v>
      </c>
      <c r="E381" s="576" t="n">
        <v>367.860789173972</v>
      </c>
      <c r="F381" s="577" t="n">
        <f aca="false">IF(VLOOKUP(A381,[1]!CPIndex,2)=0,(F380*EXP(IF(driftswitch=1,D381,$C$4)-1/2*$D$4^2+$D$4*B381)),VLOOKUP(A381,[1]!CPIndex,2))</f>
        <v>368.630300780638</v>
      </c>
      <c r="G381" s="585" t="n">
        <f aca="false">IF(shiftswitch4=1,(F381-F380)/F380,(E381-E380)/E380)</f>
        <v>0.00265994948436782</v>
      </c>
      <c r="H381" s="578" t="n">
        <f aca="false">G381+1</f>
        <v>1.00265994948437</v>
      </c>
    </row>
    <row r="382" customFormat="false" ht="12.75" hidden="false" customHeight="false" outlineLevel="0" collapsed="false">
      <c r="A382" s="575" t="n">
        <v>46692</v>
      </c>
      <c r="B382" s="190" t="n">
        <v>-0.0142168702670682</v>
      </c>
      <c r="C382" s="576" t="n">
        <v>0.0026571824051934</v>
      </c>
      <c r="D382" s="577" t="n">
        <f aca="false">IF(VLOOKUP(A382,[1]!CPIndex,2)=0,VLOOKUP(A382,[1]!CPIndex,6),0)</f>
        <v>0.0026571824051934</v>
      </c>
      <c r="E382" s="576" t="n">
        <v>368.839280290454</v>
      </c>
      <c r="F382" s="577" t="n">
        <f aca="false">IF(VLOOKUP(A382,[1]!CPIndex,2)=0,(F381*EXP(IF(driftswitch=1,D382,$C$4)-1/2*$D$4^2+$D$4*B382)),VLOOKUP(A382,[1]!CPIndex,2))</f>
        <v>369.604341965317</v>
      </c>
      <c r="G382" s="585" t="n">
        <f aca="false">IF(shiftswitch4=1,(F382-F381)/F381,(E382-E381)/E381)</f>
        <v>0.00265994948436774</v>
      </c>
      <c r="H382" s="578" t="n">
        <f aca="false">G382+1</f>
        <v>1.00265994948437</v>
      </c>
    </row>
    <row r="383" customFormat="false" ht="12.75" hidden="false" customHeight="false" outlineLevel="0" collapsed="false">
      <c r="A383" s="575" t="n">
        <v>46722</v>
      </c>
      <c r="B383" s="190" t="n">
        <v>-0.00290358568642375</v>
      </c>
      <c r="C383" s="576" t="n">
        <v>0.0026571824051934</v>
      </c>
      <c r="D383" s="577" t="n">
        <f aca="false">IF(VLOOKUP(A383,[1]!CPIndex,2)=0,VLOOKUP(A383,[1]!CPIndex,6),0)</f>
        <v>0.0026571824051934</v>
      </c>
      <c r="E383" s="576" t="n">
        <v>369.820374143878</v>
      </c>
      <c r="F383" s="577" t="n">
        <f aca="false">IF(VLOOKUP(A383,[1]!CPIndex,2)=0,(F382*EXP(IF(driftswitch=1,D383,$C$4)-1/2*$D$4^2+$D$4*B383)),VLOOKUP(A383,[1]!CPIndex,2))</f>
        <v>370.586140454671</v>
      </c>
      <c r="G383" s="585" t="n">
        <f aca="false">IF(shiftswitch4=1,(F383-F382)/F382,(E383-E382)/E382)</f>
        <v>0.0026599494843677</v>
      </c>
      <c r="H383" s="578" t="n">
        <f aca="false">G383+1</f>
        <v>1.00265994948437</v>
      </c>
    </row>
    <row r="384" customFormat="false" ht="12.75" hidden="false" customHeight="false" outlineLevel="0" collapsed="false">
      <c r="A384" s="575" t="n">
        <v>46753</v>
      </c>
      <c r="B384" s="190" t="n">
        <v>-0.0678171855622787</v>
      </c>
      <c r="C384" s="576" t="n">
        <v>0.0026571824051934</v>
      </c>
      <c r="D384" s="577" t="n">
        <f aca="false">IF(VLOOKUP(A384,[1]!CPIndex,2)=0,VLOOKUP(A384,[1]!CPIndex,6),0)</f>
        <v>0.0026571824051934</v>
      </c>
      <c r="E384" s="576" t="n">
        <v>370.80407765739</v>
      </c>
      <c r="F384" s="577" t="n">
        <f aca="false">IF(VLOOKUP(A384,[1]!CPIndex,2)=0,(F383*EXP(IF(driftswitch=1,D384,$C$4)-1/2*$D$4^2+$D$4*B384)),VLOOKUP(A384,[1]!CPIndex,2))</f>
        <v>371.540726524857</v>
      </c>
      <c r="G384" s="585" t="n">
        <f aca="false">IF(shiftswitch4=1,(F384-F383)/F383,(E384-E383)/E383)</f>
        <v>0.00265994948436775</v>
      </c>
      <c r="H384" s="578" t="n">
        <f aca="false">G384+1</f>
        <v>1.00265994948437</v>
      </c>
    </row>
    <row r="385" customFormat="false" ht="12.75" hidden="false" customHeight="false" outlineLevel="0" collapsed="false">
      <c r="A385" s="575" t="n">
        <v>46784</v>
      </c>
      <c r="B385" s="190" t="n">
        <v>0.0557054270323518</v>
      </c>
      <c r="C385" s="576" t="n">
        <v>0.0026571824051934</v>
      </c>
      <c r="D385" s="577" t="n">
        <f aca="false">IF(VLOOKUP(A385,[1]!CPIndex,2)=0,VLOOKUP(A385,[1]!CPIndex,6),0)</f>
        <v>0.0026571824051934</v>
      </c>
      <c r="E385" s="576" t="n">
        <v>371.790397772556</v>
      </c>
      <c r="F385" s="577" t="n">
        <f aca="false">IF(VLOOKUP(A385,[1]!CPIndex,2)=0,(F384*EXP(IF(driftswitch=1,D385,$C$4)-1/2*$D$4^2+$D$4*B385)),VLOOKUP(A385,[1]!CPIndex,2))</f>
        <v>372.554664322638</v>
      </c>
      <c r="G385" s="585" t="n">
        <f aca="false">IF(shiftswitch4=1,(F385-F384)/F384,(E385-E384)/E384)</f>
        <v>0.00265994948436772</v>
      </c>
      <c r="H385" s="578" t="n">
        <f aca="false">G385+1</f>
        <v>1.00265994948437</v>
      </c>
    </row>
    <row r="386" customFormat="false" ht="12.75" hidden="false" customHeight="false" outlineLevel="0" collapsed="false">
      <c r="A386" s="575" t="n">
        <v>46813</v>
      </c>
      <c r="B386" s="190" t="n">
        <v>0.0161097211924232</v>
      </c>
      <c r="C386" s="576" t="n">
        <v>0.0026571824051934</v>
      </c>
      <c r="D386" s="577" t="n">
        <f aca="false">IF(VLOOKUP(A386,[1]!CPIndex,2)=0,VLOOKUP(A386,[1]!CPIndex,6),0)</f>
        <v>0.0026571824051934</v>
      </c>
      <c r="E386" s="576" t="n">
        <v>372.779341449404</v>
      </c>
      <c r="F386" s="577" t="n">
        <f aca="false">IF(VLOOKUP(A386,[1]!CPIndex,2)=0,(F385*EXP(IF(driftswitch=1,D386,$C$4)-1/2*$D$4^2+$D$4*B386)),VLOOKUP(A386,[1]!CPIndex,2))</f>
        <v>373.553081206073</v>
      </c>
      <c r="G386" s="585" t="n">
        <f aca="false">IF(shiftswitch4=1,(F386-F385)/F385,(E386-E385)/E385)</f>
        <v>0.0026599494843678</v>
      </c>
      <c r="H386" s="578" t="n">
        <f aca="false">G386+1</f>
        <v>1.00265994948437</v>
      </c>
    </row>
    <row r="387" customFormat="false" ht="12.75" hidden="false" customHeight="false" outlineLevel="0" collapsed="false">
      <c r="A387" s="575" t="n">
        <v>46844</v>
      </c>
      <c r="B387" s="190" t="n">
        <v>-0.0200551086192914</v>
      </c>
      <c r="C387" s="576" t="n">
        <v>0.0026571824051934</v>
      </c>
      <c r="D387" s="577" t="n">
        <f aca="false">IF(VLOOKUP(A387,[1]!CPIndex,2)=0,VLOOKUP(A387,[1]!CPIndex,6),0)</f>
        <v>0.0026571824051934</v>
      </c>
      <c r="E387" s="576" t="n">
        <v>373.770915666476</v>
      </c>
      <c r="F387" s="577" t="n">
        <f aca="false">IF(VLOOKUP(A387,[1]!CPIndex,2)=0,(F386*EXP(IF(driftswitch=1,D387,$C$4)-1/2*$D$4^2+$D$4*B387)),VLOOKUP(A387,[1]!CPIndex,2))</f>
        <v>374.537426438132</v>
      </c>
      <c r="G387" s="585" t="n">
        <f aca="false">IF(shiftswitch4=1,(F387-F386)/F386,(E387-E386)/E386)</f>
        <v>0.0026599494843677</v>
      </c>
      <c r="H387" s="578" t="n">
        <f aca="false">G387+1</f>
        <v>1.00265994948437</v>
      </c>
    </row>
    <row r="388" customFormat="false" ht="12.75" hidden="false" customHeight="false" outlineLevel="0" collapsed="false">
      <c r="A388" s="575" t="n">
        <v>46874</v>
      </c>
      <c r="B388" s="190" t="n">
        <v>-0.0142568989573331</v>
      </c>
      <c r="C388" s="576" t="n">
        <v>0.0026571824051934</v>
      </c>
      <c r="D388" s="577" t="n">
        <f aca="false">IF(VLOOKUP(A388,[1]!CPIndex,2)=0,VLOOKUP(A388,[1]!CPIndex,6),0)</f>
        <v>0.0026571824051934</v>
      </c>
      <c r="E388" s="576" t="n">
        <v>374.765127420874</v>
      </c>
      <c r="F388" s="577" t="n">
        <f aca="false">IF(VLOOKUP(A388,[1]!CPIndex,2)=0,(F387*EXP(IF(driftswitch=1,D388,$C$4)-1/2*$D$4^2+$D$4*B388)),VLOOKUP(A388,[1]!CPIndex,2))</f>
        <v>375.527057585438</v>
      </c>
      <c r="G388" s="585" t="n">
        <f aca="false">IF(shiftswitch4=1,(F388-F387)/F387,(E388-E387)/E387)</f>
        <v>0.00265994948436772</v>
      </c>
      <c r="H388" s="578" t="n">
        <f aca="false">G388+1</f>
        <v>1.00265994948437</v>
      </c>
    </row>
    <row r="389" customFormat="false" ht="12.75" hidden="false" customHeight="false" outlineLevel="0" collapsed="false">
      <c r="A389" s="575" t="n">
        <v>46905</v>
      </c>
      <c r="B389" s="190" t="n">
        <v>-0.0152936680241036</v>
      </c>
      <c r="C389" s="576" t="n">
        <v>0.0026571824051934</v>
      </c>
      <c r="D389" s="577" t="n">
        <f aca="false">IF(VLOOKUP(A389,[1]!CPIndex,2)=0,VLOOKUP(A389,[1]!CPIndex,6),0)</f>
        <v>0.0026571824051934</v>
      </c>
      <c r="E389" s="576" t="n">
        <v>375.761983728317</v>
      </c>
      <c r="F389" s="577" t="n">
        <f aca="false">IF(VLOOKUP(A389,[1]!CPIndex,2)=0,(F388*EXP(IF(driftswitch=1,D389,$C$4)-1/2*$D$4^2+$D$4*B389)),VLOOKUP(A389,[1]!CPIndex,2))</f>
        <v>376.518820971218</v>
      </c>
      <c r="G389" s="585" t="n">
        <f aca="false">IF(shiftswitch4=1,(F389-F388)/F388,(E389-E388)/E388)</f>
        <v>0.00265994948436772</v>
      </c>
      <c r="H389" s="578" t="n">
        <f aca="false">G389+1</f>
        <v>1.00265994948437</v>
      </c>
    </row>
    <row r="390" customFormat="false" ht="12.75" hidden="false" customHeight="false" outlineLevel="0" collapsed="false">
      <c r="A390" s="575" t="n">
        <v>46935</v>
      </c>
      <c r="B390" s="190" t="n">
        <v>-0.0148168998685655</v>
      </c>
      <c r="C390" s="576" t="n">
        <v>0.0026571824051934</v>
      </c>
      <c r="D390" s="577" t="n">
        <f aca="false">IF(VLOOKUP(A390,[1]!CPIndex,2)=0,VLOOKUP(A390,[1]!CPIndex,6),0)</f>
        <v>0.0026571824051934</v>
      </c>
      <c r="E390" s="576" t="n">
        <v>376.76149162318</v>
      </c>
      <c r="F390" s="577" t="n">
        <f aca="false">IF(VLOOKUP(A390,[1]!CPIndex,2)=0,(F389*EXP(IF(driftswitch=1,D390,$C$4)-1/2*$D$4^2+$D$4*B390)),VLOOKUP(A390,[1]!CPIndex,2))</f>
        <v>377.5134261273</v>
      </c>
      <c r="G390" s="585" t="n">
        <f aca="false">IF(shiftswitch4=1,(F390-F389)/F389,(E390-E389)/E389)</f>
        <v>0.00265994948436776</v>
      </c>
      <c r="H390" s="578" t="n">
        <f aca="false">G390+1</f>
        <v>1.00265994948437</v>
      </c>
    </row>
    <row r="391" customFormat="false" ht="12.75" hidden="false" customHeight="false" outlineLevel="0" collapsed="false">
      <c r="A391" s="575" t="n">
        <v>46966</v>
      </c>
      <c r="B391" s="190" t="n">
        <v>-0.018670524210291</v>
      </c>
      <c r="C391" s="576" t="n">
        <v>0.0026571824051934</v>
      </c>
      <c r="D391" s="577" t="n">
        <f aca="false">IF(VLOOKUP(A391,[1]!CPIndex,2)=0,VLOOKUP(A391,[1]!CPIndex,6),0)</f>
        <v>0.0026571824051934</v>
      </c>
      <c r="E391" s="576" t="n">
        <v>377.763658158552</v>
      </c>
      <c r="F391" s="577" t="n">
        <f aca="false">IF(VLOOKUP(A391,[1]!CPIndex,2)=0,(F390*EXP(IF(driftswitch=1,D391,$C$4)-1/2*$D$4^2+$D$4*B391)),VLOOKUP(A391,[1]!CPIndex,2))</f>
        <v>378.508855178297</v>
      </c>
      <c r="G391" s="585" t="n">
        <f aca="false">IF(shiftswitch4=1,(F391-F390)/F390,(E391-E390)/E390)</f>
        <v>0.00265994948436769</v>
      </c>
      <c r="H391" s="578" t="n">
        <f aca="false">G391+1</f>
        <v>1.00265994948437</v>
      </c>
    </row>
    <row r="392" customFormat="false" ht="12.75" hidden="false" customHeight="false" outlineLevel="0" collapsed="false">
      <c r="A392" s="575" t="n">
        <v>46997</v>
      </c>
      <c r="B392" s="190" t="n">
        <v>-0.0212939011698476</v>
      </c>
      <c r="C392" s="576" t="n">
        <v>0.0026571824051934</v>
      </c>
      <c r="D392" s="577" t="n">
        <f aca="false">IF(VLOOKUP(A392,[1]!CPIndex,2)=0,VLOOKUP(A392,[1]!CPIndex,6),0)</f>
        <v>0.0026571824051934</v>
      </c>
      <c r="E392" s="576" t="n">
        <v>378.768490406284</v>
      </c>
      <c r="F392" s="577" t="n">
        <f aca="false">IF(VLOOKUP(A392,[1]!CPIndex,2)=0,(F391*EXP(IF(driftswitch=1,D392,$C$4)-1/2*$D$4^2+$D$4*B392)),VLOOKUP(A392,[1]!CPIndex,2))</f>
        <v>379.505678049469</v>
      </c>
      <c r="G392" s="585" t="n">
        <f aca="false">IF(shiftswitch4=1,(F392-F391)/F391,(E392-E391)/E391)</f>
        <v>0.00265994948436774</v>
      </c>
      <c r="H392" s="578" t="n">
        <f aca="false">G392+1</f>
        <v>1.00265994948437</v>
      </c>
    </row>
    <row r="393" customFormat="false" ht="12.75" hidden="false" customHeight="false" outlineLevel="0" collapsed="false">
      <c r="A393" s="575" t="n">
        <v>47027</v>
      </c>
      <c r="B393" s="190" t="n">
        <v>0.035287564496016</v>
      </c>
      <c r="C393" s="576" t="n">
        <v>0.0026571824051934</v>
      </c>
      <c r="D393" s="577" t="n">
        <f aca="false">IF(VLOOKUP(A393,[1]!CPIndex,2)=0,VLOOKUP(A393,[1]!CPIndex,6),0)</f>
        <v>0.0026571824051934</v>
      </c>
      <c r="E393" s="576" t="n">
        <v>379.775995457035</v>
      </c>
      <c r="F393" s="577" t="n">
        <f aca="false">IF(VLOOKUP(A393,[1]!CPIndex,2)=0,(F392*EXP(IF(driftswitch=1,D393,$C$4)-1/2*$D$4^2+$D$4*B393)),VLOOKUP(A393,[1]!CPIndex,2))</f>
        <v>380.531745863478</v>
      </c>
      <c r="G393" s="585" t="n">
        <f aca="false">IF(shiftswitch4=1,(F393-F392)/F392,(E393-E392)/E392)</f>
        <v>0.00265994948436784</v>
      </c>
      <c r="H393" s="578" t="n">
        <f aca="false">G393+1</f>
        <v>1.00265994948437</v>
      </c>
    </row>
    <row r="394" customFormat="false" ht="12.75" hidden="false" customHeight="false" outlineLevel="0" collapsed="false">
      <c r="A394" s="575" t="n">
        <v>47058</v>
      </c>
      <c r="B394" s="190" t="n">
        <v>-0.0815748516928379</v>
      </c>
      <c r="C394" s="576" t="n">
        <v>0.0026571824051934</v>
      </c>
      <c r="D394" s="577" t="n">
        <f aca="false">IF(VLOOKUP(A394,[1]!CPIndex,2)=0,VLOOKUP(A394,[1]!CPIndex,6),0)</f>
        <v>0.0026571824051934</v>
      </c>
      <c r="E394" s="576" t="n">
        <v>380.786180420326</v>
      </c>
      <c r="F394" s="577" t="n">
        <f aca="false">IF(VLOOKUP(A394,[1]!CPIndex,2)=0,(F393*EXP(IF(driftswitch=1,D394,$C$4)-1/2*$D$4^2+$D$4*B394)),VLOOKUP(A394,[1]!CPIndex,2))</f>
        <v>381.505461253771</v>
      </c>
      <c r="G394" s="585" t="n">
        <f aca="false">IF(shiftswitch4=1,(F394-F393)/F393,(E394-E393)/E393)</f>
        <v>0.00265994948436773</v>
      </c>
      <c r="H394" s="578" t="n">
        <f aca="false">G394+1</f>
        <v>1.00265994948437</v>
      </c>
    </row>
    <row r="395" customFormat="false" ht="12.75" hidden="false" customHeight="false" outlineLevel="0" collapsed="false">
      <c r="A395" s="575" t="n">
        <v>47088</v>
      </c>
      <c r="B395" s="190" t="n">
        <v>0.0181500188224158</v>
      </c>
      <c r="C395" s="576" t="n">
        <v>0.0026571824051934</v>
      </c>
      <c r="D395" s="577" t="n">
        <f aca="false">IF(VLOOKUP(A395,[1]!CPIndex,2)=0,VLOOKUP(A395,[1]!CPIndex,6),0)</f>
        <v>0.0026571824051934</v>
      </c>
      <c r="E395" s="576" t="n">
        <v>381.79905242459</v>
      </c>
      <c r="F395" s="577" t="n">
        <f aca="false">IF(VLOOKUP(A395,[1]!CPIndex,2)=0,(F394*EXP(IF(driftswitch=1,D395,$C$4)-1/2*$D$4^2+$D$4*B395)),VLOOKUP(A395,[1]!CPIndex,2))</f>
        <v>382.528830525955</v>
      </c>
      <c r="G395" s="585" t="n">
        <f aca="false">IF(shiftswitch4=1,(F395-F394)/F394,(E395-E394)/E394)</f>
        <v>0.00265994948436783</v>
      </c>
      <c r="H395" s="578" t="n">
        <f aca="false">G395+1</f>
        <v>1.00265994948437</v>
      </c>
    </row>
    <row r="396" customFormat="false" ht="12.75" hidden="false" customHeight="false" outlineLevel="0" collapsed="false">
      <c r="A396" s="575" t="n">
        <v>47119</v>
      </c>
      <c r="B396" s="190" t="n">
        <v>-0.0137101295755664</v>
      </c>
      <c r="C396" s="576" t="n">
        <v>0.0026571824051934</v>
      </c>
      <c r="D396" s="577" t="n">
        <f aca="false">IF(VLOOKUP(A396,[1]!CPIndex,2)=0,VLOOKUP(A396,[1]!CPIndex,6),0)</f>
        <v>0.0026571824051934</v>
      </c>
      <c r="E396" s="576" t="n">
        <v>382.814618617219</v>
      </c>
      <c r="F396" s="577" t="n">
        <f aca="false">IF(VLOOKUP(A396,[1]!CPIndex,2)=0,(F395*EXP(IF(driftswitch=1,D396,$C$4)-1/2*$D$4^2+$D$4*B396)),VLOOKUP(A396,[1]!CPIndex,2))</f>
        <v>383.539836446056</v>
      </c>
      <c r="G396" s="585" t="n">
        <f aca="false">IF(shiftswitch4=1,(F396-F395)/F395,(E396-E395)/E395)</f>
        <v>0.00265994948436782</v>
      </c>
      <c r="H396" s="578" t="n">
        <f aca="false">G396+1</f>
        <v>1.00265994948437</v>
      </c>
    </row>
    <row r="397" customFormat="false" ht="12.75" hidden="false" customHeight="false" outlineLevel="0" collapsed="false">
      <c r="A397" s="575" t="n">
        <v>47150</v>
      </c>
      <c r="B397" s="190" t="n">
        <v>0.0265303777898852</v>
      </c>
      <c r="C397" s="576" t="n">
        <v>0.0026571824051934</v>
      </c>
      <c r="D397" s="577" t="n">
        <f aca="false">IF(VLOOKUP(A397,[1]!CPIndex,2)=0,VLOOKUP(A397,[1]!CPIndex,6),0)</f>
        <v>0.0026571824051934</v>
      </c>
      <c r="E397" s="576" t="n">
        <v>383.832886164618</v>
      </c>
      <c r="F397" s="577" t="n">
        <f aca="false">IF(VLOOKUP(A397,[1]!CPIndex,2)=0,(F396*EXP(IF(driftswitch=1,D397,$C$4)-1/2*$D$4^2+$D$4*B397)),VLOOKUP(A397,[1]!CPIndex,2))</f>
        <v>384.57264750325</v>
      </c>
      <c r="G397" s="585" t="n">
        <f aca="false">IF(shiftswitch4=1,(F397-F396)/F396,(E397-E396)/E396)</f>
        <v>0.00265994948436778</v>
      </c>
      <c r="H397" s="578" t="n">
        <f aca="false">G397+1</f>
        <v>1.00265994948437</v>
      </c>
    </row>
    <row r="398" customFormat="false" ht="12.75" hidden="false" customHeight="false" outlineLevel="0" collapsed="false">
      <c r="A398" s="575" t="n">
        <v>47178</v>
      </c>
      <c r="B398" s="190" t="n">
        <v>0.00746191549438774</v>
      </c>
      <c r="C398" s="576" t="n">
        <v>0.0026571824051934</v>
      </c>
      <c r="D398" s="577" t="n">
        <f aca="false">IF(VLOOKUP(A398,[1]!CPIndex,2)=0,VLOOKUP(A398,[1]!CPIndex,6),0)</f>
        <v>0.0026571824051934</v>
      </c>
      <c r="E398" s="576" t="n">
        <v>384.853862252255</v>
      </c>
      <c r="F398" s="577" t="n">
        <f aca="false">IF(VLOOKUP(A398,[1]!CPIndex,2)=0,(F397*EXP(IF(driftswitch=1,D398,$C$4)-1/2*$D$4^2+$D$4*B398)),VLOOKUP(A398,[1]!CPIndex,2))</f>
        <v>385.599148766927</v>
      </c>
      <c r="G398" s="585" t="n">
        <f aca="false">IF(shiftswitch4=1,(F398-F397)/F397,(E398-E397)/E397)</f>
        <v>0.00265994948436769</v>
      </c>
      <c r="H398" s="578" t="n">
        <f aca="false">G398+1</f>
        <v>1.00265994948437</v>
      </c>
    </row>
    <row r="399" customFormat="false" ht="12.75" hidden="false" customHeight="false" outlineLevel="0" collapsed="false">
      <c r="A399" s="575" t="n">
        <v>47209</v>
      </c>
      <c r="B399" s="190" t="n">
        <v>-0.01422155357935</v>
      </c>
      <c r="C399" s="576" t="n">
        <v>0.0026571824051934</v>
      </c>
      <c r="D399" s="577" t="n">
        <f aca="false">IF(VLOOKUP(A399,[1]!CPIndex,2)=0,VLOOKUP(A399,[1]!CPIndex,6),0)</f>
        <v>0.0026571824051934</v>
      </c>
      <c r="E399" s="576" t="n">
        <v>385.87755408471</v>
      </c>
      <c r="F399" s="577" t="n">
        <f aca="false">IF(VLOOKUP(A399,[1]!CPIndex,2)=0,(F398*EXP(IF(driftswitch=1,D399,$C$4)-1/2*$D$4^2+$D$4*B399)),VLOOKUP(A399,[1]!CPIndex,2))</f>
        <v>386.618024929957</v>
      </c>
      <c r="G399" s="585" t="n">
        <f aca="false">IF(shiftswitch4=1,(F399-F398)/F398,(E399-E398)/E398)</f>
        <v>0.0026599494843677</v>
      </c>
      <c r="H399" s="578" t="n">
        <f aca="false">G399+1</f>
        <v>1.00265994948437</v>
      </c>
    </row>
    <row r="400" customFormat="false" ht="12.75" hidden="false" customHeight="false" outlineLevel="0" collapsed="false">
      <c r="A400" s="575" t="n">
        <v>47239</v>
      </c>
      <c r="B400" s="190" t="n">
        <v>-0.013287683520767</v>
      </c>
      <c r="C400" s="576" t="n">
        <v>0.0026571824051934</v>
      </c>
      <c r="D400" s="577" t="n">
        <f aca="false">IF(VLOOKUP(A400,[1]!CPIndex,2)=0,VLOOKUP(A400,[1]!CPIndex,6),0)</f>
        <v>0.0026571824051934</v>
      </c>
      <c r="E400" s="576" t="n">
        <v>386.903968885726</v>
      </c>
      <c r="F400" s="577" t="n">
        <f aca="false">IF(VLOOKUP(A400,[1]!CPIndex,2)=0,(F399*EXP(IF(driftswitch=1,D400,$C$4)-1/2*$D$4^2+$D$4*B400)),VLOOKUP(A400,[1]!CPIndex,2))</f>
        <v>387.640040867687</v>
      </c>
      <c r="G400" s="585" t="n">
        <f aca="false">IF(shiftswitch4=1,(F400-F399)/F399,(E400-E399)/E399)</f>
        <v>0.00265994948436772</v>
      </c>
      <c r="H400" s="578" t="n">
        <f aca="false">G400+1</f>
        <v>1.00265994948437</v>
      </c>
    </row>
    <row r="401" customFormat="false" ht="12.75" hidden="false" customHeight="false" outlineLevel="0" collapsed="false">
      <c r="A401" s="575" t="n">
        <v>47270</v>
      </c>
      <c r="B401" s="190" t="n">
        <v>0.00278978522254475</v>
      </c>
      <c r="C401" s="576" t="n">
        <v>0.0026571824051934</v>
      </c>
      <c r="D401" s="577" t="n">
        <f aca="false">IF(VLOOKUP(A401,[1]!CPIndex,2)=0,VLOOKUP(A401,[1]!CPIndex,6),0)</f>
        <v>0.0026571824051934</v>
      </c>
      <c r="E401" s="576" t="n">
        <v>387.933113898264</v>
      </c>
      <c r="F401" s="577" t="n">
        <f aca="false">IF(VLOOKUP(A401,[1]!CPIndex,2)=0,(F400*EXP(IF(driftswitch=1,D401,$C$4)-1/2*$D$4^2+$D$4*B401)),VLOOKUP(A401,[1]!CPIndex,2))</f>
        <v>388.672484421688</v>
      </c>
      <c r="G401" s="585" t="n">
        <f aca="false">IF(shiftswitch4=1,(F401-F400)/F400,(E401-E400)/E400)</f>
        <v>0.00265994948436772</v>
      </c>
      <c r="H401" s="578" t="n">
        <f aca="false">G401+1</f>
        <v>1.00265994948437</v>
      </c>
    </row>
    <row r="402" customFormat="false" ht="12.75" hidden="false" customHeight="false" outlineLevel="0" collapsed="false">
      <c r="A402" s="575" t="n">
        <v>47300</v>
      </c>
      <c r="B402" s="190" t="n">
        <v>-0.0499458269321316</v>
      </c>
      <c r="C402" s="576" t="n">
        <v>0.0026571824051934</v>
      </c>
      <c r="D402" s="577" t="n">
        <f aca="false">IF(VLOOKUP(A402,[1]!CPIndex,2)=0,VLOOKUP(A402,[1]!CPIndex,6),0)</f>
        <v>0.0026571824051934</v>
      </c>
      <c r="E402" s="576" t="n">
        <v>388.964996384547</v>
      </c>
      <c r="F402" s="577" t="n">
        <f aca="false">IF(VLOOKUP(A402,[1]!CPIndex,2)=0,(F401*EXP(IF(driftswitch=1,D402,$C$4)-1/2*$D$4^2+$D$4*B402)),VLOOKUP(A402,[1]!CPIndex,2))</f>
        <v>389.682269061763</v>
      </c>
      <c r="G402" s="585" t="n">
        <f aca="false">IF(shiftswitch4=1,(F402-F401)/F401,(E402-E401)/E401)</f>
        <v>0.0026599494843678</v>
      </c>
      <c r="H402" s="578" t="n">
        <f aca="false">G402+1</f>
        <v>1.00265994948437</v>
      </c>
    </row>
    <row r="403" customFormat="false" ht="12.75" hidden="false" customHeight="false" outlineLevel="0" collapsed="false">
      <c r="A403" s="575" t="n">
        <v>47331</v>
      </c>
      <c r="B403" s="190" t="n">
        <v>-0.00821709147489382</v>
      </c>
      <c r="C403" s="576" t="n">
        <v>0.0026571824051934</v>
      </c>
      <c r="D403" s="577" t="n">
        <f aca="false">IF(VLOOKUP(A403,[1]!CPIndex,2)=0,VLOOKUP(A403,[1]!CPIndex,6),0)</f>
        <v>0.0026571824051934</v>
      </c>
      <c r="E403" s="576" t="n">
        <v>389.999623626117</v>
      </c>
      <c r="F403" s="577" t="n">
        <f aca="false">IF(VLOOKUP(A403,[1]!CPIndex,2)=0,(F402*EXP(IF(driftswitch=1,D403,$C$4)-1/2*$D$4^2+$D$4*B403)),VLOOKUP(A403,[1]!CPIndex,2))</f>
        <v>390.714834724999</v>
      </c>
      <c r="G403" s="585" t="n">
        <f aca="false">IF(shiftswitch4=1,(F403-F402)/F402,(E403-E402)/E402)</f>
        <v>0.00265994948436782</v>
      </c>
      <c r="H403" s="578" t="n">
        <f aca="false">G403+1</f>
        <v>1.00265994948437</v>
      </c>
    </row>
    <row r="404" customFormat="false" ht="12.75" hidden="false" customHeight="false" outlineLevel="0" collapsed="false">
      <c r="A404" s="575" t="n">
        <v>47362</v>
      </c>
      <c r="B404" s="190" t="n">
        <v>0.0206417397934236</v>
      </c>
      <c r="C404" s="576" t="n">
        <v>0.0026571824051934</v>
      </c>
      <c r="D404" s="577" t="n">
        <f aca="false">IF(VLOOKUP(A404,[1]!CPIndex,2)=0,VLOOKUP(A404,[1]!CPIndex,6),0)</f>
        <v>0.0026571824051934</v>
      </c>
      <c r="E404" s="576" t="n">
        <v>391.037002923885</v>
      </c>
      <c r="F404" s="577" t="n">
        <f aca="false">IF(VLOOKUP(A404,[1]!CPIndex,2)=0,(F403*EXP(IF(driftswitch=1,D404,$C$4)-1/2*$D$4^2+$D$4*B404)),VLOOKUP(A404,[1]!CPIndex,2))</f>
        <v>391.764114597308</v>
      </c>
      <c r="G404" s="585" t="n">
        <f aca="false">IF(shiftswitch4=1,(F404-F403)/F403,(E404-E403)/E403)</f>
        <v>0.0026599494843678</v>
      </c>
      <c r="H404" s="578" t="n">
        <f aca="false">G404+1</f>
        <v>1.00265994948437</v>
      </c>
    </row>
    <row r="405" customFormat="false" ht="12.75" hidden="false" customHeight="false" outlineLevel="0" collapsed="false">
      <c r="A405" s="575" t="n">
        <v>47392</v>
      </c>
      <c r="B405" s="190" t="n">
        <v>-0.0370096799182463</v>
      </c>
      <c r="C405" s="576" t="n">
        <v>0.0026571824051934</v>
      </c>
      <c r="D405" s="577" t="n">
        <f aca="false">IF(VLOOKUP(A405,[1]!CPIndex,2)=0,VLOOKUP(A405,[1]!CPIndex,6),0)</f>
        <v>0.0026571824051934</v>
      </c>
      <c r="E405" s="576" t="n">
        <v>392.077141598181</v>
      </c>
      <c r="F405" s="577" t="n">
        <f aca="false">IF(VLOOKUP(A405,[1]!CPIndex,2)=0,(F404*EXP(IF(driftswitch=1,D405,$C$4)-1/2*$D$4^2+$D$4*B405)),VLOOKUP(A405,[1]!CPIndex,2))</f>
        <v>392.788213634304</v>
      </c>
      <c r="G405" s="585" t="n">
        <f aca="false">IF(shiftswitch4=1,(F405-F404)/F404,(E405-E404)/E404)</f>
        <v>0.00265994948436773</v>
      </c>
      <c r="H405" s="578" t="n">
        <f aca="false">G405+1</f>
        <v>1.00265994948437</v>
      </c>
    </row>
    <row r="406" customFormat="false" ht="12.75" hidden="false" customHeight="false" outlineLevel="0" collapsed="false">
      <c r="A406" s="575" t="n">
        <v>47423</v>
      </c>
      <c r="B406" s="190" t="n">
        <v>-0.0018656078578521</v>
      </c>
      <c r="C406" s="576" t="n">
        <v>0.0026571824051934</v>
      </c>
      <c r="D406" s="577" t="n">
        <f aca="false">IF(VLOOKUP(A406,[1]!CPIndex,2)=0,VLOOKUP(A406,[1]!CPIndex,6),0)</f>
        <v>0.0026571824051934</v>
      </c>
      <c r="E406" s="576" t="n">
        <v>393.120046988807</v>
      </c>
      <c r="F406" s="577" t="n">
        <f aca="false">IF(VLOOKUP(A406,[1]!CPIndex,2)=0,(F405*EXP(IF(driftswitch=1,D406,$C$4)-1/2*$D$4^2+$D$4*B406)),VLOOKUP(A406,[1]!CPIndex,2))</f>
        <v>393.832102021691</v>
      </c>
      <c r="G406" s="585" t="n">
        <f aca="false">IF(shiftswitch4=1,(F406-F405)/F405,(E406-E405)/E405)</f>
        <v>0.00265994948436774</v>
      </c>
      <c r="H406" s="578" t="n">
        <f aca="false">G406+1</f>
        <v>1.00265994948437</v>
      </c>
    </row>
    <row r="407" customFormat="false" ht="12.75" hidden="false" customHeight="false" outlineLevel="0" collapsed="false">
      <c r="A407" s="575" t="n">
        <v>47453</v>
      </c>
      <c r="B407" s="190" t="n">
        <v>0.027974693052139</v>
      </c>
      <c r="C407" s="576" t="n">
        <v>0.0026571824051934</v>
      </c>
      <c r="D407" s="577" t="n">
        <f aca="false">IF(VLOOKUP(A407,[1]!CPIndex,2)=0,VLOOKUP(A407,[1]!CPIndex,6),0)</f>
        <v>0.0026571824051934</v>
      </c>
      <c r="E407" s="576" t="n">
        <v>394.16572645509</v>
      </c>
      <c r="F407" s="577" t="n">
        <f aca="false">IF(VLOOKUP(A407,[1]!CPIndex,2)=0,(F406*EXP(IF(driftswitch=1,D407,$C$4)-1/2*$D$4^2+$D$4*B407)),VLOOKUP(A407,[1]!CPIndex,2))</f>
        <v>394.893333666669</v>
      </c>
      <c r="G407" s="585" t="n">
        <f aca="false">IF(shiftswitch4=1,(F407-F406)/F406,(E407-E406)/E406)</f>
        <v>0.00265994948436783</v>
      </c>
      <c r="H407" s="578" t="n">
        <f aca="false">G407+1</f>
        <v>1.00265994948437</v>
      </c>
    </row>
    <row r="408" customFormat="false" ht="12.75" hidden="false" customHeight="false" outlineLevel="0" collapsed="false">
      <c r="A408" s="575" t="n">
        <v>47484</v>
      </c>
      <c r="B408" s="190" t="n">
        <v>0.0444753598660552</v>
      </c>
      <c r="C408" s="576" t="n">
        <v>0.0026571824051934</v>
      </c>
      <c r="D408" s="577" t="n">
        <f aca="false">IF(VLOOKUP(A408,[1]!CPIndex,2)=0,VLOOKUP(A408,[1]!CPIndex,6),0)</f>
        <v>0.0026571824051934</v>
      </c>
      <c r="E408" s="576" t="n">
        <v>395.21418737593</v>
      </c>
      <c r="F408" s="577" t="n">
        <f aca="false">IF(VLOOKUP(A408,[1]!CPIndex,2)=0,(F407*EXP(IF(driftswitch=1,D408,$C$4)-1/2*$D$4^2+$D$4*B408)),VLOOKUP(A408,[1]!CPIndex,2))</f>
        <v>395.965503026568</v>
      </c>
      <c r="G408" s="585" t="n">
        <f aca="false">IF(shiftswitch4=1,(F408-F407)/F407,(E408-E407)/E407)</f>
        <v>0.00265994948436776</v>
      </c>
      <c r="H408" s="578" t="n">
        <f aca="false">G408+1</f>
        <v>1.00265994948437</v>
      </c>
    </row>
    <row r="409" customFormat="false" ht="12.75" hidden="false" customHeight="false" outlineLevel="0" collapsed="false">
      <c r="A409" s="575" t="n">
        <v>47515</v>
      </c>
      <c r="B409" s="190" t="n">
        <v>0.0116451758957601</v>
      </c>
      <c r="C409" s="576" t="n">
        <v>0.0026571824051934</v>
      </c>
      <c r="D409" s="577" t="n">
        <f aca="false">IF(VLOOKUP(A409,[1]!CPIndex,2)=0,VLOOKUP(A409,[1]!CPIndex,6),0)</f>
        <v>0.0026571824051934</v>
      </c>
      <c r="E409" s="576" t="n">
        <v>396.265437149855</v>
      </c>
      <c r="F409" s="577" t="n">
        <f aca="false">IF(VLOOKUP(A409,[1]!CPIndex,2)=0,(F408*EXP(IF(driftswitch=1,D409,$C$4)-1/2*$D$4^2+$D$4*B409)),VLOOKUP(A409,[1]!CPIndex,2))</f>
        <v>397.024467554098</v>
      </c>
      <c r="G409" s="585" t="n">
        <f aca="false">IF(shiftswitch4=1,(F409-F408)/F408,(E409-E408)/E408)</f>
        <v>0.00265994948436771</v>
      </c>
      <c r="H409" s="578" t="n">
        <f aca="false">G409+1</f>
        <v>1.00265994948437</v>
      </c>
    </row>
    <row r="410" customFormat="false" ht="12.75" hidden="false" customHeight="false" outlineLevel="0" collapsed="false">
      <c r="A410" s="575" t="n">
        <v>47543</v>
      </c>
      <c r="B410" s="190" t="n">
        <v>0.0903555888568896</v>
      </c>
      <c r="C410" s="576" t="n">
        <v>0.0026571824051934</v>
      </c>
      <c r="D410" s="577" t="n">
        <f aca="false">IF(VLOOKUP(A410,[1]!CPIndex,2)=0,VLOOKUP(A410,[1]!CPIndex,6),0)</f>
        <v>0.0026571824051934</v>
      </c>
      <c r="E410" s="576" t="n">
        <v>397.319483195075</v>
      </c>
      <c r="F410" s="577" t="n">
        <f aca="false">IF(VLOOKUP(A410,[1]!CPIndex,2)=0,(F409*EXP(IF(driftswitch=1,D410,$C$4)-1/2*$D$4^2+$D$4*B410)),VLOOKUP(A410,[1]!CPIndex,2))</f>
        <v>398.125006400467</v>
      </c>
      <c r="G410" s="585" t="n">
        <f aca="false">IF(shiftswitch4=1,(F410-F409)/F409,(E410-E409)/E409)</f>
        <v>0.0026599494843678</v>
      </c>
      <c r="H410" s="578" t="n">
        <f aca="false">G410+1</f>
        <v>1.00265994948437</v>
      </c>
    </row>
    <row r="411" customFormat="false" ht="12.75" hidden="false" customHeight="false" outlineLevel="0" collapsed="false">
      <c r="A411" s="575" t="n">
        <v>47574</v>
      </c>
      <c r="B411" s="190" t="n">
        <v>0.0125394393162341</v>
      </c>
      <c r="C411" s="576" t="n">
        <v>0.0026571824051934</v>
      </c>
      <c r="D411" s="577" t="n">
        <f aca="false">IF(VLOOKUP(A411,[1]!CPIndex,2)=0,VLOOKUP(A411,[1]!CPIndex,6),0)</f>
        <v>0.0026571824051934</v>
      </c>
      <c r="E411" s="576" t="n">
        <v>398.376332949529</v>
      </c>
      <c r="F411" s="577" t="n">
        <f aca="false">IF(VLOOKUP(A411,[1]!CPIndex,2)=0,(F410*EXP(IF(driftswitch=1,D411,$C$4)-1/2*$D$4^2+$D$4*B411)),VLOOKUP(A411,[1]!CPIndex,2))</f>
        <v>399.190187639621</v>
      </c>
      <c r="G411" s="585" t="n">
        <f aca="false">IF(shiftswitch4=1,(F411-F410)/F410,(E411-E410)/E410)</f>
        <v>0.00265994948436773</v>
      </c>
      <c r="H411" s="578" t="n">
        <f aca="false">G411+1</f>
        <v>1.00265994948437</v>
      </c>
    </row>
    <row r="412" customFormat="false" ht="12.75" hidden="false" customHeight="false" outlineLevel="0" collapsed="false">
      <c r="A412" s="575" t="n">
        <v>47604</v>
      </c>
      <c r="B412" s="190" t="n">
        <v>0.00684908343396067</v>
      </c>
      <c r="C412" s="576" t="n">
        <v>0.0026571824051934</v>
      </c>
      <c r="D412" s="577" t="n">
        <f aca="false">IF(VLOOKUP(A412,[1]!CPIndex,2)=0,VLOOKUP(A412,[1]!CPIndex,6),0)</f>
        <v>0.0026571824051934</v>
      </c>
      <c r="E412" s="576" t="n">
        <v>399.435993870942</v>
      </c>
      <c r="F412" s="577" t="n">
        <f aca="false">IF(VLOOKUP(A412,[1]!CPIndex,2)=0,(F411*EXP(IF(driftswitch=1,D412,$C$4)-1/2*$D$4^2+$D$4*B412)),VLOOKUP(A412,[1]!CPIndex,2))</f>
        <v>400.255402767132</v>
      </c>
      <c r="G412" s="585" t="n">
        <f aca="false">IF(shiftswitch4=1,(F412-F411)/F411,(E412-E411)/E411)</f>
        <v>0.00265994948436774</v>
      </c>
      <c r="H412" s="578" t="n">
        <f aca="false">G412+1</f>
        <v>1.00265994948437</v>
      </c>
    </row>
    <row r="413" customFormat="false" ht="12.75" hidden="false" customHeight="false" outlineLevel="0" collapsed="false">
      <c r="A413" s="575" t="n">
        <v>47635</v>
      </c>
      <c r="B413" s="190" t="n">
        <v>0.025113799330753</v>
      </c>
      <c r="C413" s="576" t="n">
        <v>0.0026571824051934</v>
      </c>
      <c r="D413" s="577" t="n">
        <f aca="false">IF(VLOOKUP(A413,[1]!CPIndex,2)=0,VLOOKUP(A413,[1]!CPIndex,6),0)</f>
        <v>0.0026571824051934</v>
      </c>
      <c r="E413" s="576" t="n">
        <v>400.498473436877</v>
      </c>
      <c r="F413" s="577" t="n">
        <f aca="false">IF(VLOOKUP(A413,[1]!CPIndex,2)=0,(F412*EXP(IF(driftswitch=1,D413,$C$4)-1/2*$D$4^2+$D$4*B413)),VLOOKUP(A413,[1]!CPIndex,2))</f>
        <v>401.332523244667</v>
      </c>
      <c r="G413" s="585" t="n">
        <f aca="false">IF(shiftswitch4=1,(F413-F412)/F412,(E413-E412)/E412)</f>
        <v>0.0026599494843678</v>
      </c>
      <c r="H413" s="578" t="n">
        <f aca="false">G413+1</f>
        <v>1.00265994948437</v>
      </c>
    </row>
    <row r="414" customFormat="false" ht="12.75" hidden="false" customHeight="false" outlineLevel="0" collapsed="false">
      <c r="A414" s="575" t="n">
        <v>47665</v>
      </c>
      <c r="B414" s="190" t="n">
        <v>0.0213354751397029</v>
      </c>
      <c r="C414" s="576" t="n">
        <v>0.0026571824051934</v>
      </c>
      <c r="D414" s="577" t="n">
        <f aca="false">IF(VLOOKUP(A414,[1]!CPIndex,2)=0,VLOOKUP(A414,[1]!CPIndex,6),0)</f>
        <v>0.0026571824051934</v>
      </c>
      <c r="E414" s="576" t="n">
        <v>401.563779144785</v>
      </c>
      <c r="F414" s="577" t="n">
        <f aca="false">IF(VLOOKUP(A414,[1]!CPIndex,2)=0,(F413*EXP(IF(driftswitch=1,D414,$C$4)-1/2*$D$4^2+$D$4*B414)),VLOOKUP(A414,[1]!CPIndex,2))</f>
        <v>402.410662489614</v>
      </c>
      <c r="G414" s="585" t="n">
        <f aca="false">IF(shiftswitch4=1,(F414-F413)/F413,(E414-E413)/E413)</f>
        <v>0.00265994948436783</v>
      </c>
      <c r="H414" s="578" t="n">
        <f aca="false">G414+1</f>
        <v>1.00265994948437</v>
      </c>
    </row>
    <row r="415" customFormat="false" ht="12.75" hidden="false" customHeight="false" outlineLevel="0" collapsed="false">
      <c r="A415" s="575" t="n">
        <v>47696</v>
      </c>
      <c r="B415" s="190" t="n">
        <v>0.0415231755383267</v>
      </c>
      <c r="C415" s="576" t="n">
        <v>0.0026571824051934</v>
      </c>
      <c r="D415" s="577" t="n">
        <f aca="false">IF(VLOOKUP(A415,[1]!CPIndex,2)=0,VLOOKUP(A415,[1]!CPIndex,6),0)</f>
        <v>0.0026571824051934</v>
      </c>
      <c r="E415" s="576" t="n">
        <v>402.631918512062</v>
      </c>
      <c r="F415" s="577" t="n">
        <f aca="false">IF(VLOOKUP(A415,[1]!CPIndex,2)=0,(F414*EXP(IF(driftswitch=1,D415,$C$4)-1/2*$D$4^2+$D$4*B415)),VLOOKUP(A415,[1]!CPIndex,2))</f>
        <v>403.501769243275</v>
      </c>
      <c r="G415" s="585" t="n">
        <f aca="false">IF(shiftswitch4=1,(F415-F414)/F414,(E415-E414)/E414)</f>
        <v>0.0026599494843678</v>
      </c>
      <c r="H415" s="578" t="n">
        <f aca="false">G415+1</f>
        <v>1.00265994948437</v>
      </c>
    </row>
    <row r="416" customFormat="false" ht="12.75" hidden="false" customHeight="false" outlineLevel="0" collapsed="false">
      <c r="A416" s="575" t="n">
        <v>47727</v>
      </c>
      <c r="B416" s="190" t="n">
        <v>-0.0323780940796623</v>
      </c>
      <c r="C416" s="576" t="n">
        <v>0.0026571824051934</v>
      </c>
      <c r="D416" s="577" t="n">
        <f aca="false">IF(VLOOKUP(A416,[1]!CPIndex,2)=0,VLOOKUP(A416,[1]!CPIndex,6),0)</f>
        <v>0.0026571824051934</v>
      </c>
      <c r="E416" s="576" t="n">
        <v>403.702899076099</v>
      </c>
      <c r="F416" s="577" t="n">
        <f aca="false">IF(VLOOKUP(A416,[1]!CPIndex,2)=0,(F415*EXP(IF(driftswitch=1,D416,$C$4)-1/2*$D$4^2+$D$4*B416)),VLOOKUP(A416,[1]!CPIndex,2))</f>
        <v>404.558868008887</v>
      </c>
      <c r="G416" s="585" t="n">
        <f aca="false">IF(shiftswitch4=1,(F416-F415)/F415,(E416-E415)/E415)</f>
        <v>0.0026599494843678</v>
      </c>
      <c r="H416" s="578" t="n">
        <f aca="false">G416+1</f>
        <v>1.00265994948437</v>
      </c>
    </row>
    <row r="417" customFormat="false" ht="12.75" hidden="false" customHeight="false" outlineLevel="0" collapsed="false">
      <c r="A417" s="575" t="n">
        <v>47757</v>
      </c>
      <c r="B417" s="190" t="n">
        <v>0.0232966892933279</v>
      </c>
      <c r="C417" s="576" t="n">
        <v>0.0026571824051934</v>
      </c>
      <c r="D417" s="577" t="n">
        <f aca="false">IF(VLOOKUP(A417,[1]!CPIndex,2)=0,VLOOKUP(A417,[1]!CPIndex,6),0)</f>
        <v>0.0026571824051934</v>
      </c>
      <c r="E417" s="576" t="n">
        <v>404.776728394334</v>
      </c>
      <c r="F417" s="577" t="n">
        <f aca="false">IF(VLOOKUP(A417,[1]!CPIndex,2)=0,(F416*EXP(IF(driftswitch=1,D417,$C$4)-1/2*$D$4^2+$D$4*B417)),VLOOKUP(A417,[1]!CPIndex,2))</f>
        <v>405.646658121119</v>
      </c>
      <c r="G417" s="585" t="n">
        <f aca="false">IF(shiftswitch4=1,(F417-F416)/F416,(E417-E416)/E416)</f>
        <v>0.0026599494843678</v>
      </c>
      <c r="H417" s="578" t="n">
        <f aca="false">G417+1</f>
        <v>1.00265994948437</v>
      </c>
    </row>
    <row r="418" customFormat="false" ht="12.75" hidden="false" customHeight="false" outlineLevel="0" collapsed="false">
      <c r="A418" s="575" t="n">
        <v>47788</v>
      </c>
      <c r="B418" s="190" t="n">
        <v>-0.0280591065221292</v>
      </c>
      <c r="C418" s="576" t="n">
        <v>0.0026571824051934</v>
      </c>
      <c r="D418" s="577" t="n">
        <f aca="false">IF(VLOOKUP(A418,[1]!CPIndex,2)=0,VLOOKUP(A418,[1]!CPIndex,6),0)</f>
        <v>0.0026571824051934</v>
      </c>
      <c r="E418" s="576" t="n">
        <v>405.85341404431</v>
      </c>
      <c r="F418" s="577" t="n">
        <f aca="false">IF(VLOOKUP(A418,[1]!CPIndex,2)=0,(F417*EXP(IF(driftswitch=1,D418,$C$4)-1/2*$D$4^2+$D$4*B418)),VLOOKUP(A418,[1]!CPIndex,2))</f>
        <v>406.71154790064</v>
      </c>
      <c r="G418" s="585" t="n">
        <f aca="false">IF(shiftswitch4=1,(F418-F417)/F417,(E418-E417)/E417)</f>
        <v>0.00265994948436777</v>
      </c>
      <c r="H418" s="578" t="n">
        <f aca="false">G418+1</f>
        <v>1.00265994948437</v>
      </c>
    </row>
    <row r="419" customFormat="false" ht="12.75" hidden="false" customHeight="false" outlineLevel="0" collapsed="false">
      <c r="A419" s="575" t="n">
        <v>47818</v>
      </c>
      <c r="B419" s="190" t="n">
        <v>0.0207704757248057</v>
      </c>
      <c r="C419" s="576" t="n">
        <v>0.0026571824051934</v>
      </c>
      <c r="D419" s="577" t="n">
        <f aca="false">IF(VLOOKUP(A419,[1]!CPIndex,2)=0,VLOOKUP(A419,[1]!CPIndex,6),0)</f>
        <v>0.0026571824051934</v>
      </c>
      <c r="E419" s="576" t="n">
        <v>406.932963623726</v>
      </c>
      <c r="F419" s="577" t="n">
        <f aca="false">IF(VLOOKUP(A419,[1]!CPIndex,2)=0,(F418*EXP(IF(driftswitch=1,D419,$C$4)-1/2*$D$4^2+$D$4*B419)),VLOOKUP(A419,[1]!CPIndex,2))</f>
        <v>407.803852476888</v>
      </c>
      <c r="G419" s="585" t="n">
        <f aca="false">IF(shiftswitch4=1,(F419-F418)/F418,(E419-E418)/E418)</f>
        <v>0.00265994948436771</v>
      </c>
      <c r="H419" s="578" t="n">
        <f aca="false">G419+1</f>
        <v>1.00265994948437</v>
      </c>
    </row>
    <row r="420" customFormat="false" ht="12.75" hidden="false" customHeight="false" outlineLevel="0" collapsed="false">
      <c r="A420" s="575" t="n">
        <v>47849</v>
      </c>
      <c r="B420" s="190" t="n">
        <v>-0.0144262452245717</v>
      </c>
      <c r="C420" s="576" t="n">
        <v>0.0026571824051934</v>
      </c>
      <c r="D420" s="577" t="n">
        <f aca="false">IF(VLOOKUP(A420,[1]!CPIndex,2)=0,VLOOKUP(A420,[1]!CPIndex,6),0)</f>
        <v>0.0026571824051934</v>
      </c>
      <c r="E420" s="576" t="n">
        <v>408.01538475049</v>
      </c>
      <c r="F420" s="577" t="n">
        <f aca="false">IF(VLOOKUP(A420,[1]!CPIndex,2)=0,(F419*EXP(IF(driftswitch=1,D420,$C$4)-1/2*$D$4^2+$D$4*B420)),VLOOKUP(A420,[1]!CPIndex,2))</f>
        <v>408.881297083419</v>
      </c>
      <c r="G420" s="585" t="n">
        <f aca="false">IF(shiftswitch4=1,(F420-F419)/F419,(E420-E419)/E419)</f>
        <v>0.00265994948436774</v>
      </c>
      <c r="H420" s="578" t="n">
        <f aca="false">G420+1</f>
        <v>1.00265994948437</v>
      </c>
    </row>
    <row r="421" customFormat="false" ht="12.75" hidden="false" customHeight="false" outlineLevel="0" collapsed="false">
      <c r="A421" s="575" t="n">
        <v>47880</v>
      </c>
      <c r="B421" s="190" t="n">
        <v>-0.0195773277361868</v>
      </c>
      <c r="C421" s="576" t="n">
        <v>0.0026571824051934</v>
      </c>
      <c r="D421" s="577" t="n">
        <f aca="false">IF(VLOOKUP(A421,[1]!CPIndex,2)=0,VLOOKUP(A421,[1]!CPIndex,6),0)</f>
        <v>0.0026571824051934</v>
      </c>
      <c r="E421" s="576" t="n">
        <v>409.100685062771</v>
      </c>
      <c r="F421" s="577" t="n">
        <f aca="false">IF(VLOOKUP(A421,[1]!CPIndex,2)=0,(F420*EXP(IF(driftswitch=1,D421,$C$4)-1/2*$D$4^2+$D$4*B421)),VLOOKUP(A421,[1]!CPIndex,2))</f>
        <v>409.958977443908</v>
      </c>
      <c r="G421" s="585" t="n">
        <f aca="false">IF(shiftswitch4=1,(F421-F420)/F420,(E421-E420)/E420)</f>
        <v>0.00265994948436772</v>
      </c>
      <c r="H421" s="578" t="n">
        <f aca="false">G421+1</f>
        <v>1.00265994948437</v>
      </c>
    </row>
    <row r="422" customFormat="false" ht="12.75" hidden="false" customHeight="false" outlineLevel="0" collapsed="false">
      <c r="A422" s="575" t="n">
        <v>47908</v>
      </c>
      <c r="B422" s="190" t="n">
        <v>0.0298550587229672</v>
      </c>
      <c r="C422" s="576" t="n">
        <v>0.0026571824051934</v>
      </c>
      <c r="D422" s="577" t="n">
        <f aca="false">IF(VLOOKUP(A422,[1]!CPIndex,2)=0,VLOOKUP(A422,[1]!CPIndex,6),0)</f>
        <v>0.0026571824051934</v>
      </c>
      <c r="E422" s="576" t="n">
        <v>410.188872219058</v>
      </c>
      <c r="F422" s="577" t="n">
        <f aca="false">IF(VLOOKUP(A422,[1]!CPIndex,2)=0,(F421*EXP(IF(driftswitch=1,D422,$C$4)-1/2*$D$4^2+$D$4*B422)),VLOOKUP(A422,[1]!CPIndex,2))</f>
        <v>411.064620710921</v>
      </c>
      <c r="G422" s="585" t="n">
        <f aca="false">IF(shiftswitch4=1,(F422-F421)/F421,(E422-E421)/E421)</f>
        <v>0.00265994948436781</v>
      </c>
      <c r="H422" s="578" t="n">
        <f aca="false">G422+1</f>
        <v>1.00265994948437</v>
      </c>
    </row>
    <row r="423" customFormat="false" ht="12.75" hidden="false" customHeight="false" outlineLevel="0" collapsed="false">
      <c r="A423" s="575" t="n">
        <v>47939</v>
      </c>
      <c r="B423" s="190" t="n">
        <v>0.0336230693641775</v>
      </c>
      <c r="C423" s="576" t="n">
        <v>0.0026571824051934</v>
      </c>
      <c r="D423" s="577" t="n">
        <f aca="false">IF(VLOOKUP(A423,[1]!CPIndex,2)=0,VLOOKUP(A423,[1]!CPIndex,6),0)</f>
        <v>0.0026571824051934</v>
      </c>
      <c r="E423" s="576" t="n">
        <v>411.27995389821</v>
      </c>
      <c r="F423" s="577" t="n">
        <f aca="false">IF(VLOOKUP(A423,[1]!CPIndex,2)=0,(F422*EXP(IF(driftswitch=1,D423,$C$4)-1/2*$D$4^2+$D$4*B423)),VLOOKUP(A423,[1]!CPIndex,2))</f>
        <v>412.175166057366</v>
      </c>
      <c r="G423" s="585" t="n">
        <f aca="false">IF(shiftswitch4=1,(F423-F422)/F422,(E423-E422)/E422)</f>
        <v>0.00265994948436774</v>
      </c>
      <c r="H423" s="578" t="n">
        <f aca="false">G423+1</f>
        <v>1.00265994948437</v>
      </c>
    </row>
    <row r="424" customFormat="false" ht="12.75" hidden="false" customHeight="false" outlineLevel="0" collapsed="false">
      <c r="A424" s="575" t="n">
        <v>47969</v>
      </c>
      <c r="B424" s="190" t="n">
        <v>0.0293870716361828</v>
      </c>
      <c r="C424" s="576" t="n">
        <v>0.0026571824051934</v>
      </c>
      <c r="D424" s="577" t="n">
        <f aca="false">IF(VLOOKUP(A424,[1]!CPIndex,2)=0,VLOOKUP(A424,[1]!CPIndex,6),0)</f>
        <v>0.0026571824051934</v>
      </c>
      <c r="E424" s="576" t="n">
        <v>412.373937799513</v>
      </c>
      <c r="F424" s="577" t="n">
        <f aca="false">IF(VLOOKUP(A424,[1]!CPIndex,2)=0,(F423*EXP(IF(driftswitch=1,D424,$C$4)-1/2*$D$4^2+$D$4*B424)),VLOOKUP(A424,[1]!CPIndex,2))</f>
        <v>413.286547165087</v>
      </c>
      <c r="G424" s="585" t="n">
        <f aca="false">IF(shiftswitch4=1,(F424-F423)/F423,(E424-E423)/E423)</f>
        <v>0.00265994948436779</v>
      </c>
      <c r="H424" s="578" t="n">
        <f aca="false">G424+1</f>
        <v>1.00265994948437</v>
      </c>
    </row>
    <row r="425" customFormat="false" ht="12.75" hidden="false" customHeight="false" outlineLevel="0" collapsed="false">
      <c r="A425" s="575" t="n">
        <v>48000</v>
      </c>
      <c r="B425" s="190" t="n">
        <v>-0.0297532134319402</v>
      </c>
      <c r="C425" s="576" t="n">
        <v>0.0026571824051934</v>
      </c>
      <c r="D425" s="577" t="n">
        <f aca="false">IF(VLOOKUP(A425,[1]!CPIndex,2)=0,VLOOKUP(A425,[1]!CPIndex,6),0)</f>
        <v>0.0026571824051934</v>
      </c>
      <c r="E425" s="576" t="n">
        <v>413.470831642729</v>
      </c>
      <c r="F425" s="577" t="n">
        <f aca="false">IF(VLOOKUP(A425,[1]!CPIndex,2)=0,(F424*EXP(IF(driftswitch=1,D425,$C$4)-1/2*$D$4^2+$D$4*B425)),VLOOKUP(A425,[1]!CPIndex,2))</f>
        <v>414.370624991442</v>
      </c>
      <c r="G425" s="585" t="n">
        <f aca="false">IF(shiftswitch4=1,(F425-F424)/F424,(E425-E424)/E424)</f>
        <v>0.0026599494843677</v>
      </c>
      <c r="H425" s="578" t="n">
        <f aca="false">G425+1</f>
        <v>1.00265994948437</v>
      </c>
    </row>
    <row r="426" customFormat="false" ht="12.75" hidden="false" customHeight="false" outlineLevel="0" collapsed="false">
      <c r="A426" s="575" t="n">
        <v>48030</v>
      </c>
      <c r="B426" s="190" t="n">
        <v>0.00716259692166171</v>
      </c>
      <c r="C426" s="576" t="n">
        <v>0.0026571824051934</v>
      </c>
      <c r="D426" s="577" t="n">
        <f aca="false">IF(VLOOKUP(A426,[1]!CPIndex,2)=0,VLOOKUP(A426,[1]!CPIndex,6),0)</f>
        <v>0.0026571824051934</v>
      </c>
      <c r="E426" s="576" t="n">
        <v>414.570643168158</v>
      </c>
      <c r="F426" s="577" t="n">
        <f aca="false">IF(VLOOKUP(A426,[1]!CPIndex,2)=0,(F425*EXP(IF(driftswitch=1,D426,$C$4)-1/2*$D$4^2+$D$4*B426)),VLOOKUP(A426,[1]!CPIndex,2))</f>
        <v>415.476509256155</v>
      </c>
      <c r="G426" s="585" t="n">
        <f aca="false">IF(shiftswitch4=1,(F426-F425)/F425,(E426-E425)/E425)</f>
        <v>0.00265994948436773</v>
      </c>
      <c r="H426" s="578" t="n">
        <f aca="false">G426+1</f>
        <v>1.00265994948437</v>
      </c>
    </row>
    <row r="427" customFormat="false" ht="12.75" hidden="false" customHeight="false" outlineLevel="0" collapsed="false">
      <c r="A427" s="575" t="n">
        <v>48061</v>
      </c>
      <c r="B427" s="190" t="n">
        <v>-0.0647853414943619</v>
      </c>
      <c r="C427" s="576" t="n">
        <v>0.0026571824051934</v>
      </c>
      <c r="D427" s="577" t="n">
        <f aca="false">IF(VLOOKUP(A427,[1]!CPIndex,2)=0,VLOOKUP(A427,[1]!CPIndex,6),0)</f>
        <v>0.0026571824051934</v>
      </c>
      <c r="E427" s="576" t="n">
        <v>415.673380136688</v>
      </c>
      <c r="F427" s="577" t="n">
        <f aca="false">IF(VLOOKUP(A427,[1]!CPIndex,2)=0,(F426*EXP(IF(driftswitch=1,D427,$C$4)-1/2*$D$4^2+$D$4*B427)),VLOOKUP(A427,[1]!CPIndex,2))</f>
        <v>416.548289048471</v>
      </c>
      <c r="G427" s="585" t="n">
        <f aca="false">IF(shiftswitch4=1,(F427-F426)/F426,(E427-E426)/E426)</f>
        <v>0.00265994948436774</v>
      </c>
      <c r="H427" s="578" t="n">
        <f aca="false">G427+1</f>
        <v>1.00265994948437</v>
      </c>
    </row>
    <row r="428" customFormat="false" ht="12.75" hidden="false" customHeight="false" outlineLevel="0" collapsed="false">
      <c r="A428" s="575" t="n">
        <v>48092</v>
      </c>
      <c r="B428" s="190" t="n">
        <v>-0.00194498365464658</v>
      </c>
      <c r="C428" s="576" t="n">
        <v>0.0026571824051934</v>
      </c>
      <c r="D428" s="577" t="n">
        <f aca="false">IF(VLOOKUP(A428,[1]!CPIndex,2)=0,VLOOKUP(A428,[1]!CPIndex,6),0)</f>
        <v>0.0026571824051934</v>
      </c>
      <c r="E428" s="576" t="n">
        <v>416.779050329848</v>
      </c>
      <c r="F428" s="577" t="n">
        <f aca="false">IF(VLOOKUP(A428,[1]!CPIndex,2)=0,(F427*EXP(IF(driftswitch=1,D428,$C$4)-1/2*$D$4^2+$D$4*B428)),VLOOKUP(A428,[1]!CPIndex,2))</f>
        <v>417.655282096875</v>
      </c>
      <c r="G428" s="585" t="n">
        <f aca="false">IF(shiftswitch4=1,(F428-F427)/F427,(E428-E427)/E427)</f>
        <v>0.00265994948436778</v>
      </c>
      <c r="H428" s="578" t="n">
        <f aca="false">G428+1</f>
        <v>1.00265994948437</v>
      </c>
    </row>
    <row r="429" customFormat="false" ht="12.75" hidden="false" customHeight="false" outlineLevel="0" collapsed="false">
      <c r="A429" s="575" t="n">
        <v>48122</v>
      </c>
      <c r="B429" s="190" t="n">
        <v>0.0226392215763081</v>
      </c>
      <c r="C429" s="576" t="n">
        <v>0.0026571824051934</v>
      </c>
      <c r="D429" s="577" t="n">
        <f aca="false">IF(VLOOKUP(A429,[1]!CPIndex,2)=0,VLOOKUP(A429,[1]!CPIndex,6),0)</f>
        <v>0.0026571824051934</v>
      </c>
      <c r="E429" s="576" t="n">
        <v>417.887661549868</v>
      </c>
      <c r="F429" s="577" t="n">
        <f aca="false">IF(VLOOKUP(A429,[1]!CPIndex,2)=0,(F428*EXP(IF(driftswitch=1,D429,$C$4)-1/2*$D$4^2+$D$4*B429)),VLOOKUP(A429,[1]!CPIndex,2))</f>
        <v>418.777945825074</v>
      </c>
      <c r="G429" s="585" t="n">
        <f aca="false">IF(shiftswitch4=1,(F429-F428)/F428,(E429-E428)/E428)</f>
        <v>0.0026599494843678</v>
      </c>
      <c r="H429" s="578" t="n">
        <f aca="false">G429+1</f>
        <v>1.00265994948437</v>
      </c>
    </row>
    <row r="430" customFormat="false" ht="12.75" hidden="false" customHeight="false" outlineLevel="0" collapsed="false">
      <c r="A430" s="575" t="n">
        <v>48153</v>
      </c>
      <c r="B430" s="190" t="n">
        <v>-0.030590236493257</v>
      </c>
      <c r="C430" s="576" t="n">
        <v>0.0026571824051934</v>
      </c>
      <c r="D430" s="577" t="n">
        <f aca="false">IF(VLOOKUP(A430,[1]!CPIndex,2)=0,VLOOKUP(A430,[1]!CPIndex,6),0)</f>
        <v>0.0026571824051934</v>
      </c>
      <c r="E430" s="576" t="n">
        <v>418.999221619731</v>
      </c>
      <c r="F430" s="577" t="n">
        <f aca="false">IF(VLOOKUP(A430,[1]!CPIndex,2)=0,(F429*EXP(IF(driftswitch=1,D430,$C$4)-1/2*$D$4^2+$D$4*B430)),VLOOKUP(A430,[1]!CPIndex,2))</f>
        <v>419.875993428574</v>
      </c>
      <c r="G430" s="585" t="n">
        <f aca="false">IF(shiftswitch4=1,(F430-F429)/F429,(E430-E429)/E429)</f>
        <v>0.00265994948436779</v>
      </c>
      <c r="H430" s="578" t="n">
        <f aca="false">G430+1</f>
        <v>1.00265994948437</v>
      </c>
    </row>
    <row r="431" customFormat="false" ht="12.75" hidden="false" customHeight="false" outlineLevel="0" collapsed="false">
      <c r="A431" s="575" t="n">
        <v>48183</v>
      </c>
      <c r="B431" s="190" t="n">
        <v>-0.0678462183167866</v>
      </c>
      <c r="C431" s="576" t="n">
        <v>0.0026571824051934</v>
      </c>
      <c r="D431" s="577" t="n">
        <f aca="false">IF(VLOOKUP(A431,[1]!CPIndex,2)=0,VLOOKUP(A431,[1]!CPIndex,6),0)</f>
        <v>0.0026571824051934</v>
      </c>
      <c r="E431" s="576" t="n">
        <v>420.113738383229</v>
      </c>
      <c r="F431" s="577" t="n">
        <f aca="false">IF(VLOOKUP(A431,[1]!CPIndex,2)=0,(F430*EXP(IF(driftswitch=1,D431,$C$4)-1/2*$D$4^2+$D$4*B431)),VLOOKUP(A431,[1]!CPIndex,2))</f>
        <v>420.957529220156</v>
      </c>
      <c r="G431" s="585" t="n">
        <f aca="false">IF(shiftswitch4=1,(F431-F430)/F430,(E431-E430)/E430)</f>
        <v>0.00265994948436771</v>
      </c>
      <c r="H431" s="578" t="n">
        <f aca="false">G431+1</f>
        <v>1.00265994948437</v>
      </c>
    </row>
    <row r="432" customFormat="false" ht="12.75" hidden="false" customHeight="false" outlineLevel="0" collapsed="false">
      <c r="A432" s="575" t="n">
        <v>48214</v>
      </c>
      <c r="B432" s="190" t="n">
        <v>-0.00959039380078238</v>
      </c>
      <c r="C432" s="576" t="n">
        <v>0.0026571824051934</v>
      </c>
      <c r="D432" s="577" t="n">
        <f aca="false">IF(VLOOKUP(A432,[1]!CPIndex,2)=0,VLOOKUP(A432,[1]!CPIndex,6),0)</f>
        <v>0.0026571824051934</v>
      </c>
      <c r="E432" s="576" t="n">
        <v>421.231219705017</v>
      </c>
      <c r="F432" s="577" t="n">
        <f aca="false">IF(VLOOKUP(A432,[1]!CPIndex,2)=0,(F431*EXP(IF(driftswitch=1,D432,$C$4)-1/2*$D$4^2+$D$4*B432)),VLOOKUP(A432,[1]!CPIndex,2))</f>
        <v>422.072250260276</v>
      </c>
      <c r="G432" s="585" t="n">
        <f aca="false">IF(shiftswitch4=1,(F432-F431)/F431,(E432-E431)/E431)</f>
        <v>0.00265994948436771</v>
      </c>
      <c r="H432" s="578" t="n">
        <f aca="false">G432+1</f>
        <v>1.00265994948437</v>
      </c>
    </row>
    <row r="433" customFormat="false" ht="12.75" hidden="false" customHeight="false" outlineLevel="0" collapsed="false">
      <c r="A433" s="575" t="n">
        <v>48245</v>
      </c>
      <c r="B433" s="190" t="n">
        <v>-0.0325374949375362</v>
      </c>
      <c r="C433" s="576" t="n">
        <v>0.0026571824051934</v>
      </c>
      <c r="D433" s="577" t="n">
        <f aca="false">IF(VLOOKUP(A433,[1]!CPIndex,2)=0,VLOOKUP(A433,[1]!CPIndex,6),0)</f>
        <v>0.0026571824051934</v>
      </c>
      <c r="E433" s="576" t="n">
        <v>422.351673470671</v>
      </c>
      <c r="F433" s="577" t="n">
        <f aca="false">IF(VLOOKUP(A433,[1]!CPIndex,2)=0,(F432*EXP(IF(driftswitch=1,D433,$C$4)-1/2*$D$4^2+$D$4*B433)),VLOOKUP(A433,[1]!CPIndex,2))</f>
        <v>423.177916794019</v>
      </c>
      <c r="G433" s="585" t="n">
        <f aca="false">IF(shiftswitch4=1,(F433-F432)/F432,(E433-E432)/E432)</f>
        <v>0.00265994948436776</v>
      </c>
      <c r="H433" s="578" t="n">
        <f aca="false">G433+1</f>
        <v>1.00265994948437</v>
      </c>
    </row>
    <row r="434" customFormat="false" ht="12.75" hidden="false" customHeight="false" outlineLevel="0" collapsed="false">
      <c r="A434" s="575" t="n">
        <v>48274</v>
      </c>
      <c r="B434" s="190" t="n">
        <v>0.0179593026316287</v>
      </c>
      <c r="C434" s="576" t="n">
        <v>0.0026571824051934</v>
      </c>
      <c r="D434" s="577" t="n">
        <f aca="false">IF(VLOOKUP(A434,[1]!CPIndex,2)=0,VLOOKUP(A434,[1]!CPIndex,6),0)</f>
        <v>0.0026571824051934</v>
      </c>
      <c r="E434" s="576" t="n">
        <v>423.475107586741</v>
      </c>
      <c r="F434" s="577" t="n">
        <f aca="false">IF(VLOOKUP(A434,[1]!CPIndex,2)=0,(F433*EXP(IF(driftswitch=1,D434,$C$4)-1/2*$D$4^2+$D$4*B434)),VLOOKUP(A434,[1]!CPIndex,2))</f>
        <v>424.312970286307</v>
      </c>
      <c r="G434" s="585" t="n">
        <f aca="false">IF(shiftswitch4=1,(F434-F433)/F433,(E434-E433)/E433)</f>
        <v>0.00265994948436783</v>
      </c>
      <c r="H434" s="578" t="n">
        <f aca="false">G434+1</f>
        <v>1.00265994948437</v>
      </c>
    </row>
    <row r="435" customFormat="false" ht="12.75" hidden="false" customHeight="false" outlineLevel="0" collapsed="false">
      <c r="A435" s="575" t="n">
        <v>48305</v>
      </c>
      <c r="B435" s="190" t="n">
        <v>0.0214097120357179</v>
      </c>
      <c r="C435" s="576" t="n">
        <v>0.0026571824051934</v>
      </c>
      <c r="D435" s="577" t="n">
        <f aca="false">IF(VLOOKUP(A435,[1]!CPIndex,2)=0,VLOOKUP(A435,[1]!CPIndex,6),0)</f>
        <v>0.0026571824051934</v>
      </c>
      <c r="E435" s="576" t="n">
        <v>424.601529980809</v>
      </c>
      <c r="F435" s="577" t="n">
        <f aca="false">IF(VLOOKUP(A435,[1]!CPIndex,2)=0,(F434*EXP(IF(driftswitch=1,D435,$C$4)-1/2*$D$4^2+$D$4*B435)),VLOOKUP(A435,[1]!CPIndex,2))</f>
        <v>425.452883229076</v>
      </c>
      <c r="G435" s="585" t="n">
        <f aca="false">IF(shiftswitch4=1,(F435-F434)/F434,(E435-E434)/E434)</f>
        <v>0.00265994948436782</v>
      </c>
      <c r="H435" s="578" t="n">
        <f aca="false">G435+1</f>
        <v>1.00265994948437</v>
      </c>
    </row>
    <row r="436" customFormat="false" ht="12.75" hidden="false" customHeight="false" outlineLevel="0" collapsed="false">
      <c r="A436" s="575" t="n">
        <v>48335</v>
      </c>
      <c r="B436" s="190" t="n">
        <v>0.00426174477221813</v>
      </c>
      <c r="C436" s="576" t="n">
        <v>0.0026571824051934</v>
      </c>
      <c r="D436" s="577" t="n">
        <f aca="false">IF(VLOOKUP(A436,[1]!CPIndex,2)=0,VLOOKUP(A436,[1]!CPIndex,6),0)</f>
        <v>0.0026571824051934</v>
      </c>
      <c r="E436" s="576" t="n">
        <v>425.730948601543</v>
      </c>
      <c r="F436" s="577" t="n">
        <f aca="false">IF(VLOOKUP(A436,[1]!CPIndex,2)=0,(F435*EXP(IF(driftswitch=1,D436,$C$4)-1/2*$D$4^2+$D$4*B436)),VLOOKUP(A436,[1]!CPIndex,2))</f>
        <v>426.586814156005</v>
      </c>
      <c r="G436" s="585" t="n">
        <f aca="false">IF(shiftswitch4=1,(F436-F435)/F435,(E436-E435)/E435)</f>
        <v>0.00265994948436776</v>
      </c>
      <c r="H436" s="578" t="n">
        <f aca="false">G436+1</f>
        <v>1.00265994948437</v>
      </c>
    </row>
    <row r="437" customFormat="false" ht="12.75" hidden="false" customHeight="false" outlineLevel="0" collapsed="false">
      <c r="A437" s="575" t="n">
        <v>48366</v>
      </c>
      <c r="B437" s="190" t="n">
        <v>0.00997664588987407</v>
      </c>
      <c r="C437" s="576" t="n">
        <v>0.0026571824051934</v>
      </c>
      <c r="D437" s="577" t="n">
        <f aca="false">IF(VLOOKUP(A437,[1]!CPIndex,2)=0,VLOOKUP(A437,[1]!CPIndex,6),0)</f>
        <v>0.0026571824051934</v>
      </c>
      <c r="E437" s="576" t="n">
        <v>426.863371418756</v>
      </c>
      <c r="F437" s="577" t="n">
        <f aca="false">IF(VLOOKUP(A437,[1]!CPIndex,2)=0,(F436*EXP(IF(driftswitch=1,D437,$C$4)-1/2*$D$4^2+$D$4*B437)),VLOOKUP(A437,[1]!CPIndex,2))</f>
        <v>427.726789504972</v>
      </c>
      <c r="G437" s="585" t="n">
        <f aca="false">IF(shiftswitch4=1,(F437-F436)/F436,(E437-E436)/E436)</f>
        <v>0.0026599494843677</v>
      </c>
      <c r="H437" s="578" t="n">
        <f aca="false">G437+1</f>
        <v>1.00265994948437</v>
      </c>
    </row>
    <row r="438" customFormat="false" ht="12.75" hidden="false" customHeight="false" outlineLevel="0" collapsed="false">
      <c r="A438" s="575" t="n">
        <v>48396</v>
      </c>
      <c r="B438" s="190" t="n">
        <v>-0.0408855743424862</v>
      </c>
      <c r="C438" s="576" t="n">
        <v>0.0026571824051934</v>
      </c>
      <c r="D438" s="577" t="n">
        <f aca="false">IF(VLOOKUP(A438,[1]!CPIndex,2)=0,VLOOKUP(A438,[1]!CPIndex,6),0)</f>
        <v>0.0026571824051934</v>
      </c>
      <c r="E438" s="576" t="n">
        <v>427.998806423456</v>
      </c>
      <c r="F438" s="577" t="n">
        <f aca="false">IF(VLOOKUP(A438,[1]!CPIndex,2)=0,(F437*EXP(IF(driftswitch=1,D438,$C$4)-1/2*$D$4^2+$D$4*B438)),VLOOKUP(A438,[1]!CPIndex,2))</f>
        <v>428.842842447593</v>
      </c>
      <c r="G438" s="585" t="n">
        <f aca="false">IF(shiftswitch4=1,(F438-F437)/F437,(E438-E437)/E437)</f>
        <v>0.00265994948436778</v>
      </c>
      <c r="H438" s="578" t="n">
        <f aca="false">G438+1</f>
        <v>1.00265994948437</v>
      </c>
    </row>
    <row r="439" customFormat="false" ht="12.75" hidden="false" customHeight="false" outlineLevel="0" collapsed="false">
      <c r="A439" s="575" t="n">
        <v>48427</v>
      </c>
      <c r="B439" s="190" t="n">
        <v>0.0298448771426708</v>
      </c>
      <c r="C439" s="576" t="n">
        <v>0.0026571824051934</v>
      </c>
      <c r="D439" s="577" t="n">
        <f aca="false">IF(VLOOKUP(A439,[1]!CPIndex,2)=0,VLOOKUP(A439,[1]!CPIndex,6),0)</f>
        <v>0.0026571824051934</v>
      </c>
      <c r="E439" s="576" t="n">
        <v>429.137261627912</v>
      </c>
      <c r="F439" s="577" t="n">
        <f aca="false">IF(VLOOKUP(A439,[1]!CPIndex,2)=0,(F438*EXP(IF(driftswitch=1,D439,$C$4)-1/2*$D$4^2+$D$4*B439)),VLOOKUP(A439,[1]!CPIndex,2))</f>
        <v>429.999409344143</v>
      </c>
      <c r="G439" s="585" t="n">
        <f aca="false">IF(shiftswitch4=1,(F439-F438)/F438,(E439-E438)/E438)</f>
        <v>0.00265994948436774</v>
      </c>
      <c r="H439" s="578" t="n">
        <f aca="false">G439+1</f>
        <v>1.00265994948437</v>
      </c>
    </row>
    <row r="440" customFormat="false" ht="12.75" hidden="false" customHeight="false" outlineLevel="0" collapsed="false">
      <c r="A440" s="575" t="n">
        <v>48458</v>
      </c>
      <c r="B440" s="190" t="n">
        <v>-0.0157377779556112</v>
      </c>
      <c r="C440" s="576" t="n">
        <v>0.0026571824051934</v>
      </c>
      <c r="D440" s="577" t="n">
        <f aca="false">IF(VLOOKUP(A440,[1]!CPIndex,2)=0,VLOOKUP(A440,[1]!CPIndex,6),0)</f>
        <v>0.0026571824051934</v>
      </c>
      <c r="E440" s="576" t="n">
        <v>430.278745065703</v>
      </c>
      <c r="F440" s="577" t="n">
        <f aca="false">IF(VLOOKUP(A440,[1]!CPIndex,2)=0,(F439*EXP(IF(driftswitch=1,D440,$C$4)-1/2*$D$4^2+$D$4*B440)),VLOOKUP(A440,[1]!CPIndex,2))</f>
        <v>431.134796960091</v>
      </c>
      <c r="G440" s="585" t="n">
        <f aca="false">IF(shiftswitch4=1,(F440-F439)/F439,(E440-E439)/E439)</f>
        <v>0.00265994948436776</v>
      </c>
      <c r="H440" s="578" t="n">
        <f aca="false">G440+1</f>
        <v>1.00265994948437</v>
      </c>
    </row>
    <row r="441" customFormat="false" ht="12.75" hidden="false" customHeight="false" outlineLevel="0" collapsed="false">
      <c r="A441" s="575" t="n">
        <v>48488</v>
      </c>
      <c r="B441" s="190" t="n">
        <v>-0.0466620947511261</v>
      </c>
      <c r="C441" s="576" t="n">
        <v>0.0026571824051934</v>
      </c>
      <c r="D441" s="577" t="n">
        <f aca="false">IF(VLOOKUP(A441,[1]!CPIndex,2)=0,VLOOKUP(A441,[1]!CPIndex,6),0)</f>
        <v>0.0026571824051934</v>
      </c>
      <c r="E441" s="576" t="n">
        <v>431.423264791774</v>
      </c>
      <c r="F441" s="577" t="n">
        <f aca="false">IF(VLOOKUP(A441,[1]!CPIndex,2)=0,(F440*EXP(IF(driftswitch=1,D441,$C$4)-1/2*$D$4^2+$D$4*B441)),VLOOKUP(A441,[1]!CPIndex,2))</f>
        <v>432.25665510768</v>
      </c>
      <c r="G441" s="585" t="n">
        <f aca="false">IF(shiftswitch4=1,(F441-F440)/F440,(E441-E440)/E440)</f>
        <v>0.00265994948436772</v>
      </c>
      <c r="H441" s="578" t="n">
        <f aca="false">G441+1</f>
        <v>1.00265994948437</v>
      </c>
    </row>
    <row r="442" customFormat="false" ht="12.75" hidden="false" customHeight="false" outlineLevel="0" collapsed="false">
      <c r="A442" s="575" t="n">
        <v>48519</v>
      </c>
      <c r="B442" s="190" t="n">
        <v>-0.0459863639204644</v>
      </c>
      <c r="C442" s="576" t="n">
        <v>0.0026571824051934</v>
      </c>
      <c r="D442" s="577" t="n">
        <f aca="false">IF(VLOOKUP(A442,[1]!CPIndex,2)=0,VLOOKUP(A442,[1]!CPIndex,6),0)</f>
        <v>0.0026571824051934</v>
      </c>
      <c r="E442" s="576" t="n">
        <v>432.570828882502</v>
      </c>
      <c r="F442" s="577" t="n">
        <f aca="false">IF(VLOOKUP(A442,[1]!CPIndex,2)=0,(F441*EXP(IF(driftswitch=1,D442,$C$4)-1/2*$D$4^2+$D$4*B442)),VLOOKUP(A442,[1]!CPIndex,2))</f>
        <v>433.381794523218</v>
      </c>
      <c r="G442" s="585" t="n">
        <f aca="false">IF(shiftswitch4=1,(F442-F441)/F441,(E442-E441)/E441)</f>
        <v>0.00265994948436778</v>
      </c>
      <c r="H442" s="578" t="n">
        <f aca="false">G442+1</f>
        <v>1.00265994948437</v>
      </c>
    </row>
    <row r="443" customFormat="false" ht="12.75" hidden="false" customHeight="false" outlineLevel="0" collapsed="false">
      <c r="A443" s="575" t="n">
        <v>48549</v>
      </c>
      <c r="B443" s="190" t="n">
        <v>-0.0203749223341667</v>
      </c>
      <c r="C443" s="576" t="n">
        <v>0.0026571824051934</v>
      </c>
      <c r="D443" s="577" t="n">
        <f aca="false">IF(VLOOKUP(A443,[1]!CPIndex,2)=0,VLOOKUP(A443,[1]!CPIndex,6),0)</f>
        <v>0.0026571824051934</v>
      </c>
      <c r="E443" s="576" t="n">
        <v>433.72144543574</v>
      </c>
      <c r="F443" s="577" t="n">
        <f aca="false">IF(VLOOKUP(A443,[1]!CPIndex,2)=0,(F442*EXP(IF(driftswitch=1,D443,$C$4)-1/2*$D$4^2+$D$4*B443)),VLOOKUP(A443,[1]!CPIndex,2))</f>
        <v>434.523621861799</v>
      </c>
      <c r="G443" s="585" t="n">
        <f aca="false">IF(shiftswitch4=1,(F443-F442)/F442,(E443-E442)/E442)</f>
        <v>0.00265994948436774</v>
      </c>
      <c r="H443" s="578" t="n">
        <f aca="false">G443+1</f>
        <v>1.00265994948437</v>
      </c>
    </row>
    <row r="444" customFormat="false" ht="12.75" hidden="false" customHeight="false" outlineLevel="0" collapsed="false">
      <c r="A444" s="575" t="n">
        <v>48580</v>
      </c>
      <c r="B444" s="190" t="n">
        <v>0.00276320655505189</v>
      </c>
      <c r="C444" s="576" t="n">
        <v>0.0026571824051934</v>
      </c>
      <c r="D444" s="577" t="n">
        <f aca="false">IF(VLOOKUP(A444,[1]!CPIndex,2)=0,VLOOKUP(A444,[1]!CPIndex,6),0)</f>
        <v>0.0026571824051934</v>
      </c>
      <c r="E444" s="576" t="n">
        <v>434.875122570886</v>
      </c>
      <c r="F444" s="577" t="n">
        <f aca="false">IF(VLOOKUP(A444,[1]!CPIndex,2)=0,(F443*EXP(IF(driftswitch=1,D444,$C$4)-1/2*$D$4^2+$D$4*B444)),VLOOKUP(A444,[1]!CPIndex,2))</f>
        <v>435.680921199493</v>
      </c>
      <c r="G444" s="585" t="n">
        <f aca="false">IF(shiftswitch4=1,(F444-F443)/F443,(E444-E443)/E443)</f>
        <v>0.00265994948436777</v>
      </c>
      <c r="H444" s="578" t="n">
        <f aca="false">G444+1</f>
        <v>1.00265994948437</v>
      </c>
    </row>
    <row r="445" customFormat="false" ht="12.75" hidden="false" customHeight="false" outlineLevel="0" collapsed="false">
      <c r="A445" s="575" t="n">
        <v>48611</v>
      </c>
      <c r="B445" s="190" t="n">
        <v>0.011671937262703</v>
      </c>
      <c r="C445" s="576" t="n">
        <v>0.0026571824051934</v>
      </c>
      <c r="D445" s="577" t="n">
        <f aca="false">IF(VLOOKUP(A445,[1]!CPIndex,2)=0,VLOOKUP(A445,[1]!CPIndex,6),0)</f>
        <v>0.0026571824051934</v>
      </c>
      <c r="E445" s="576" t="n">
        <v>436.031868428933</v>
      </c>
      <c r="F445" s="577" t="n">
        <f aca="false">IF(VLOOKUP(A445,[1]!CPIndex,2)=0,(F444*EXP(IF(driftswitch=1,D445,$C$4)-1/2*$D$4^2+$D$4*B445)),VLOOKUP(A445,[1]!CPIndex,2))</f>
        <v>436.84611453242</v>
      </c>
      <c r="G445" s="585" t="n">
        <f aca="false">IF(shiftswitch4=1,(F445-F444)/F444,(E445-E444)/E444)</f>
        <v>0.00265994948436778</v>
      </c>
      <c r="H445" s="578" t="n">
        <f aca="false">G445+1</f>
        <v>1.00265994948437</v>
      </c>
    </row>
    <row r="446" customFormat="false" ht="12.75" hidden="false" customHeight="false" outlineLevel="0" collapsed="false">
      <c r="A446" s="575" t="n">
        <v>48639</v>
      </c>
      <c r="B446" s="190" t="n">
        <v>0.0226746906253736</v>
      </c>
      <c r="C446" s="576" t="n">
        <v>0.0026571824051934</v>
      </c>
      <c r="D446" s="577" t="n">
        <f aca="false">IF(VLOOKUP(A446,[1]!CPIndex,2)=0,VLOOKUP(A446,[1]!CPIndex,6),0)</f>
        <v>0.0026571824051934</v>
      </c>
      <c r="E446" s="576" t="n">
        <v>437.191691172528</v>
      </c>
      <c r="F446" s="577" t="n">
        <f aca="false">IF(VLOOKUP(A446,[1]!CPIndex,2)=0,(F445*EXP(IF(driftswitch=1,D446,$C$4)-1/2*$D$4^2+$D$4*B446)),VLOOKUP(A446,[1]!CPIndex,2))</f>
        <v>438.020382717763</v>
      </c>
      <c r="G446" s="585" t="n">
        <f aca="false">IF(shiftswitch4=1,(F446-F445)/F445,(E446-E445)/E445)</f>
        <v>0.00265994948436774</v>
      </c>
      <c r="H446" s="578" t="n">
        <f aca="false">G446+1</f>
        <v>1.00265994948437</v>
      </c>
    </row>
    <row r="447" customFormat="false" ht="12.75" hidden="false" customHeight="false" outlineLevel="0" collapsed="false">
      <c r="A447" s="575" t="n">
        <v>48670</v>
      </c>
      <c r="B447" s="190" t="n">
        <v>0.0226623281854158</v>
      </c>
      <c r="C447" s="576" t="n">
        <v>0.0026571824051934</v>
      </c>
      <c r="D447" s="577" t="n">
        <f aca="false">IF(VLOOKUP(A447,[1]!CPIndex,2)=0,VLOOKUP(A447,[1]!CPIndex,6),0)</f>
        <v>0.0026571824051934</v>
      </c>
      <c r="E447" s="576" t="n">
        <v>438.354598986033</v>
      </c>
      <c r="F447" s="577" t="n">
        <f aca="false">IF(VLOOKUP(A447,[1]!CPIndex,2)=0,(F446*EXP(IF(driftswitch=1,D447,$C$4)-1/2*$D$4^2+$D$4*B447)),VLOOKUP(A447,[1]!CPIndex,2))</f>
        <v>439.19780069239</v>
      </c>
      <c r="G447" s="585" t="n">
        <f aca="false">IF(shiftswitch4=1,(F447-F446)/F446,(E447-E446)/E446)</f>
        <v>0.00265994948436782</v>
      </c>
      <c r="H447" s="578" t="n">
        <f aca="false">G447+1</f>
        <v>1.00265994948437</v>
      </c>
    </row>
    <row r="448" customFormat="false" ht="12.75" hidden="false" customHeight="false" outlineLevel="0" collapsed="false">
      <c r="A448" s="575" t="n">
        <v>48700</v>
      </c>
      <c r="B448" s="190" t="n">
        <v>0.0252035103117222</v>
      </c>
      <c r="C448" s="576" t="n">
        <v>0.0026571824051934</v>
      </c>
      <c r="D448" s="577" t="n">
        <f aca="false">IF(VLOOKUP(A448,[1]!CPIndex,2)=0,VLOOKUP(A448,[1]!CPIndex,6),0)</f>
        <v>0.0026571824051934</v>
      </c>
      <c r="E448" s="576" t="n">
        <v>439.520600075576</v>
      </c>
      <c r="F448" s="577" t="n">
        <f aca="false">IF(VLOOKUP(A448,[1]!CPIndex,2)=0,(F447*EXP(IF(driftswitch=1,D448,$C$4)-1/2*$D$4^2+$D$4*B448)),VLOOKUP(A448,[1]!CPIndex,2))</f>
        <v>440.379767237588</v>
      </c>
      <c r="G448" s="585" t="n">
        <f aca="false">IF(shiftswitch4=1,(F448-F447)/F447,(E448-E447)/E447)</f>
        <v>0.00265994948436782</v>
      </c>
      <c r="H448" s="578" t="n">
        <f aca="false">G448+1</f>
        <v>1.00265994948437</v>
      </c>
    </row>
    <row r="449" customFormat="false" ht="12.75" hidden="false" customHeight="false" outlineLevel="0" collapsed="false">
      <c r="A449" s="575" t="n">
        <v>48731</v>
      </c>
      <c r="B449" s="190" t="n">
        <v>0.0584741941795988</v>
      </c>
      <c r="C449" s="576" t="n">
        <v>0.0026571824051934</v>
      </c>
      <c r="D449" s="577" t="n">
        <f aca="false">IF(VLOOKUP(A449,[1]!CPIndex,2)=0,VLOOKUP(A449,[1]!CPIndex,6),0)</f>
        <v>0.0026571824051934</v>
      </c>
      <c r="E449" s="576" t="n">
        <v>440.689702669116</v>
      </c>
      <c r="F449" s="577" t="n">
        <f aca="false">IF(VLOOKUP(A449,[1]!CPIndex,2)=0,(F448*EXP(IF(driftswitch=1,D449,$C$4)-1/2*$D$4^2+$D$4*B449)),VLOOKUP(A449,[1]!CPIndex,2))</f>
        <v>441.583079015761</v>
      </c>
      <c r="G449" s="585" t="n">
        <f aca="false">IF(shiftswitch4=1,(F449-F448)/F448,(E449-E448)/E448)</f>
        <v>0.00265994948436781</v>
      </c>
      <c r="H449" s="578" t="n">
        <f aca="false">G449+1</f>
        <v>1.00265994948437</v>
      </c>
    </row>
    <row r="450" customFormat="false" ht="12.75" hidden="false" customHeight="false" outlineLevel="0" collapsed="false">
      <c r="A450" s="575" t="n">
        <v>48761</v>
      </c>
      <c r="B450" s="190" t="n">
        <v>0.0528962700431366</v>
      </c>
      <c r="C450" s="576" t="n">
        <v>0.0026571824051934</v>
      </c>
      <c r="D450" s="577" t="n">
        <f aca="false">IF(VLOOKUP(A450,[1]!CPIndex,2)=0,VLOOKUP(A450,[1]!CPIndex,6),0)</f>
        <v>0.0026571824051934</v>
      </c>
      <c r="E450" s="576" t="n">
        <v>441.861915016497</v>
      </c>
      <c r="F450" s="577" t="n">
        <f aca="false">IF(VLOOKUP(A450,[1]!CPIndex,2)=0,(F449*EXP(IF(driftswitch=1,D450,$C$4)-1/2*$D$4^2+$D$4*B450)),VLOOKUP(A450,[1]!CPIndex,2))</f>
        <v>442.786625097621</v>
      </c>
      <c r="G450" s="585" t="n">
        <f aca="false">IF(shiftswitch4=1,(F450-F449)/F449,(E450-E449)/E449)</f>
        <v>0.00265994948436772</v>
      </c>
      <c r="H450" s="578" t="n">
        <f aca="false">G450+1</f>
        <v>1.00265994948437</v>
      </c>
    </row>
    <row r="451" customFormat="false" ht="12.75" hidden="false" customHeight="false" outlineLevel="0" collapsed="false">
      <c r="A451" s="575" t="n">
        <v>48792</v>
      </c>
      <c r="B451" s="190" t="n">
        <v>-0.0424649325448712</v>
      </c>
      <c r="C451" s="576" t="n">
        <v>0.0026571824051934</v>
      </c>
      <c r="D451" s="577" t="n">
        <f aca="false">IF(VLOOKUP(A451,[1]!CPIndex,2)=0,VLOOKUP(A451,[1]!CPIndex,6),0)</f>
        <v>0.0026571824051934</v>
      </c>
      <c r="E451" s="576" t="n">
        <v>443.037245389507</v>
      </c>
      <c r="F451" s="577" t="n">
        <f aca="false">IF(VLOOKUP(A451,[1]!CPIndex,2)=0,(F450*EXP(IF(driftswitch=1,D451,$C$4)-1/2*$D$4^2+$D$4*B451)),VLOOKUP(A451,[1]!CPIndex,2))</f>
        <v>443.941106273007</v>
      </c>
      <c r="G451" s="585" t="n">
        <f aca="false">IF(shiftswitch4=1,(F451-F450)/F450,(E451-E450)/E450)</f>
        <v>0.0026599494843678</v>
      </c>
      <c r="H451" s="578" t="n">
        <f aca="false">G451+1</f>
        <v>1.00265994948437</v>
      </c>
    </row>
    <row r="452" customFormat="false" ht="12.75" hidden="false" customHeight="false" outlineLevel="0" collapsed="false">
      <c r="A452" s="575" t="n">
        <v>48823</v>
      </c>
      <c r="B452" s="190" t="n">
        <v>0.0436710804983049</v>
      </c>
      <c r="C452" s="576" t="n">
        <v>0.0026571824051934</v>
      </c>
      <c r="D452" s="577" t="n">
        <f aca="false">IF(VLOOKUP(A452,[1]!CPIndex,2)=0,VLOOKUP(A452,[1]!CPIndex,6),0)</f>
        <v>0.0026571824051934</v>
      </c>
      <c r="E452" s="576" t="n">
        <v>444.215702081936</v>
      </c>
      <c r="F452" s="577" t="n">
        <f aca="false">IF(VLOOKUP(A452,[1]!CPIndex,2)=0,(F451*EXP(IF(driftswitch=1,D452,$C$4)-1/2*$D$4^2+$D$4*B452)),VLOOKUP(A452,[1]!CPIndex,2))</f>
        <v>445.146001899995</v>
      </c>
      <c r="G452" s="585" t="n">
        <f aca="false">IF(shiftswitch4=1,(F452-F451)/F451,(E452-E451)/E451)</f>
        <v>0.0026599494843677</v>
      </c>
      <c r="H452" s="578" t="n">
        <f aca="false">G452+1</f>
        <v>1.00265994948437</v>
      </c>
    </row>
    <row r="453" customFormat="false" ht="12.75" hidden="false" customHeight="false" outlineLevel="0" collapsed="false">
      <c r="A453" s="575" t="n">
        <v>48853</v>
      </c>
      <c r="B453" s="190" t="n">
        <v>-0.0145173502001056</v>
      </c>
      <c r="C453" s="576" t="n">
        <v>0.0026571824051934</v>
      </c>
      <c r="D453" s="577" t="n">
        <f aca="false">IF(VLOOKUP(A453,[1]!CPIndex,2)=0,VLOOKUP(A453,[1]!CPIndex,6),0)</f>
        <v>0.0026571824051934</v>
      </c>
      <c r="E453" s="576" t="n">
        <v>445.397293409637</v>
      </c>
      <c r="F453" s="577" t="n">
        <f aca="false">IF(VLOOKUP(A453,[1]!CPIndex,2)=0,(F452*EXP(IF(driftswitch=1,D453,$C$4)-1/2*$D$4^2+$D$4*B453)),VLOOKUP(A453,[1]!CPIndex,2))</f>
        <v>446.322056647796</v>
      </c>
      <c r="G453" s="585" t="n">
        <f aca="false">IF(shiftswitch4=1,(F453-F452)/F452,(E453-E452)/E452)</f>
        <v>0.00265994948436777</v>
      </c>
      <c r="H453" s="578" t="n">
        <f aca="false">G453+1</f>
        <v>1.00265994948437</v>
      </c>
    </row>
    <row r="454" customFormat="false" ht="12.75" hidden="false" customHeight="false" outlineLevel="0" collapsed="false">
      <c r="A454" s="575" t="n">
        <v>48884</v>
      </c>
      <c r="B454" s="190" t="n">
        <v>0.0513513783132294</v>
      </c>
      <c r="C454" s="576" t="n">
        <v>0.0026571824051934</v>
      </c>
      <c r="D454" s="577" t="n">
        <f aca="false">IF(VLOOKUP(A454,[1]!CPIndex,2)=0,VLOOKUP(A454,[1]!CPIndex,6),0)</f>
        <v>0.0026571824051934</v>
      </c>
      <c r="E454" s="576" t="n">
        <v>446.582027710581</v>
      </c>
      <c r="F454" s="577" t="n">
        <f aca="false">IF(VLOOKUP(A454,[1]!CPIndex,2)=0,(F453*EXP(IF(driftswitch=1,D454,$C$4)-1/2*$D$4^2+$D$4*B454)),VLOOKUP(A454,[1]!CPIndex,2))</f>
        <v>447.537664100614</v>
      </c>
      <c r="G454" s="585" t="n">
        <f aca="false">IF(shiftswitch4=1,(F454-F453)/F453,(E454-E453)/E453)</f>
        <v>0.00265994948436779</v>
      </c>
      <c r="H454" s="578" t="n">
        <f aca="false">G454+1</f>
        <v>1.00265994948437</v>
      </c>
    </row>
    <row r="455" customFormat="false" ht="12.75" hidden="false" customHeight="false" outlineLevel="0" collapsed="false">
      <c r="A455" s="575" t="n">
        <v>48914</v>
      </c>
      <c r="B455" s="190" t="n">
        <v>0.0344351358649302</v>
      </c>
      <c r="C455" s="576" t="n">
        <v>0.0026571824051934</v>
      </c>
      <c r="D455" s="577" t="n">
        <f aca="false">IF(VLOOKUP(A455,[1]!CPIndex,2)=0,VLOOKUP(A455,[1]!CPIndex,6),0)</f>
        <v>0.0026571824051934</v>
      </c>
      <c r="E455" s="576" t="n">
        <v>447.769913344918</v>
      </c>
      <c r="F455" s="577" t="n">
        <f aca="false">IF(VLOOKUP(A455,[1]!CPIndex,2)=0,(F454*EXP(IF(driftswitch=1,D455,$C$4)-1/2*$D$4^2+$D$4*B455)),VLOOKUP(A455,[1]!CPIndex,2))</f>
        <v>448.747196743872</v>
      </c>
      <c r="G455" s="585" t="n">
        <f aca="false">IF(shiftswitch4=1,(F455-F454)/F454,(E455-E454)/E454)</f>
        <v>0.00265994948436779</v>
      </c>
      <c r="H455" s="578" t="n">
        <f aca="false">G455+1</f>
        <v>1.00265994948437</v>
      </c>
    </row>
    <row r="456" customFormat="false" ht="12.75" hidden="false" customHeight="false" outlineLevel="0" collapsed="false">
      <c r="A456" s="575" t="n">
        <v>48945</v>
      </c>
      <c r="B456" s="190" t="n">
        <v>0.0369284482799209</v>
      </c>
      <c r="C456" s="576" t="n">
        <v>0.0026571824051934</v>
      </c>
      <c r="D456" s="577" t="n">
        <f aca="false">IF(VLOOKUP(A456,[1]!CPIndex,2)=0,VLOOKUP(A456,[1]!CPIndex,6),0)</f>
        <v>0.0026571824051934</v>
      </c>
      <c r="E456" s="576" t="n">
        <v>448.960958695035</v>
      </c>
      <c r="F456" s="577" t="n">
        <f aca="false">IF(VLOOKUP(A456,[1]!CPIndex,2)=0,(F455*EXP(IF(driftswitch=1,D456,$C$4)-1/2*$D$4^2+$D$4*B456)),VLOOKUP(A456,[1]!CPIndex,2))</f>
        <v>449.96138540962</v>
      </c>
      <c r="G456" s="585" t="n">
        <f aca="false">IF(shiftswitch4=1,(F456-F455)/F455,(E456-E455)/E455)</f>
        <v>0.00265994948436782</v>
      </c>
      <c r="H456" s="578" t="n">
        <f aca="false">G456+1</f>
        <v>1.00265994948437</v>
      </c>
    </row>
    <row r="457" customFormat="false" ht="12.75" hidden="false" customHeight="false" outlineLevel="0" collapsed="false">
      <c r="A457" s="575" t="n">
        <v>48976</v>
      </c>
      <c r="B457" s="190" t="n">
        <v>0.0785007203031475</v>
      </c>
      <c r="C457" s="576" t="n">
        <v>0.0026571824051934</v>
      </c>
      <c r="D457" s="577" t="n">
        <f aca="false">IF(VLOOKUP(A457,[1]!CPIndex,2)=0,VLOOKUP(A457,[1]!CPIndex,6),0)</f>
        <v>0.0026571824051934</v>
      </c>
      <c r="E457" s="576" t="n">
        <v>450.155172165617</v>
      </c>
      <c r="F457" s="577" t="n">
        <f aca="false">IF(VLOOKUP(A457,[1]!CPIndex,2)=0,(F456*EXP(IF(driftswitch=1,D457,$C$4)-1/2*$D$4^2+$D$4*B457)),VLOOKUP(A457,[1]!CPIndex,2))</f>
        <v>451.202050255815</v>
      </c>
      <c r="G457" s="585" t="n">
        <f aca="false">IF(shiftswitch4=1,(F457-F456)/F456,(E457-E456)/E456)</f>
        <v>0.00265994948436773</v>
      </c>
      <c r="H457" s="578" t="n">
        <f aca="false">G457+1</f>
        <v>1.00265994948437</v>
      </c>
    </row>
    <row r="458" customFormat="false" ht="12.75" hidden="false" customHeight="false" outlineLevel="0" collapsed="false">
      <c r="A458" s="575" t="n">
        <v>49004</v>
      </c>
      <c r="B458" s="190" t="n">
        <v>0.0226978535870881</v>
      </c>
      <c r="C458" s="576" t="n">
        <v>0.0026571824051934</v>
      </c>
      <c r="D458" s="577" t="n">
        <f aca="false">IF(VLOOKUP(A458,[1]!CPIndex,2)=0,VLOOKUP(A458,[1]!CPIndex,6),0)</f>
        <v>0.0026571824051934</v>
      </c>
      <c r="E458" s="576" t="n">
        <v>451.352562183704</v>
      </c>
      <c r="F458" s="577" t="n">
        <f aca="false">IF(VLOOKUP(A458,[1]!CPIndex,2)=0,(F457*EXP(IF(driftswitch=1,D458,$C$4)-1/2*$D$4^2+$D$4*B458)),VLOOKUP(A458,[1]!CPIndex,2))</f>
        <v>452.414921001634</v>
      </c>
      <c r="G458" s="585" t="n">
        <f aca="false">IF(shiftswitch4=1,(F458-F457)/F457,(E458-E457)/E457)</f>
        <v>0.00265994948436771</v>
      </c>
      <c r="H458" s="578" t="n">
        <f aca="false">G458+1</f>
        <v>1.00265994948437</v>
      </c>
    </row>
    <row r="459" customFormat="false" ht="12.75" hidden="false" customHeight="false" outlineLevel="0" collapsed="false">
      <c r="A459" s="575" t="n">
        <v>49035</v>
      </c>
      <c r="B459" s="190" t="n">
        <v>0.00480405687852135</v>
      </c>
      <c r="C459" s="576" t="n">
        <v>0.0026571824051934</v>
      </c>
      <c r="D459" s="577" t="n">
        <f aca="false">IF(VLOOKUP(A459,[1]!CPIndex,2)=0,VLOOKUP(A459,[1]!CPIndex,6),0)</f>
        <v>0.0026571824051934</v>
      </c>
      <c r="E459" s="576" t="n">
        <v>452.553137198753</v>
      </c>
      <c r="F459" s="577" t="n">
        <f aca="false">IF(VLOOKUP(A459,[1]!CPIndex,2)=0,(F458*EXP(IF(driftswitch=1,D459,$C$4)-1/2*$D$4^2+$D$4*B459)),VLOOKUP(A459,[1]!CPIndex,2))</f>
        <v>453.62101618877</v>
      </c>
      <c r="G459" s="585" t="n">
        <f aca="false">IF(shiftswitch4=1,(F459-F458)/F458,(E459-E458)/E458)</f>
        <v>0.0026599494843678</v>
      </c>
      <c r="H459" s="578" t="n">
        <f aca="false">G459+1</f>
        <v>1.00265994948437</v>
      </c>
    </row>
    <row r="460" customFormat="false" ht="12.75" hidden="false" customHeight="false" outlineLevel="0" collapsed="false">
      <c r="A460" s="575" t="n">
        <v>49065</v>
      </c>
      <c r="B460" s="190" t="n">
        <v>-0.03173790718487</v>
      </c>
      <c r="C460" s="576" t="n">
        <v>0.0026571824051934</v>
      </c>
      <c r="D460" s="577" t="n">
        <f aca="false">IF(VLOOKUP(A460,[1]!CPIndex,2)=0,VLOOKUP(A460,[1]!CPIndex,6),0)</f>
        <v>0.0026571824051934</v>
      </c>
      <c r="E460" s="576" t="n">
        <v>453.756905682694</v>
      </c>
      <c r="F460" s="577" t="n">
        <f aca="false">IF(VLOOKUP(A460,[1]!CPIndex,2)=0,(F459*EXP(IF(driftswitch=1,D460,$C$4)-1/2*$D$4^2+$D$4*B460)),VLOOKUP(A460,[1]!CPIndex,2))</f>
        <v>454.809777947672</v>
      </c>
      <c r="G460" s="585" t="n">
        <f aca="false">IF(shiftswitch4=1,(F460-F459)/F459,(E460-E459)/E459)</f>
        <v>0.00265994948436779</v>
      </c>
      <c r="H460" s="578" t="n">
        <f aca="false">G460+1</f>
        <v>1.00265994948437</v>
      </c>
    </row>
    <row r="461" customFormat="false" ht="12.75" hidden="false" customHeight="false" outlineLevel="0" collapsed="false">
      <c r="A461" s="575" t="n">
        <v>49096</v>
      </c>
      <c r="B461" s="190" t="n">
        <v>-0.0276331563088538</v>
      </c>
      <c r="C461" s="576" t="n">
        <v>0.0026571824051934</v>
      </c>
      <c r="D461" s="577" t="n">
        <f aca="false">IF(VLOOKUP(A461,[1]!CPIndex,2)=0,VLOOKUP(A461,[1]!CPIndex,6),0)</f>
        <v>0.0026571824051934</v>
      </c>
      <c r="E461" s="576" t="n">
        <v>454.963876129993</v>
      </c>
      <c r="F461" s="577" t="n">
        <f aca="false">IF(VLOOKUP(A461,[1]!CPIndex,2)=0,(F460*EXP(IF(driftswitch=1,D461,$C$4)-1/2*$D$4^2+$D$4*B461)),VLOOKUP(A461,[1]!CPIndex,2))</f>
        <v>456.003969222951</v>
      </c>
      <c r="G461" s="585" t="n">
        <f aca="false">IF(shiftswitch4=1,(F461-F460)/F460,(E461-E460)/E460)</f>
        <v>0.00265994948436778</v>
      </c>
      <c r="H461" s="578" t="n">
        <f aca="false">G461+1</f>
        <v>1.00265994948437</v>
      </c>
    </row>
    <row r="462" customFormat="false" ht="12.75" hidden="false" customHeight="false" outlineLevel="0" collapsed="false">
      <c r="A462" s="575" t="n">
        <v>49126</v>
      </c>
      <c r="B462" s="190" t="n">
        <v>-0.0594741904432252</v>
      </c>
      <c r="C462" s="576" t="n">
        <v>0.0026571824051934</v>
      </c>
      <c r="D462" s="577" t="n">
        <f aca="false">IF(VLOOKUP(A462,[1]!CPIndex,2)=0,VLOOKUP(A462,[1]!CPIndex,6),0)</f>
        <v>0.0026571824051934</v>
      </c>
      <c r="E462" s="576" t="n">
        <v>456.174057057711</v>
      </c>
      <c r="F462" s="577" t="n">
        <f aca="false">IF(VLOOKUP(A462,[1]!CPIndex,2)=0,(F461*EXP(IF(driftswitch=1,D462,$C$4)-1/2*$D$4^2+$D$4*B462)),VLOOKUP(A462,[1]!CPIndex,2))</f>
        <v>457.183297414998</v>
      </c>
      <c r="G462" s="585" t="n">
        <f aca="false">IF(shiftswitch4=1,(F462-F461)/F461,(E462-E461)/E461)</f>
        <v>0.00265994948436778</v>
      </c>
      <c r="H462" s="578" t="n">
        <f aca="false">G462+1</f>
        <v>1.00265994948437</v>
      </c>
    </row>
    <row r="463" customFormat="false" ht="12.75" hidden="false" customHeight="false" outlineLevel="0" collapsed="false">
      <c r="A463" s="575" t="n">
        <v>49157</v>
      </c>
      <c r="B463" s="190" t="n">
        <v>0.0369323577488949</v>
      </c>
      <c r="C463" s="576" t="n">
        <v>0.0026571824051934</v>
      </c>
      <c r="D463" s="577" t="n">
        <f aca="false">IF(VLOOKUP(A463,[1]!CPIndex,2)=0,VLOOKUP(A463,[1]!CPIndex,6),0)</f>
        <v>0.0026571824051934</v>
      </c>
      <c r="E463" s="576" t="n">
        <v>457.387457005563</v>
      </c>
      <c r="F463" s="577" t="n">
        <f aca="false">IF(VLOOKUP(A463,[1]!CPIndex,2)=0,(F462*EXP(IF(driftswitch=1,D463,$C$4)-1/2*$D$4^2+$D$4*B463)),VLOOKUP(A463,[1]!CPIndex,2))</f>
        <v>458.420314105608</v>
      </c>
      <c r="G463" s="585" t="n">
        <f aca="false">IF(shiftswitch4=1,(F463-F462)/F462,(E463-E462)/E462)</f>
        <v>0.00265994948436779</v>
      </c>
      <c r="H463" s="578" t="n">
        <f aca="false">G463+1</f>
        <v>1.00265994948437</v>
      </c>
    </row>
    <row r="464" customFormat="false" ht="12.75" hidden="false" customHeight="false" outlineLevel="0" collapsed="false">
      <c r="A464" s="575" t="n">
        <v>49188</v>
      </c>
      <c r="B464" s="190" t="n">
        <v>-0.00995352262724032</v>
      </c>
      <c r="C464" s="576" t="n">
        <v>0.0026571824051934</v>
      </c>
      <c r="D464" s="577" t="n">
        <f aca="false">IF(VLOOKUP(A464,[1]!CPIndex,2)=0,VLOOKUP(A464,[1]!CPIndex,6),0)</f>
        <v>0.0026571824051934</v>
      </c>
      <c r="E464" s="576" t="n">
        <v>458.604084535982</v>
      </c>
      <c r="F464" s="577" t="n">
        <f aca="false">IF(VLOOKUP(A464,[1]!CPIndex,2)=0,(F463*EXP(IF(driftswitch=1,D464,$C$4)-1/2*$D$4^2+$D$4*B464)),VLOOKUP(A464,[1]!CPIndex,2))</f>
        <v>459.634032508901</v>
      </c>
      <c r="G464" s="585" t="n">
        <f aca="false">IF(shiftswitch4=1,(F464-F463)/F463,(E464-E463)/E463)</f>
        <v>0.00265994948436778</v>
      </c>
      <c r="H464" s="578" t="n">
        <f aca="false">G464+1</f>
        <v>1.00265994948437</v>
      </c>
    </row>
    <row r="465" customFormat="false" ht="12.75" hidden="false" customHeight="false" outlineLevel="0" collapsed="false">
      <c r="A465" s="575" t="n">
        <v>49218</v>
      </c>
      <c r="B465" s="190" t="n">
        <v>0.0471264041135214</v>
      </c>
      <c r="C465" s="576" t="n">
        <v>0.0026571824051934</v>
      </c>
      <c r="D465" s="577" t="n">
        <f aca="false">IF(VLOOKUP(A465,[1]!CPIndex,2)=0,VLOOKUP(A465,[1]!CPIndex,6),0)</f>
        <v>0.0026571824051934</v>
      </c>
      <c r="E465" s="576" t="n">
        <v>459.823948234172</v>
      </c>
      <c r="F465" s="577" t="n">
        <f aca="false">IF(VLOOKUP(A465,[1]!CPIndex,2)=0,(F464*EXP(IF(driftswitch=1,D465,$C$4)-1/2*$D$4^2+$D$4*B465)),VLOOKUP(A465,[1]!CPIndex,2))</f>
        <v>460.883489075769</v>
      </c>
      <c r="G465" s="585" t="n">
        <f aca="false">IF(shiftswitch4=1,(F465-F464)/F464,(E465-E464)/E464)</f>
        <v>0.00265994948436771</v>
      </c>
      <c r="H465" s="578" t="n">
        <f aca="false">G465+1</f>
        <v>1.00265994948437</v>
      </c>
    </row>
    <row r="466" customFormat="false" ht="12.75" hidden="false" customHeight="false" outlineLevel="0" collapsed="false">
      <c r="A466" s="575" t="n">
        <v>49249</v>
      </c>
      <c r="B466" s="190" t="n">
        <v>0.029108784745022</v>
      </c>
      <c r="C466" s="576" t="n">
        <v>0.0026571824051934</v>
      </c>
      <c r="D466" s="577" t="n">
        <f aca="false">IF(VLOOKUP(A466,[1]!CPIndex,2)=0,VLOOKUP(A466,[1]!CPIndex,6),0)</f>
        <v>0.0026571824051934</v>
      </c>
      <c r="E466" s="576" t="n">
        <v>461.047056708177</v>
      </c>
      <c r="F466" s="577" t="n">
        <f aca="false">IF(VLOOKUP(A466,[1]!CPIndex,2)=0,(F465*EXP(IF(driftswitch=1,D466,$C$4)-1/2*$D$4^2+$D$4*B466)),VLOOKUP(A466,[1]!CPIndex,2))</f>
        <v>462.126047355311</v>
      </c>
      <c r="G466" s="585" t="n">
        <f aca="false">IF(shiftswitch4=1,(F466-F465)/F465,(E466-E465)/E465)</f>
        <v>0.00265994948436772</v>
      </c>
      <c r="H466" s="578" t="n">
        <f aca="false">G466+1</f>
        <v>1.00265994948437</v>
      </c>
    </row>
    <row r="467" customFormat="false" ht="12.75" hidden="false" customHeight="false" outlineLevel="0" collapsed="false">
      <c r="A467" s="575" t="n">
        <v>49279</v>
      </c>
      <c r="B467" s="190" t="n">
        <v>0.0485424117239958</v>
      </c>
      <c r="C467" s="576" t="n">
        <v>0.0026571824051934</v>
      </c>
      <c r="D467" s="577" t="n">
        <f aca="false">IF(VLOOKUP(A467,[1]!CPIndex,2)=0,VLOOKUP(A467,[1]!CPIndex,6),0)</f>
        <v>0.0026571824051934</v>
      </c>
      <c r="E467" s="576" t="n">
        <v>462.273418588938</v>
      </c>
      <c r="F467" s="577" t="n">
        <f aca="false">IF(VLOOKUP(A467,[1]!CPIndex,2)=0,(F466*EXP(IF(driftswitch=1,D467,$C$4)-1/2*$D$4^2+$D$4*B467)),VLOOKUP(A467,[1]!CPIndex,2))</f>
        <v>463.383089406209</v>
      </c>
      <c r="G467" s="585" t="n">
        <f aca="false">IF(shiftswitch4=1,(F467-F466)/F466,(E467-E466)/E466)</f>
        <v>0.00265994948436774</v>
      </c>
      <c r="H467" s="578" t="n">
        <f aca="false">G467+1</f>
        <v>1.00265994948437</v>
      </c>
    </row>
    <row r="468" customFormat="false" ht="12.75" hidden="false" customHeight="false" outlineLevel="0" collapsed="false">
      <c r="A468" s="575" t="n">
        <v>49310</v>
      </c>
      <c r="B468" s="190" t="n">
        <v>0.0161670683029843</v>
      </c>
      <c r="C468" s="576" t="n">
        <v>0.0026571824051934</v>
      </c>
      <c r="D468" s="577" t="n">
        <f aca="false">IF(VLOOKUP(A468,[1]!CPIndex,2)=0,VLOOKUP(A468,[1]!CPIndex,6),0)</f>
        <v>0.0026571824051934</v>
      </c>
      <c r="E468" s="576" t="n">
        <v>463.50304253035</v>
      </c>
      <c r="F468" s="577" t="n">
        <f aca="false">IF(VLOOKUP(A468,[1]!CPIndex,2)=0,(F467*EXP(IF(driftswitch=1,D468,$C$4)-1/2*$D$4^2+$D$4*B468)),VLOOKUP(A468,[1]!CPIndex,2))</f>
        <v>464.624952191677</v>
      </c>
      <c r="G468" s="585" t="n">
        <f aca="false">IF(shiftswitch4=1,(F468-F467)/F467,(E468-E467)/E467)</f>
        <v>0.00265994948436777</v>
      </c>
      <c r="H468" s="578" t="n">
        <f aca="false">G468+1</f>
        <v>1.00265994948437</v>
      </c>
    </row>
    <row r="469" customFormat="false" ht="12.75" hidden="false" customHeight="false" outlineLevel="0" collapsed="false">
      <c r="A469" s="575" t="n">
        <v>49341</v>
      </c>
      <c r="B469" s="190" t="n">
        <v>-0.0173075074922156</v>
      </c>
      <c r="C469" s="576" t="n">
        <v>0.0026571824051934</v>
      </c>
      <c r="D469" s="577" t="n">
        <f aca="false">IF(VLOOKUP(A469,[1]!CPIndex,2)=0,VLOOKUP(A469,[1]!CPIndex,6),0)</f>
        <v>0.0026571824051934</v>
      </c>
      <c r="E469" s="576" t="n">
        <v>464.735937209332</v>
      </c>
      <c r="F469" s="577" t="n">
        <f aca="false">IF(VLOOKUP(A469,[1]!CPIndex,2)=0,(F468*EXP(IF(driftswitch=1,D469,$C$4)-1/2*$D$4^2+$D$4*B469)),VLOOKUP(A469,[1]!CPIndex,2))</f>
        <v>465.850862353427</v>
      </c>
      <c r="G469" s="585" t="n">
        <f aca="false">IF(shiftswitch4=1,(F469-F468)/F468,(E469-E468)/E468)</f>
        <v>0.00265994948436776</v>
      </c>
      <c r="H469" s="578" t="n">
        <f aca="false">G469+1</f>
        <v>1.00265994948437</v>
      </c>
    </row>
    <row r="470" customFormat="false" ht="12.75" hidden="false" customHeight="false" outlineLevel="0" collapsed="false">
      <c r="A470" s="575" t="n">
        <v>49369</v>
      </c>
      <c r="B470" s="190" t="n">
        <v>-0.0378115733614598</v>
      </c>
      <c r="C470" s="576" t="n">
        <v>0.0026571824051934</v>
      </c>
      <c r="D470" s="577" t="n">
        <f aca="false">IF(VLOOKUP(A470,[1]!CPIndex,2)=0,VLOOKUP(A470,[1]!CPIndex,6),0)</f>
        <v>0.0026571824051934</v>
      </c>
      <c r="E470" s="576" t="n">
        <v>465.972111325879</v>
      </c>
      <c r="F470" s="577" t="n">
        <f aca="false">IF(VLOOKUP(A470,[1]!CPIndex,2)=0,(F469*EXP(IF(driftswitch=1,D470,$C$4)-1/2*$D$4^2+$D$4*B470)),VLOOKUP(A470,[1]!CPIndex,2))</f>
        <v>467.068166301333</v>
      </c>
      <c r="G470" s="585" t="n">
        <f aca="false">IF(shiftswitch4=1,(F470-F469)/F469,(E470-E469)/E469)</f>
        <v>0.0026599494843678</v>
      </c>
      <c r="H470" s="578" t="n">
        <f aca="false">G470+1</f>
        <v>1.00265994948437</v>
      </c>
    </row>
    <row r="471" customFormat="false" ht="12.75" hidden="false" customHeight="false" outlineLevel="0" collapsed="false">
      <c r="A471" s="575" t="n">
        <v>49400</v>
      </c>
      <c r="B471" s="190" t="n">
        <v>0.0521425902734693</v>
      </c>
      <c r="C471" s="576" t="n">
        <v>0.0026571824051934</v>
      </c>
      <c r="D471" s="577" t="n">
        <f aca="false">IF(VLOOKUP(A471,[1]!CPIndex,2)=0,VLOOKUP(A471,[1]!CPIndex,6),0)</f>
        <v>0.0026571824051934</v>
      </c>
      <c r="E471" s="576" t="n">
        <v>467.21157360313</v>
      </c>
      <c r="F471" s="577" t="n">
        <f aca="false">IF(VLOOKUP(A471,[1]!CPIndex,2)=0,(F470*EXP(IF(driftswitch=1,D471,$C$4)-1/2*$D$4^2+$D$4*B471)),VLOOKUP(A471,[1]!CPIndex,2))</f>
        <v>468.340736227974</v>
      </c>
      <c r="G471" s="585" t="n">
        <f aca="false">IF(shiftswitch4=1,(F471-F470)/F470,(E471-E470)/E470)</f>
        <v>0.00265994948436781</v>
      </c>
      <c r="H471" s="578" t="n">
        <f aca="false">G471+1</f>
        <v>1.00265994948437</v>
      </c>
    </row>
    <row r="472" customFormat="false" ht="12.75" hidden="false" customHeight="false" outlineLevel="0" collapsed="false">
      <c r="A472" s="575" t="n">
        <v>49430</v>
      </c>
      <c r="B472" s="190" t="n">
        <v>-0.0777488657095439</v>
      </c>
      <c r="C472" s="576" t="n">
        <v>0.0026571824051934</v>
      </c>
      <c r="D472" s="577" t="n">
        <f aca="false">IF(VLOOKUP(A472,[1]!CPIndex,2)=0,VLOOKUP(A472,[1]!CPIndex,6),0)</f>
        <v>0.0026571824051934</v>
      </c>
      <c r="E472" s="576" t="n">
        <v>468.454332787426</v>
      </c>
      <c r="F472" s="577" t="n">
        <f aca="false">IF(VLOOKUP(A472,[1]!CPIndex,2)=0,(F471*EXP(IF(driftswitch=1,D472,$C$4)-1/2*$D$4^2+$D$4*B472)),VLOOKUP(A472,[1]!CPIndex,2))</f>
        <v>469.5413608572</v>
      </c>
      <c r="G472" s="585" t="n">
        <f aca="false">IF(shiftswitch4=1,(F472-F471)/F471,(E472-E471)/E471)</f>
        <v>0.00265994948436775</v>
      </c>
      <c r="H472" s="578" t="n">
        <f aca="false">G472+1</f>
        <v>1.00265994948437</v>
      </c>
    </row>
    <row r="473" customFormat="false" ht="12.75" hidden="false" customHeight="false" outlineLevel="0" collapsed="false">
      <c r="A473" s="575" t="n">
        <v>49461</v>
      </c>
      <c r="B473" s="190" t="n">
        <v>0.00196607700331107</v>
      </c>
      <c r="C473" s="576" t="n">
        <v>0.0026571824051934</v>
      </c>
      <c r="D473" s="577" t="n">
        <f aca="false">IF(VLOOKUP(A473,[1]!CPIndex,2)=0,VLOOKUP(A473,[1]!CPIndex,6),0)</f>
        <v>0.0026571824051934</v>
      </c>
      <c r="E473" s="576" t="n">
        <v>469.700397648374</v>
      </c>
      <c r="F473" s="577" t="n">
        <f aca="false">IF(VLOOKUP(A473,[1]!CPIndex,2)=0,(F472*EXP(IF(driftswitch=1,D473,$C$4)-1/2*$D$4^2+$D$4*B473)),VLOOKUP(A473,[1]!CPIndex,2))</f>
        <v>470.791461570881</v>
      </c>
      <c r="G473" s="585" t="n">
        <f aca="false">IF(shiftswitch4=1,(F473-F472)/F472,(E473-E472)/E472)</f>
        <v>0.00265994948436772</v>
      </c>
      <c r="H473" s="578" t="n">
        <f aca="false">G473+1</f>
        <v>1.00265994948437</v>
      </c>
    </row>
    <row r="474" customFormat="false" ht="12.75" hidden="false" customHeight="false" outlineLevel="0" collapsed="false">
      <c r="A474" s="575" t="n">
        <v>49491</v>
      </c>
      <c r="B474" s="190" t="n">
        <v>-0.0041111954019525</v>
      </c>
      <c r="C474" s="576" t="n">
        <v>0.0026571824051934</v>
      </c>
      <c r="D474" s="577" t="n">
        <f aca="false">IF(VLOOKUP(A474,[1]!CPIndex,2)=0,VLOOKUP(A474,[1]!CPIndex,6),0)</f>
        <v>0.0026571824051934</v>
      </c>
      <c r="E474" s="576" t="n">
        <v>470.949776978906</v>
      </c>
      <c r="F474" s="577" t="n">
        <f aca="false">IF(VLOOKUP(A474,[1]!CPIndex,2)=0,(F473*EXP(IF(driftswitch=1,D474,$C$4)-1/2*$D$4^2+$D$4*B474)),VLOOKUP(A474,[1]!CPIndex,2))</f>
        <v>472.041343671869</v>
      </c>
      <c r="G474" s="585" t="n">
        <f aca="false">IF(shiftswitch4=1,(F474-F473)/F473,(E474-E473)/E473)</f>
        <v>0.00265994948436776</v>
      </c>
      <c r="H474" s="578" t="n">
        <f aca="false">G474+1</f>
        <v>1.00265994948437</v>
      </c>
    </row>
    <row r="475" customFormat="false" ht="12.75" hidden="false" customHeight="false" outlineLevel="0" collapsed="false">
      <c r="A475" s="575" t="n">
        <v>49522</v>
      </c>
      <c r="B475" s="190" t="n">
        <v>0.040754049219222</v>
      </c>
      <c r="C475" s="576" t="n">
        <v>0.0026571824051934</v>
      </c>
      <c r="D475" s="577" t="n">
        <f aca="false">IF(VLOOKUP(A475,[1]!CPIndex,2)=0,VLOOKUP(A475,[1]!CPIndex,6),0)</f>
        <v>0.0026571824051934</v>
      </c>
      <c r="E475" s="576" t="n">
        <v>472.202479595344</v>
      </c>
      <c r="F475" s="577" t="n">
        <f aca="false">IF(VLOOKUP(A475,[1]!CPIndex,2)=0,(F474*EXP(IF(driftswitch=1,D475,$C$4)-1/2*$D$4^2+$D$4*B475)),VLOOKUP(A475,[1]!CPIndex,2))</f>
        <v>473.32079876986</v>
      </c>
      <c r="G475" s="585" t="n">
        <f aca="false">IF(shiftswitch4=1,(F475-F474)/F474,(E475-E474)/E474)</f>
        <v>0.0026599494843678</v>
      </c>
      <c r="H475" s="578" t="n">
        <f aca="false">G475+1</f>
        <v>1.00265994948437</v>
      </c>
    </row>
    <row r="476" customFormat="false" ht="12.75" hidden="false" customHeight="false" outlineLevel="0" collapsed="false">
      <c r="A476" s="575" t="n">
        <v>49553</v>
      </c>
      <c r="B476" s="190" t="n">
        <v>0.00584091831226976</v>
      </c>
      <c r="C476" s="576" t="n">
        <v>0.0026571824051934</v>
      </c>
      <c r="D476" s="577" t="n">
        <f aca="false">IF(VLOOKUP(A476,[1]!CPIndex,2)=0,VLOOKUP(A476,[1]!CPIndex,6),0)</f>
        <v>0.0026571824051934</v>
      </c>
      <c r="E476" s="576" t="n">
        <v>473.458514337461</v>
      </c>
      <c r="F476" s="577" t="n">
        <f aca="false">IF(VLOOKUP(A476,[1]!CPIndex,2)=0,(F475*EXP(IF(driftswitch=1,D476,$C$4)-1/2*$D$4^2+$D$4*B476)),VLOOKUP(A476,[1]!CPIndex,2))</f>
        <v>474.583235437436</v>
      </c>
      <c r="G476" s="585" t="n">
        <f aca="false">IF(shiftswitch4=1,(F476-F475)/F475,(E476-E475)/E475)</f>
        <v>0.00265994948436775</v>
      </c>
      <c r="H476" s="578" t="n">
        <f aca="false">G476+1</f>
        <v>1.00265994948437</v>
      </c>
    </row>
    <row r="477" customFormat="false" ht="12.75" hidden="false" customHeight="false" outlineLevel="0" collapsed="false">
      <c r="A477" s="575" t="n">
        <v>49583</v>
      </c>
      <c r="B477" s="190" t="n">
        <v>0.0196053688880169</v>
      </c>
      <c r="C477" s="576" t="n">
        <v>0.0026571824051934</v>
      </c>
      <c r="D477" s="577" t="n">
        <f aca="false">IF(VLOOKUP(A477,[1]!CPIndex,2)=0,VLOOKUP(A477,[1]!CPIndex,6),0)</f>
        <v>0.0026571824051934</v>
      </c>
      <c r="E477" s="576" t="n">
        <v>474.717890068542</v>
      </c>
      <c r="F477" s="577" t="n">
        <f aca="false">IF(VLOOKUP(A477,[1]!CPIndex,2)=0,(F476*EXP(IF(driftswitch=1,D477,$C$4)-1/2*$D$4^2+$D$4*B477)),VLOOKUP(A477,[1]!CPIndex,2))</f>
        <v>475.857137416851</v>
      </c>
      <c r="G477" s="585" t="n">
        <f aca="false">IF(shiftswitch4=1,(F477-F476)/F476,(E477-E476)/E476)</f>
        <v>0.00265994948436772</v>
      </c>
      <c r="H477" s="578" t="n">
        <f aca="false">G477+1</f>
        <v>1.00265994948437</v>
      </c>
    </row>
    <row r="478" customFormat="false" ht="12.75" hidden="false" customHeight="false" outlineLevel="0" collapsed="false">
      <c r="A478" s="575" t="n">
        <v>49614</v>
      </c>
      <c r="B478" s="190" t="n">
        <v>-0.0161147236876116</v>
      </c>
      <c r="C478" s="576" t="n">
        <v>0.0026571824051934</v>
      </c>
      <c r="D478" s="577" t="n">
        <f aca="false">IF(VLOOKUP(A478,[1]!CPIndex,2)=0,VLOOKUP(A478,[1]!CPIndex,6),0)</f>
        <v>0.0026571824051934</v>
      </c>
      <c r="E478" s="576" t="n">
        <v>475.98061567545</v>
      </c>
      <c r="F478" s="577" t="n">
        <f aca="false">IF(VLOOKUP(A478,[1]!CPIndex,2)=0,(F477*EXP(IF(driftswitch=1,D478,$C$4)-1/2*$D$4^2+$D$4*B478)),VLOOKUP(A478,[1]!CPIndex,2))</f>
        <v>477.11338725069</v>
      </c>
      <c r="G478" s="585" t="n">
        <f aca="false">IF(shiftswitch4=1,(F478-F477)/F477,(E478-E477)/E477)</f>
        <v>0.00265994948436775</v>
      </c>
      <c r="H478" s="578" t="n">
        <f aca="false">G478+1</f>
        <v>1.00265994948437</v>
      </c>
    </row>
    <row r="479" customFormat="false" ht="12.75" hidden="false" customHeight="false" outlineLevel="0" collapsed="false">
      <c r="A479" s="575" t="n">
        <v>49644</v>
      </c>
      <c r="B479" s="190" t="n">
        <v>0.00756377425371774</v>
      </c>
      <c r="C479" s="576" t="n">
        <v>0.0026571824051934</v>
      </c>
      <c r="D479" s="577" t="n">
        <f aca="false">IF(VLOOKUP(A479,[1]!CPIndex,2)=0,VLOOKUP(A479,[1]!CPIndex,6),0)</f>
        <v>0.0026571824051934</v>
      </c>
      <c r="E479" s="576" t="n">
        <v>477.246700068685</v>
      </c>
      <c r="F479" s="577" t="n">
        <f aca="false">IF(VLOOKUP(A479,[1]!CPIndex,2)=0,(F478*EXP(IF(driftswitch=1,D479,$C$4)-1/2*$D$4^2+$D$4*B479)),VLOOKUP(A479,[1]!CPIndex,2))</f>
        <v>478.386958492092</v>
      </c>
      <c r="G479" s="585" t="n">
        <f aca="false">IF(shiftswitch4=1,(F479-F478)/F478,(E479-E478)/E478)</f>
        <v>0.00265994948436776</v>
      </c>
      <c r="H479" s="578" t="n">
        <f aca="false">G479+1</f>
        <v>1.00265994948437</v>
      </c>
    </row>
  </sheetData>
  <mergeCells count="2">
    <mergeCell ref="J9:K9"/>
    <mergeCell ref="M9:T9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4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B27" activeCellId="0" sqref="A27:IV30"/>
    </sheetView>
  </sheetViews>
  <sheetFormatPr defaultColWidth="7.9921875" defaultRowHeight="12.75" customHeight="true" zeroHeight="false" outlineLevelRow="0" outlineLevelCol="1"/>
  <cols>
    <col collapsed="false" customWidth="true" hidden="false" outlineLevel="0" max="1" min="1" style="1" width="8.14"/>
    <col collapsed="false" customWidth="true" hidden="false" outlineLevel="0" max="2" min="2" style="1" width="41.99"/>
    <col collapsed="false" customWidth="true" hidden="false" outlineLevel="0" max="3" min="3" style="1" width="3.56"/>
    <col collapsed="false" customWidth="true" hidden="false" outlineLevel="0" max="10" min="4" style="1" width="11.56"/>
    <col collapsed="false" customWidth="true" hidden="true" outlineLevel="1" max="11" min="11" style="1" width="20.13"/>
    <col collapsed="false" customWidth="true" hidden="true" outlineLevel="1" max="25" min="12" style="1" width="10.41"/>
    <col collapsed="false" customWidth="false" hidden="true" outlineLevel="1" max="26" min="26" style="1" width="7.99"/>
    <col collapsed="false" customWidth="true" hidden="false" outlineLevel="0" max="27" min="27" style="2" width="15.13"/>
    <col collapsed="false" customWidth="true" hidden="false" outlineLevel="0" max="28" min="28" style="3" width="4.41"/>
    <col collapsed="false" customWidth="false" hidden="false" outlineLevel="0" max="257" min="29" style="1" width="7.99"/>
  </cols>
  <sheetData>
    <row r="1" customFormat="false" ht="18.75" hidden="false" customHeight="false" outlineLevel="0" collapsed="false">
      <c r="A1" s="4" t="s">
        <v>0</v>
      </c>
      <c r="B1" s="5"/>
      <c r="C1" s="6"/>
      <c r="D1" s="6"/>
      <c r="E1" s="6"/>
      <c r="F1" s="7" t="s">
        <v>1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8"/>
      <c r="Z1" s="9"/>
      <c r="AA1" s="10"/>
      <c r="AB1" s="10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8.75" hidden="false" customHeight="false" outlineLevel="0" collapsed="false">
      <c r="A2" s="4"/>
      <c r="B2" s="5"/>
      <c r="C2" s="6"/>
      <c r="D2" s="6"/>
      <c r="E2" s="6"/>
      <c r="F2" s="7" t="s">
        <v>30</v>
      </c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8"/>
      <c r="Z2" s="9"/>
      <c r="AA2" s="10"/>
      <c r="AB2" s="10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</row>
    <row r="3" customFormat="false" ht="13.5" hidden="false" customHeight="false" outlineLevel="0" collapsed="false">
      <c r="A3" s="11"/>
      <c r="B3" s="12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4"/>
      <c r="Z3" s="15"/>
      <c r="AA3" s="10"/>
      <c r="AB3" s="10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  <c r="IW3" s="13"/>
    </row>
    <row r="4" customFormat="false" ht="19.5" hidden="false" customHeight="false" outlineLevel="0" collapsed="false">
      <c r="A4" s="6"/>
      <c r="B4" s="16" t="s">
        <v>3</v>
      </c>
      <c r="C4" s="17"/>
      <c r="D4" s="18" t="n">
        <f aca="false">(RAROC!$J$67+RAROC!$K$57)/1000</f>
        <v>-12.1001295721987</v>
      </c>
      <c r="E4" s="10"/>
      <c r="F4" s="16" t="s">
        <v>4</v>
      </c>
      <c r="G4" s="19"/>
      <c r="H4" s="20"/>
      <c r="I4" s="20"/>
      <c r="J4" s="21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8"/>
      <c r="Z4" s="9"/>
      <c r="AA4" s="10"/>
      <c r="AB4" s="10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</row>
    <row r="5" customFormat="false" ht="12.75" hidden="false" customHeight="false" outlineLevel="0" collapsed="false">
      <c r="A5" s="22"/>
      <c r="B5" s="23"/>
      <c r="C5" s="22"/>
      <c r="D5" s="22"/>
      <c r="E5" s="10"/>
      <c r="F5" s="24" t="s">
        <v>5</v>
      </c>
      <c r="G5" s="25"/>
      <c r="H5" s="26" t="n">
        <f aca="false">SUM('Common Assumpt'!$G$42:$G$43)</f>
        <v>11.4028007279002</v>
      </c>
      <c r="I5" s="27" t="s">
        <v>6</v>
      </c>
      <c r="J5" s="28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9"/>
      <c r="Z5" s="10"/>
      <c r="AA5" s="10"/>
      <c r="AB5" s="10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  <c r="IS5" s="23"/>
      <c r="IT5" s="23"/>
      <c r="IU5" s="23"/>
      <c r="IV5" s="23"/>
      <c r="IW5" s="23"/>
    </row>
    <row r="6" customFormat="false" ht="12.75" hidden="false" customHeight="false" outlineLevel="0" collapsed="false">
      <c r="A6" s="22"/>
      <c r="B6" s="23"/>
      <c r="C6" s="23"/>
      <c r="D6" s="23"/>
      <c r="E6" s="10"/>
      <c r="F6" s="30" t="s">
        <v>7</v>
      </c>
      <c r="G6" s="10"/>
      <c r="H6" s="31" t="n">
        <f aca="false">+'Common Assumpt'!$G$44</f>
        <v>0.0265196692497692</v>
      </c>
      <c r="I6" s="32" t="s">
        <v>8</v>
      </c>
      <c r="J6" s="3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9"/>
      <c r="Z6" s="10"/>
      <c r="AA6" s="10"/>
      <c r="AB6" s="10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  <c r="IN6" s="23"/>
      <c r="IO6" s="23"/>
      <c r="IP6" s="23"/>
      <c r="IQ6" s="23"/>
      <c r="IR6" s="23"/>
      <c r="IS6" s="23"/>
      <c r="IT6" s="23"/>
      <c r="IU6" s="23"/>
      <c r="IV6" s="23"/>
      <c r="IW6" s="23"/>
    </row>
    <row r="7" customFormat="false" ht="12.75" hidden="false" customHeight="false" outlineLevel="0" collapsed="false">
      <c r="A7" s="34"/>
      <c r="B7" s="34"/>
      <c r="C7" s="34"/>
      <c r="D7" s="34"/>
      <c r="E7" s="10"/>
      <c r="F7" s="35" t="s">
        <v>9</v>
      </c>
      <c r="G7" s="10"/>
      <c r="H7" s="36" t="n">
        <v>1</v>
      </c>
      <c r="I7" s="37" t="s">
        <v>6</v>
      </c>
      <c r="J7" s="38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9"/>
      <c r="Z7" s="10"/>
      <c r="AA7" s="10"/>
      <c r="AB7" s="10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  <c r="IT7" s="23"/>
      <c r="IU7" s="23"/>
      <c r="IV7" s="23"/>
      <c r="IW7" s="23"/>
    </row>
    <row r="8" customFormat="false" ht="12.75" hidden="false" customHeight="false" outlineLevel="0" collapsed="false">
      <c r="A8" s="34"/>
      <c r="B8" s="34"/>
      <c r="C8" s="34"/>
      <c r="D8" s="34"/>
      <c r="E8" s="10"/>
      <c r="F8" s="39" t="s">
        <v>10</v>
      </c>
      <c r="G8" s="40" t="s">
        <v>11</v>
      </c>
      <c r="H8" s="41" t="s">
        <v>12</v>
      </c>
      <c r="I8" s="41" t="s">
        <v>11</v>
      </c>
      <c r="J8" s="42" t="s">
        <v>12</v>
      </c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9"/>
      <c r="Z8" s="10"/>
      <c r="AA8" s="10"/>
      <c r="AB8" s="10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  <c r="IT8" s="23"/>
      <c r="IU8" s="23"/>
      <c r="IV8" s="23"/>
      <c r="IW8" s="23"/>
    </row>
    <row r="9" customFormat="false" ht="12.75" hidden="false" customHeight="false" outlineLevel="0" collapsed="false">
      <c r="A9" s="34"/>
      <c r="B9" s="34"/>
      <c r="C9" s="34"/>
      <c r="D9" s="34"/>
      <c r="E9" s="23"/>
      <c r="F9" s="43" t="s">
        <v>13</v>
      </c>
      <c r="G9" s="44" t="s">
        <v>14</v>
      </c>
      <c r="H9" s="45" t="s">
        <v>14</v>
      </c>
      <c r="I9" s="45" t="s">
        <v>15</v>
      </c>
      <c r="J9" s="46" t="s">
        <v>15</v>
      </c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9"/>
      <c r="Z9" s="10"/>
      <c r="AA9" s="10"/>
      <c r="AB9" s="10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  <c r="IR9" s="23"/>
      <c r="IS9" s="23"/>
      <c r="IT9" s="23"/>
      <c r="IU9" s="23"/>
      <c r="IV9" s="23"/>
      <c r="IW9" s="23"/>
    </row>
    <row r="10" customFormat="false" ht="12.75" hidden="false" customHeight="false" outlineLevel="0" collapsed="false">
      <c r="A10" s="34"/>
      <c r="B10" s="34"/>
      <c r="C10" s="34"/>
      <c r="D10" s="34"/>
      <c r="E10" s="23"/>
      <c r="F10" s="47" t="s">
        <v>16</v>
      </c>
      <c r="G10" s="48" t="n">
        <f aca="false">+AVERAGE(Elba!G15:K15)</f>
        <v>15.4</v>
      </c>
      <c r="H10" s="49" t="n">
        <f aca="false">SUM(SUMPRODUCT(Elba!$G$150:$K$150,Elba!$G$151:$K$151))/SUM(Elba!$G$151:$K$151)</f>
        <v>0.461244300830489</v>
      </c>
      <c r="I10" s="50" t="n">
        <v>0</v>
      </c>
      <c r="J10" s="51" t="s">
        <v>17</v>
      </c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0"/>
      <c r="AB10" s="10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3"/>
    </row>
    <row r="11" customFormat="false" ht="12.75" hidden="false" customHeight="false" outlineLevel="0" collapsed="false">
      <c r="A11" s="34"/>
      <c r="B11" s="34"/>
      <c r="C11" s="34"/>
      <c r="D11" s="34"/>
      <c r="E11" s="23"/>
      <c r="F11" s="52" t="s">
        <v>18</v>
      </c>
      <c r="G11" s="53" t="n">
        <f aca="false">+AVERAGE(Elba!G16:K16)</f>
        <v>3.6</v>
      </c>
      <c r="H11" s="54" t="n">
        <f aca="false">SUM(SUMPRODUCT(Elba!$G$153:$K$153,Elba!$G$154:$K$154))/SUM(Elba!$G$154:$K$154)</f>
        <v>0.521737800246122</v>
      </c>
      <c r="I11" s="55" t="n">
        <v>0</v>
      </c>
      <c r="J11" s="56" t="s">
        <v>17</v>
      </c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0"/>
      <c r="AB11" s="10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</row>
    <row r="12" customFormat="false" ht="13.5" hidden="false" customHeight="false" outlineLevel="0" collapsed="false">
      <c r="A12" s="34"/>
      <c r="B12" s="34"/>
      <c r="C12" s="34"/>
      <c r="D12" s="34"/>
      <c r="E12" s="23"/>
      <c r="F12" s="57" t="s">
        <v>19</v>
      </c>
      <c r="G12" s="58" t="n">
        <f aca="false">+SUM(G10:G11)</f>
        <v>19</v>
      </c>
      <c r="H12" s="59" t="n">
        <f aca="false">(H10*G10*ML+H11*G11*NB)/(G10*ML+G11*NB)</f>
        <v>0.477368329056184</v>
      </c>
      <c r="I12" s="60" t="n">
        <f aca="false">+SUM(I10:I11)</f>
        <v>0</v>
      </c>
      <c r="J12" s="61" t="s">
        <v>17</v>
      </c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0"/>
      <c r="AB12" s="10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  <c r="IV12" s="23"/>
      <c r="IW12" s="23"/>
    </row>
    <row r="13" customFormat="false" ht="12.75" hidden="false" customHeight="false" outlineLevel="0" collapsed="false">
      <c r="A13" s="34"/>
      <c r="B13" s="34"/>
      <c r="C13" s="34"/>
      <c r="D13" s="34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0"/>
      <c r="AB13" s="10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  <c r="IV13" s="23"/>
      <c r="IW13" s="23"/>
    </row>
    <row r="14" customFormat="false" ht="12.75" hidden="false" customHeight="false" outlineLevel="0" collapsed="false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0"/>
      <c r="AB14" s="10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  <c r="IV14" s="23"/>
      <c r="IW14" s="23"/>
    </row>
    <row r="15" customFormat="false" ht="12.75" hidden="false" customHeight="false" outlineLevel="0" collapsed="false">
      <c r="A15" s="62" t="s">
        <v>20</v>
      </c>
      <c r="B15" s="63"/>
      <c r="C15" s="63"/>
      <c r="D15" s="64"/>
      <c r="E15" s="65" t="n">
        <f aca="false">+F15-1</f>
        <v>2002</v>
      </c>
      <c r="F15" s="65" t="n">
        <f aca="false">+[1]CF!D8</f>
        <v>2003</v>
      </c>
      <c r="G15" s="65" t="n">
        <f aca="false">+[1]CF!E8</f>
        <v>2004</v>
      </c>
      <c r="H15" s="65" t="n">
        <f aca="false">+[1]CF!F8</f>
        <v>2005</v>
      </c>
      <c r="I15" s="65" t="n">
        <f aca="false">+[1]CF!G8</f>
        <v>2006</v>
      </c>
      <c r="J15" s="65" t="n">
        <f aca="false">+[1]CF!H8</f>
        <v>2007</v>
      </c>
      <c r="K15" s="65" t="n">
        <f aca="false">+[1]CF!I8</f>
        <v>2008</v>
      </c>
      <c r="L15" s="65" t="n">
        <f aca="false">+[1]CF!J8</f>
        <v>2009</v>
      </c>
      <c r="M15" s="65" t="n">
        <f aca="false">+[1]CF!K8</f>
        <v>2010</v>
      </c>
      <c r="N15" s="65" t="n">
        <f aca="false">+[1]CF!L8</f>
        <v>2011</v>
      </c>
      <c r="O15" s="65" t="n">
        <f aca="false">+[1]CF!M8</f>
        <v>2012</v>
      </c>
      <c r="P15" s="65" t="n">
        <f aca="false">+[1]CF!N8</f>
        <v>2013</v>
      </c>
      <c r="Q15" s="65" t="n">
        <f aca="false">+[1]CF!O8</f>
        <v>2014</v>
      </c>
      <c r="R15" s="65" t="n">
        <f aca="false">+[1]CF!P8</f>
        <v>2015</v>
      </c>
      <c r="S15" s="65" t="n">
        <f aca="false">+[1]CF!Q8</f>
        <v>2016</v>
      </c>
      <c r="T15" s="65" t="n">
        <f aca="false">+[1]CF!R8</f>
        <v>2017</v>
      </c>
      <c r="U15" s="65" t="n">
        <f aca="false">+[1]CF!S8</f>
        <v>2018</v>
      </c>
      <c r="V15" s="65" t="n">
        <f aca="false">+[1]CF!T8</f>
        <v>2019</v>
      </c>
      <c r="W15" s="65" t="n">
        <f aca="false">+[1]CF!U8</f>
        <v>2020</v>
      </c>
      <c r="X15" s="65" t="n">
        <f aca="false">+[1]CF!V8</f>
        <v>2021</v>
      </c>
      <c r="Y15" s="66" t="n">
        <f aca="false">+[1]CF!W8</f>
        <v>2022</v>
      </c>
      <c r="Z15" s="67"/>
      <c r="AA15" s="68" t="s">
        <v>21</v>
      </c>
      <c r="AB15" s="10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  <c r="IV15" s="23"/>
      <c r="IW15" s="23"/>
    </row>
    <row r="16" customFormat="false" ht="12.75" hidden="false" customHeight="false" outlineLevel="0" collapsed="false">
      <c r="A16" s="69" t="s">
        <v>22</v>
      </c>
      <c r="B16" s="10"/>
      <c r="C16" s="10"/>
      <c r="D16" s="10"/>
      <c r="E16" s="70" t="n">
        <v>4</v>
      </c>
      <c r="F16" s="70" t="n">
        <f aca="false">(Elba!H$5-Elba!G$5)*12</f>
        <v>12</v>
      </c>
      <c r="G16" s="70" t="n">
        <f aca="false">(Elba!I$5-Elba!H$5)*12</f>
        <v>12</v>
      </c>
      <c r="H16" s="70" t="n">
        <f aca="false">(Elba!J$5-Elba!I$5)*12</f>
        <v>12</v>
      </c>
      <c r="I16" s="70" t="n">
        <f aca="false">(Elba!K$5-Elba!J$5)*12</f>
        <v>12</v>
      </c>
      <c r="J16" s="70" t="n">
        <f aca="false">(Elba!L$5-Elba!K$5)*12</f>
        <v>12</v>
      </c>
      <c r="K16" s="70" t="n">
        <f aca="false">(Elba!M$5-Elba!L$5)*12</f>
        <v>12</v>
      </c>
      <c r="L16" s="70" t="n">
        <f aca="false">(Elba!N$5-Elba!M$5)*12</f>
        <v>12</v>
      </c>
      <c r="M16" s="70" t="n">
        <f aca="false">(Elba!O$5-Elba!N$5)*12</f>
        <v>12</v>
      </c>
      <c r="N16" s="70" t="n">
        <f aca="false">(Elba!P$5-Elba!O$5)*12</f>
        <v>12</v>
      </c>
      <c r="O16" s="70" t="n">
        <f aca="false">(Elba!Q$5-Elba!P$5)*12</f>
        <v>12</v>
      </c>
      <c r="P16" s="70" t="n">
        <f aca="false">(Elba!R$5-Elba!Q$5)*12</f>
        <v>12</v>
      </c>
      <c r="Q16" s="70" t="n">
        <f aca="false">(Elba!S$5-Elba!R$5)*12</f>
        <v>12</v>
      </c>
      <c r="R16" s="70" t="n">
        <f aca="false">(Elba!T$5-Elba!S$5)*12</f>
        <v>12</v>
      </c>
      <c r="S16" s="70" t="n">
        <f aca="false">(Elba!U$5-Elba!T$5)*12</f>
        <v>12</v>
      </c>
      <c r="T16" s="70" t="n">
        <f aca="false">(Elba!V$5-Elba!U$5)*12</f>
        <v>12</v>
      </c>
      <c r="U16" s="70" t="n">
        <f aca="false">(Elba!W$5-Elba!V$5)*12</f>
        <v>12</v>
      </c>
      <c r="V16" s="70" t="n">
        <v>8</v>
      </c>
      <c r="W16" s="70" t="n">
        <f aca="false">(Elba!Y$5-Elba!X$5)*12</f>
        <v>0</v>
      </c>
      <c r="X16" s="70" t="n">
        <f aca="false">(Elba!Z$5-Elba!Y$5)*12</f>
        <v>0</v>
      </c>
      <c r="Y16" s="71" t="n">
        <v>0</v>
      </c>
      <c r="Z16" s="72"/>
      <c r="AA16" s="73"/>
      <c r="AB16" s="10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  <c r="IV16" s="23"/>
      <c r="IW16" s="23"/>
    </row>
    <row r="17" customFormat="false" ht="12.75" hidden="false" customHeight="false" outlineLevel="0" collapsed="false">
      <c r="A17" s="69" t="s">
        <v>23</v>
      </c>
      <c r="B17" s="10"/>
      <c r="C17" s="10"/>
      <c r="D17" s="10"/>
      <c r="E17" s="74" t="n">
        <f aca="false">+E16/12</f>
        <v>0.333333333333333</v>
      </c>
      <c r="F17" s="74" t="n">
        <f aca="false">+F16/12+E17</f>
        <v>1.33333333333333</v>
      </c>
      <c r="G17" s="74" t="n">
        <f aca="false">+G16/12+F17</f>
        <v>2.33333333333333</v>
      </c>
      <c r="H17" s="74" t="n">
        <f aca="false">+H16/12+G17</f>
        <v>3.33333333333333</v>
      </c>
      <c r="I17" s="74" t="n">
        <f aca="false">+I16/12+H17</f>
        <v>4.33333333333333</v>
      </c>
      <c r="J17" s="74" t="n">
        <f aca="false">+J16/12+I17</f>
        <v>5.33333333333333</v>
      </c>
      <c r="K17" s="74" t="n">
        <f aca="false">+K16/12+J17</f>
        <v>6.33333333333333</v>
      </c>
      <c r="L17" s="74" t="n">
        <f aca="false">+L16/12+K17</f>
        <v>7.33333333333333</v>
      </c>
      <c r="M17" s="74" t="n">
        <f aca="false">+M16/12+L17</f>
        <v>8.33333333333333</v>
      </c>
      <c r="N17" s="74" t="n">
        <f aca="false">+N16/12+M17</f>
        <v>9.33333333333333</v>
      </c>
      <c r="O17" s="74" t="n">
        <f aca="false">+O16/12+N17</f>
        <v>10.3333333333333</v>
      </c>
      <c r="P17" s="74" t="n">
        <f aca="false">+P16/12+O17</f>
        <v>11.3333333333333</v>
      </c>
      <c r="Q17" s="74" t="n">
        <f aca="false">+Q16/12+P17</f>
        <v>12.3333333333333</v>
      </c>
      <c r="R17" s="74" t="n">
        <f aca="false">+R16/12+Q17</f>
        <v>13.3333333333333</v>
      </c>
      <c r="S17" s="74" t="n">
        <f aca="false">+S16/12+R17</f>
        <v>14.3333333333333</v>
      </c>
      <c r="T17" s="74" t="n">
        <f aca="false">+T16/12+S17</f>
        <v>15.3333333333333</v>
      </c>
      <c r="U17" s="74" t="n">
        <f aca="false">+U16/12+T17</f>
        <v>16.3333333333333</v>
      </c>
      <c r="V17" s="74" t="n">
        <f aca="false">+V16/12+U17</f>
        <v>17</v>
      </c>
      <c r="W17" s="74" t="n">
        <f aca="false">+W16/12+V17</f>
        <v>17</v>
      </c>
      <c r="X17" s="74" t="n">
        <f aca="false">+X16/12+W17</f>
        <v>17</v>
      </c>
      <c r="Y17" s="75" t="n">
        <f aca="false">+Y16/12+X17</f>
        <v>17</v>
      </c>
      <c r="Z17" s="72"/>
      <c r="AA17" s="73"/>
      <c r="AB17" s="10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  <c r="IU17" s="23"/>
      <c r="IV17" s="23"/>
      <c r="IW17" s="23"/>
    </row>
    <row r="18" customFormat="false" ht="12.75" hidden="false" customHeight="false" outlineLevel="0" collapsed="false">
      <c r="A18" s="76" t="s">
        <v>24</v>
      </c>
      <c r="B18" s="77"/>
      <c r="C18" s="77"/>
      <c r="D18" s="78"/>
      <c r="E18" s="79" t="n">
        <f aca="false">+Elba!G78*$E$17</f>
        <v>11.6052359811833</v>
      </c>
      <c r="F18" s="79" t="n">
        <f aca="false">Elba!G78*(1-$E$17)+Elba!H78*$E$17</f>
        <v>34.1330470034802</v>
      </c>
      <c r="G18" s="79" t="n">
        <f aca="false">Elba!H78*(1-$E$17)+Elba!I78*$E$17</f>
        <v>32.0850641832714</v>
      </c>
      <c r="H18" s="79" t="n">
        <f aca="false">Elba!I78*(1-$E$17)+Elba!J78*$E$17</f>
        <v>30.7197423031322</v>
      </c>
      <c r="I18" s="79" t="n">
        <f aca="false">Elba!J78*(1-$E$17)+Elba!K78*$E$17</f>
        <v>30.0370813630626</v>
      </c>
      <c r="J18" s="79" t="n">
        <f aca="false">Elba!K78*(1-$E$17)+Elba!L78*$E$17</f>
        <v>19.1145063219489</v>
      </c>
      <c r="K18" s="80" t="n">
        <f aca="false">Elba!L78*(1-$E$17)+Elba!M78*$E$17</f>
        <v>0</v>
      </c>
      <c r="L18" s="80" t="n">
        <f aca="false">Elba!M78*(1-$E$17)+Elba!N78*$E$17</f>
        <v>0</v>
      </c>
      <c r="M18" s="80" t="n">
        <f aca="false">Elba!N78*(1-$E$17)+Elba!O78*$E$17</f>
        <v>0</v>
      </c>
      <c r="N18" s="80" t="n">
        <f aca="false">Elba!O78*(1-$E$17)+Elba!P78*$E$17</f>
        <v>0</v>
      </c>
      <c r="O18" s="80" t="n">
        <f aca="false">Elba!P78*(1-$E$17)+Elba!Q78*$E$17</f>
        <v>0</v>
      </c>
      <c r="P18" s="80" t="n">
        <f aca="false">Elba!Q78*(1-$E$17)+Elba!R78*$E$17</f>
        <v>0</v>
      </c>
      <c r="Q18" s="80" t="n">
        <f aca="false">Elba!R78*(1-$E$17)+Elba!S78*$E$17</f>
        <v>0</v>
      </c>
      <c r="R18" s="80" t="n">
        <f aca="false">Elba!S78*(1-$E$17)+Elba!T78*$E$17</f>
        <v>0</v>
      </c>
      <c r="S18" s="80" t="n">
        <f aca="false">Elba!T78*(1-$E$17)+Elba!U78*$E$17</f>
        <v>0</v>
      </c>
      <c r="T18" s="80" t="n">
        <f aca="false">Elba!U78*(1-$E$17)+Elba!V78*$E$17</f>
        <v>0</v>
      </c>
      <c r="U18" s="80" t="n">
        <f aca="false">Elba!V78*(1-$E$17)+Elba!W78*$E$17</f>
        <v>0</v>
      </c>
      <c r="V18" s="80" t="n">
        <f aca="false">Elba!W78*(1-$E$17)+Elba!X78*$E$17</f>
        <v>0</v>
      </c>
      <c r="W18" s="80" t="n">
        <f aca="false">Elba!X78*(1-$E$17)+Elba!Y78*$E$17</f>
        <v>0</v>
      </c>
      <c r="X18" s="80" t="n">
        <f aca="false">Elba!Y78*(1-$E$17)+Elba!Z78*$E$17</f>
        <v>0</v>
      </c>
      <c r="Y18" s="81" t="n">
        <f aca="false">Elba!Z78*(1-$E$17)+Elba!AA78*$E$17</f>
        <v>0</v>
      </c>
      <c r="Z18" s="72"/>
      <c r="AA18" s="82" t="n">
        <f aca="false">+AVERAGE(K18:T18)</f>
        <v>0</v>
      </c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</row>
    <row r="19" customFormat="false" ht="12.75" hidden="false" customHeight="false" outlineLevel="0" collapsed="false">
      <c r="A19" s="83" t="s">
        <v>25</v>
      </c>
      <c r="B19" s="84"/>
      <c r="C19" s="84"/>
      <c r="D19" s="85"/>
      <c r="E19" s="86" t="n">
        <f aca="false">+Elba!G100*$E$17</f>
        <v>4.24494984086858</v>
      </c>
      <c r="F19" s="86" t="n">
        <f aca="false">+Elba!G100*(1-$E$17)+Elba!H100*$E$17</f>
        <v>12.7348495226057</v>
      </c>
      <c r="G19" s="86" t="n">
        <f aca="false">+Elba!H100*(1-$E$17)+Elba!I100*$E$17</f>
        <v>12.7348495226057</v>
      </c>
      <c r="H19" s="86" t="n">
        <f aca="false">+Elba!I100*(1-$E$17)+Elba!J100*$E$17</f>
        <v>11.6736120623886</v>
      </c>
      <c r="I19" s="86" t="n">
        <f aca="false">+Elba!J100*(1-$E$17)+Elba!K100*$E$17</f>
        <v>9.5511371419543</v>
      </c>
      <c r="J19" s="86" t="n">
        <f aca="false">+Elba!K100*(1-$E$17)+Elba!L100*$E$17</f>
        <v>6.36742476130287</v>
      </c>
      <c r="K19" s="87" t="n">
        <f aca="false">+Elba!L100*(1-$E$17)+Elba!M100*$E$17</f>
        <v>0</v>
      </c>
      <c r="L19" s="87" t="n">
        <f aca="false">+Elba!M100*(1-$E$17)+Elba!N100*$E$17</f>
        <v>0</v>
      </c>
      <c r="M19" s="87" t="n">
        <f aca="false">+Elba!N100*(1-$E$17)+Elba!O100*$E$17</f>
        <v>0</v>
      </c>
      <c r="N19" s="87" t="n">
        <f aca="false">+Elba!O100*(1-$E$17)+Elba!P100*$E$17</f>
        <v>0</v>
      </c>
      <c r="O19" s="87" t="n">
        <f aca="false">+Elba!P100*(1-$E$17)+Elba!Q100*$E$17</f>
        <v>0</v>
      </c>
      <c r="P19" s="87" t="n">
        <f aca="false">+Elba!Q100*(1-$E$17)+Elba!R100*$E$17</f>
        <v>0</v>
      </c>
      <c r="Q19" s="87" t="n">
        <f aca="false">+Elba!R100*(1-$E$17)+Elba!S100*$E$17</f>
        <v>0</v>
      </c>
      <c r="R19" s="87" t="n">
        <f aca="false">+Elba!S100*(1-$E$17)+Elba!T100*$E$17</f>
        <v>0</v>
      </c>
      <c r="S19" s="87" t="n">
        <f aca="false">+Elba!T100*(1-$E$17)+Elba!U100*$E$17</f>
        <v>0</v>
      </c>
      <c r="T19" s="87" t="n">
        <f aca="false">+Elba!U100*(1-$E$17)+Elba!V100*$E$17</f>
        <v>0</v>
      </c>
      <c r="U19" s="87" t="n">
        <f aca="false">+Elba!V100*(1-$E$17)+Elba!W100*$E$17</f>
        <v>0</v>
      </c>
      <c r="V19" s="87" t="n">
        <f aca="false">+Elba!W100*(1-$E$17)+Elba!X100*$E$17</f>
        <v>0</v>
      </c>
      <c r="W19" s="87" t="n">
        <f aca="false">+Elba!X100*(1-$E$17)+Elba!Y100*$E$17</f>
        <v>0</v>
      </c>
      <c r="X19" s="87" t="n">
        <f aca="false">+Elba!Y100*(1-$E$17)+Elba!Z100*$E$17</f>
        <v>0</v>
      </c>
      <c r="Y19" s="88" t="n">
        <f aca="false">+Elba!Z100*(1-$E$17)+Elba!AA100*$E$17</f>
        <v>0</v>
      </c>
      <c r="Z19" s="89"/>
      <c r="AA19" s="90" t="n">
        <f aca="false">+AVERAGE(K19:T19)</f>
        <v>0</v>
      </c>
      <c r="AB19" s="10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  <c r="CJ19" s="84"/>
      <c r="CK19" s="84"/>
      <c r="CL19" s="84"/>
      <c r="CM19" s="84"/>
      <c r="CN19" s="84"/>
      <c r="CO19" s="84"/>
      <c r="CP19" s="84"/>
      <c r="CQ19" s="84"/>
      <c r="CR19" s="84"/>
      <c r="CS19" s="84"/>
      <c r="CT19" s="84"/>
      <c r="CU19" s="84"/>
      <c r="CV19" s="84"/>
      <c r="CW19" s="84"/>
      <c r="CX19" s="84"/>
      <c r="CY19" s="84"/>
      <c r="CZ19" s="84"/>
      <c r="DA19" s="84"/>
      <c r="DB19" s="84"/>
      <c r="DC19" s="84"/>
      <c r="DD19" s="84"/>
      <c r="DE19" s="84"/>
      <c r="DF19" s="84"/>
      <c r="DG19" s="84"/>
      <c r="DH19" s="84"/>
      <c r="DI19" s="84"/>
      <c r="DJ19" s="84"/>
      <c r="DK19" s="84"/>
      <c r="DL19" s="84"/>
      <c r="DM19" s="84"/>
      <c r="DN19" s="84"/>
      <c r="DO19" s="84"/>
      <c r="DP19" s="84"/>
      <c r="DQ19" s="84"/>
      <c r="DR19" s="84"/>
      <c r="DS19" s="84"/>
      <c r="DT19" s="84"/>
      <c r="DU19" s="84"/>
      <c r="DV19" s="84"/>
      <c r="DW19" s="84"/>
      <c r="DX19" s="84"/>
      <c r="DY19" s="84"/>
      <c r="DZ19" s="84"/>
      <c r="EA19" s="84"/>
      <c r="EB19" s="84"/>
      <c r="EC19" s="84"/>
      <c r="ED19" s="84"/>
      <c r="EE19" s="84"/>
      <c r="EF19" s="84"/>
      <c r="EG19" s="84"/>
      <c r="EH19" s="84"/>
      <c r="EI19" s="84"/>
      <c r="EJ19" s="84"/>
      <c r="EK19" s="84"/>
      <c r="EL19" s="84"/>
      <c r="EM19" s="84"/>
      <c r="EN19" s="84"/>
      <c r="EO19" s="84"/>
      <c r="EP19" s="84"/>
      <c r="EQ19" s="84"/>
      <c r="ER19" s="84"/>
      <c r="ES19" s="84"/>
      <c r="ET19" s="84"/>
      <c r="EU19" s="84"/>
      <c r="EV19" s="84"/>
      <c r="EW19" s="84"/>
      <c r="EX19" s="84"/>
      <c r="EY19" s="84"/>
      <c r="EZ19" s="84"/>
      <c r="FA19" s="84"/>
      <c r="FB19" s="84"/>
      <c r="FC19" s="84"/>
      <c r="FD19" s="84"/>
      <c r="FE19" s="84"/>
      <c r="FF19" s="84"/>
      <c r="FG19" s="84"/>
      <c r="FH19" s="84"/>
      <c r="FI19" s="84"/>
      <c r="FJ19" s="84"/>
      <c r="FK19" s="84"/>
      <c r="FL19" s="84"/>
      <c r="FM19" s="84"/>
      <c r="FN19" s="84"/>
      <c r="FO19" s="84"/>
      <c r="FP19" s="84"/>
      <c r="FQ19" s="84"/>
      <c r="FR19" s="84"/>
      <c r="FS19" s="84"/>
      <c r="FT19" s="84"/>
      <c r="FU19" s="84"/>
      <c r="FV19" s="84"/>
      <c r="FW19" s="84"/>
      <c r="FX19" s="84"/>
      <c r="FY19" s="84"/>
      <c r="FZ19" s="84"/>
      <c r="GA19" s="84"/>
      <c r="GB19" s="84"/>
      <c r="GC19" s="84"/>
      <c r="GD19" s="84"/>
      <c r="GE19" s="84"/>
      <c r="GF19" s="84"/>
      <c r="GG19" s="84"/>
      <c r="GH19" s="84"/>
      <c r="GI19" s="84"/>
      <c r="GJ19" s="84"/>
      <c r="GK19" s="84"/>
      <c r="GL19" s="84"/>
      <c r="GM19" s="84"/>
      <c r="GN19" s="84"/>
      <c r="GO19" s="84"/>
      <c r="GP19" s="84"/>
      <c r="GQ19" s="84"/>
      <c r="GR19" s="84"/>
      <c r="GS19" s="84"/>
      <c r="GT19" s="84"/>
      <c r="GU19" s="84"/>
      <c r="GV19" s="84"/>
      <c r="GW19" s="84"/>
      <c r="GX19" s="84"/>
      <c r="GY19" s="84"/>
      <c r="GZ19" s="84"/>
      <c r="HA19" s="84"/>
      <c r="HB19" s="84"/>
      <c r="HC19" s="84"/>
      <c r="HD19" s="84"/>
      <c r="HE19" s="84"/>
      <c r="HF19" s="84"/>
      <c r="HG19" s="84"/>
      <c r="HH19" s="84"/>
      <c r="HI19" s="84"/>
      <c r="HJ19" s="84"/>
      <c r="HK19" s="84"/>
      <c r="HL19" s="84"/>
      <c r="HM19" s="84"/>
      <c r="HN19" s="84"/>
      <c r="HO19" s="84"/>
      <c r="HP19" s="84"/>
      <c r="HQ19" s="84"/>
      <c r="HR19" s="84"/>
      <c r="HS19" s="84"/>
      <c r="HT19" s="84"/>
      <c r="HU19" s="84"/>
      <c r="HV19" s="84"/>
      <c r="HW19" s="84"/>
      <c r="HX19" s="84"/>
      <c r="HY19" s="84"/>
      <c r="HZ19" s="84"/>
      <c r="IA19" s="84"/>
      <c r="IB19" s="84"/>
      <c r="IC19" s="84"/>
      <c r="ID19" s="84"/>
      <c r="IE19" s="84"/>
      <c r="IF19" s="84"/>
      <c r="IG19" s="84"/>
      <c r="IH19" s="84"/>
      <c r="II19" s="84"/>
      <c r="IJ19" s="84"/>
      <c r="IK19" s="84"/>
      <c r="IL19" s="84"/>
      <c r="IM19" s="84"/>
      <c r="IN19" s="84"/>
      <c r="IO19" s="84"/>
      <c r="IP19" s="84"/>
      <c r="IQ19" s="84"/>
      <c r="IR19" s="84"/>
      <c r="IS19" s="84"/>
      <c r="IT19" s="84"/>
      <c r="IU19" s="84"/>
      <c r="IV19" s="84"/>
      <c r="IW19" s="84"/>
    </row>
    <row r="20" customFormat="false" ht="12.75" hidden="false" customHeight="false" outlineLevel="0" collapsed="false">
      <c r="A20" s="91" t="s">
        <v>26</v>
      </c>
      <c r="B20" s="92"/>
      <c r="C20" s="92"/>
      <c r="D20" s="92"/>
      <c r="E20" s="93" t="n">
        <f aca="false">+SUM(E18:E19)</f>
        <v>15.8501858220519</v>
      </c>
      <c r="F20" s="93" t="n">
        <f aca="false">+SUM(F18:F19)</f>
        <v>46.867896526086</v>
      </c>
      <c r="G20" s="93" t="n">
        <f aca="false">+SUM(G18:G19)</f>
        <v>44.8199137058772</v>
      </c>
      <c r="H20" s="93" t="n">
        <f aca="false">+SUM(H18:H19)</f>
        <v>42.3933543655208</v>
      </c>
      <c r="I20" s="93" t="n">
        <f aca="false">+SUM(I18:I19)</f>
        <v>39.5882185050169</v>
      </c>
      <c r="J20" s="93" t="n">
        <f aca="false">+SUM(J18:J19)</f>
        <v>25.4819310832518</v>
      </c>
      <c r="K20" s="94" t="n">
        <f aca="false">+SUM(K18:K19)</f>
        <v>0</v>
      </c>
      <c r="L20" s="94" t="n">
        <f aca="false">+SUM(L18:L19)</f>
        <v>0</v>
      </c>
      <c r="M20" s="94" t="n">
        <f aca="false">+SUM(M18:M19)</f>
        <v>0</v>
      </c>
      <c r="N20" s="94" t="n">
        <f aca="false">+SUM(N18:N19)</f>
        <v>0</v>
      </c>
      <c r="O20" s="94" t="n">
        <f aca="false">+SUM(O18:O19)</f>
        <v>0</v>
      </c>
      <c r="P20" s="94" t="n">
        <f aca="false">+SUM(P18:P19)</f>
        <v>0</v>
      </c>
      <c r="Q20" s="94" t="n">
        <f aca="false">+SUM(Q18:Q19)</f>
        <v>0</v>
      </c>
      <c r="R20" s="94" t="n">
        <f aca="false">+SUM(R18:R19)</f>
        <v>0</v>
      </c>
      <c r="S20" s="94" t="n">
        <f aca="false">+SUM(S18:S19)</f>
        <v>0</v>
      </c>
      <c r="T20" s="94" t="n">
        <f aca="false">+SUM(T18:T19)</f>
        <v>0</v>
      </c>
      <c r="U20" s="94" t="n">
        <f aca="false">+SUM(U18:U19)</f>
        <v>0</v>
      </c>
      <c r="V20" s="94" t="n">
        <f aca="false">+SUM(V18:V19)</f>
        <v>0</v>
      </c>
      <c r="W20" s="94" t="n">
        <f aca="false">+SUM(W18:W19)</f>
        <v>0</v>
      </c>
      <c r="X20" s="94" t="n">
        <f aca="false">+SUM(X18:X19)</f>
        <v>0</v>
      </c>
      <c r="Y20" s="95" t="n">
        <f aca="false">+SUM(Y18:Y19)</f>
        <v>0</v>
      </c>
      <c r="Z20" s="72"/>
      <c r="AA20" s="96" t="n">
        <f aca="false">+AVERAGE(K20:T20)</f>
        <v>0</v>
      </c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</row>
    <row r="21" customFormat="false" ht="12.75" hidden="false" customHeight="false" outlineLevel="0" collapsed="false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97"/>
      <c r="AB21" s="10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3"/>
      <c r="DB21" s="23"/>
      <c r="DC21" s="23"/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3"/>
      <c r="DO21" s="23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  <c r="IU21" s="23"/>
      <c r="IV21" s="23"/>
      <c r="IW21" s="23"/>
    </row>
    <row r="22" customFormat="false" ht="12.75" hidden="false" customHeight="false" outlineLevel="0" collapsed="false">
      <c r="A22" s="98" t="s">
        <v>27</v>
      </c>
      <c r="B22" s="77"/>
      <c r="C22" s="77"/>
      <c r="D22" s="77"/>
      <c r="E22" s="99" t="n">
        <f aca="false">+SUM(RAROC!N$66)*$E$17</f>
        <v>7369.45382250049</v>
      </c>
      <c r="F22" s="99" t="n">
        <f aca="false">+SUM(RAROC!N$66)*(1-$E$17)+SUM(RAROC!O$66)*$E$17</f>
        <v>21827.2860878792</v>
      </c>
      <c r="G22" s="99" t="n">
        <f aca="false">+SUM(RAROC!O$66)*(1-$E$17)+SUM(RAROC!P$66)*$E$17</f>
        <v>20967.2345567081</v>
      </c>
      <c r="H22" s="99" t="n">
        <f aca="false">+SUM(RAROC!P$66)*(1-$E$17)+SUM(RAROC!Q$66)*$E$17</f>
        <v>19952.5957927944</v>
      </c>
      <c r="I22" s="99" t="n">
        <f aca="false">+SUM(RAROC!Q$66)*(1-$E$17)+SUM(RAROC!R$66)*$E$17</f>
        <v>18835.0786284436</v>
      </c>
      <c r="J22" s="99" t="n">
        <f aca="false">+SUM(RAROC!R$66)*(1-$E$17)+SUM(RAROC!S$66)*$E$17</f>
        <v>12183.5954533237</v>
      </c>
      <c r="K22" s="99" t="n">
        <f aca="false">+SUM(RAROC!S$66)*(1-$E$17)+SUM(RAROC!T$66)*$E$17</f>
        <v>0</v>
      </c>
      <c r="L22" s="99" t="n">
        <f aca="false">+SUM(RAROC!T$66)*(1-$E$17)+SUM(RAROC!U$66)*$E$17</f>
        <v>0</v>
      </c>
      <c r="M22" s="99" t="n">
        <f aca="false">+SUM(RAROC!U$66)*(1-$E$17)+SUM(RAROC!V$66)*$E$17</f>
        <v>0</v>
      </c>
      <c r="N22" s="99" t="n">
        <f aca="false">+SUM(RAROC!V$66)*(1-$E$17)+SUM(RAROC!W$66)*$E$17</f>
        <v>0</v>
      </c>
      <c r="O22" s="99" t="n">
        <f aca="false">+SUM(RAROC!W$66)*(1-$E$17)+SUM(RAROC!X$66)*$E$17</f>
        <v>0</v>
      </c>
      <c r="P22" s="99" t="n">
        <f aca="false">+SUM(RAROC!X$66)*(1-$E$17)+SUM(RAROC!Y$66)*$E$17</f>
        <v>0</v>
      </c>
      <c r="Q22" s="99" t="n">
        <f aca="false">+SUM(RAROC!Y$66)*(1-$E$17)+SUM(RAROC!Z$66)*$E$17</f>
        <v>0</v>
      </c>
      <c r="R22" s="99" t="n">
        <f aca="false">+SUM(RAROC!Z$66)*(1-$E$17)+SUM(RAROC!AA$66)*$E$17</f>
        <v>0</v>
      </c>
      <c r="S22" s="99" t="n">
        <f aca="false">+SUM(RAROC!AA$66)*(1-$E$17)+SUM(RAROC!AB$66)*$E$17</f>
        <v>0</v>
      </c>
      <c r="T22" s="99" t="n">
        <f aca="false">+SUM(RAROC!AB$66)*(1-$E$17)+SUM(RAROC!AC$66)*$E$17</f>
        <v>0</v>
      </c>
      <c r="U22" s="99" t="n">
        <f aca="false">+SUM(RAROC!AC$66)*(1-$E$17)+SUM(RAROC!AD$66)*$E$17</f>
        <v>0</v>
      </c>
      <c r="V22" s="99" t="n">
        <f aca="false">+SUM(RAROC!AD$66)*(1-$E$17)+SUM(RAROC!AE$66)*$E$17</f>
        <v>0</v>
      </c>
      <c r="W22" s="99" t="n">
        <f aca="false">+SUM(RAROC!AE$66)*(1-$E$17)+SUM(RAROC!AF$66)*$E$17</f>
        <v>0</v>
      </c>
      <c r="X22" s="99" t="n">
        <f aca="false">+SUM(RAROC!AF$66)*(1-$E$17)+SUM(RAROC!AG$66)*$E$17</f>
        <v>0</v>
      </c>
      <c r="Y22" s="100" t="n">
        <f aca="false">+SUM(RAROC!AG$66)*(1-$E$17)+SUM(RAROC!AH$66)*$E$17</f>
        <v>0</v>
      </c>
      <c r="Z22" s="101"/>
      <c r="AA22" s="102" t="n">
        <f aca="false">+AVERAGE(K22:T22)</f>
        <v>0</v>
      </c>
      <c r="AB22" s="10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3"/>
      <c r="DQ22" s="23"/>
      <c r="DR22" s="23"/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3"/>
      <c r="FP22" s="23"/>
      <c r="FQ22" s="23"/>
      <c r="FR22" s="23"/>
      <c r="FS22" s="23"/>
      <c r="FT22" s="23"/>
      <c r="FU22" s="23"/>
      <c r="FV22" s="23"/>
      <c r="FW22" s="23"/>
      <c r="FX22" s="23"/>
      <c r="FY22" s="23"/>
      <c r="FZ22" s="23"/>
      <c r="GA22" s="23"/>
      <c r="GB22" s="23"/>
      <c r="GC22" s="23"/>
      <c r="GD22" s="23"/>
      <c r="GE22" s="23"/>
      <c r="GF22" s="23"/>
      <c r="GG22" s="23"/>
      <c r="GH22" s="23"/>
      <c r="GI22" s="23"/>
      <c r="GJ22" s="23"/>
      <c r="GK22" s="23"/>
      <c r="GL22" s="23"/>
      <c r="GM22" s="23"/>
      <c r="GN22" s="23"/>
      <c r="GO22" s="23"/>
      <c r="GP22" s="23"/>
      <c r="GQ22" s="23"/>
      <c r="GR22" s="23"/>
      <c r="GS22" s="23"/>
      <c r="GT22" s="23"/>
      <c r="GU22" s="23"/>
      <c r="GV22" s="23"/>
      <c r="GW22" s="23"/>
      <c r="GX22" s="23"/>
      <c r="GY22" s="23"/>
      <c r="GZ22" s="23"/>
      <c r="HA22" s="23"/>
      <c r="HB22" s="23"/>
      <c r="HC22" s="23"/>
      <c r="HD22" s="23"/>
      <c r="HE22" s="23"/>
      <c r="HF22" s="23"/>
      <c r="HG22" s="23"/>
      <c r="HH22" s="23"/>
      <c r="HI22" s="23"/>
      <c r="HJ22" s="23"/>
      <c r="HK22" s="23"/>
      <c r="HL22" s="23"/>
      <c r="HM22" s="23"/>
      <c r="HN22" s="23"/>
      <c r="HO22" s="23"/>
      <c r="HP22" s="23"/>
      <c r="HQ22" s="23"/>
      <c r="HR22" s="23"/>
      <c r="HS22" s="23"/>
      <c r="HT22" s="23"/>
      <c r="HU22" s="23"/>
      <c r="HV22" s="23"/>
      <c r="HW22" s="23"/>
      <c r="HX22" s="23"/>
      <c r="HY22" s="23"/>
      <c r="HZ22" s="23"/>
      <c r="IA22" s="23"/>
      <c r="IB22" s="23"/>
      <c r="IC22" s="23"/>
      <c r="ID22" s="23"/>
      <c r="IE22" s="23"/>
      <c r="IF22" s="23"/>
      <c r="IG22" s="23"/>
      <c r="IH22" s="23"/>
      <c r="II22" s="23"/>
      <c r="IJ22" s="23"/>
      <c r="IK22" s="23"/>
      <c r="IL22" s="23"/>
      <c r="IM22" s="23"/>
      <c r="IN22" s="23"/>
      <c r="IO22" s="23"/>
      <c r="IP22" s="23"/>
      <c r="IQ22" s="23"/>
      <c r="IR22" s="23"/>
      <c r="IS22" s="23"/>
      <c r="IT22" s="23"/>
      <c r="IU22" s="23"/>
      <c r="IV22" s="23"/>
      <c r="IW22" s="23"/>
    </row>
    <row r="23" customFormat="false" ht="12.75" hidden="false" customHeight="false" outlineLevel="0" collapsed="false">
      <c r="A23" s="103"/>
      <c r="B23" s="10"/>
      <c r="C23" s="10"/>
      <c r="D23" s="104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5"/>
      <c r="Z23" s="103"/>
      <c r="AA23" s="106"/>
      <c r="AB23" s="107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3"/>
      <c r="DB23" s="23"/>
      <c r="DC23" s="23"/>
      <c r="DD23" s="23"/>
      <c r="DE23" s="23"/>
      <c r="DF23" s="23"/>
      <c r="DG23" s="23"/>
      <c r="DH23" s="23"/>
      <c r="DI23" s="23"/>
      <c r="DJ23" s="23"/>
      <c r="DK23" s="23"/>
      <c r="DL23" s="23"/>
      <c r="DM23" s="23"/>
      <c r="DN23" s="23"/>
      <c r="DO23" s="23"/>
      <c r="DP23" s="23"/>
      <c r="DQ23" s="23"/>
      <c r="DR23" s="23"/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3"/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3"/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3"/>
      <c r="FD23" s="23"/>
      <c r="FE23" s="23"/>
      <c r="FF23" s="23"/>
      <c r="FG23" s="23"/>
      <c r="FH23" s="23"/>
      <c r="FI23" s="23"/>
      <c r="FJ23" s="23"/>
      <c r="FK23" s="23"/>
      <c r="FL23" s="23"/>
      <c r="FM23" s="23"/>
      <c r="FN23" s="23"/>
      <c r="FO23" s="23"/>
      <c r="FP23" s="23"/>
      <c r="FQ23" s="23"/>
      <c r="FR23" s="23"/>
      <c r="FS23" s="23"/>
      <c r="FT23" s="23"/>
      <c r="FU23" s="23"/>
      <c r="FV23" s="23"/>
      <c r="FW23" s="23"/>
      <c r="FX23" s="23"/>
      <c r="FY23" s="23"/>
      <c r="FZ23" s="23"/>
      <c r="GA23" s="23"/>
      <c r="GB23" s="23"/>
      <c r="GC23" s="23"/>
      <c r="GD23" s="23"/>
      <c r="GE23" s="23"/>
      <c r="GF23" s="23"/>
      <c r="GG23" s="23"/>
      <c r="GH23" s="23"/>
      <c r="GI23" s="23"/>
      <c r="GJ23" s="23"/>
      <c r="GK23" s="23"/>
      <c r="GL23" s="23"/>
      <c r="GM23" s="23"/>
      <c r="GN23" s="23"/>
      <c r="GO23" s="23"/>
      <c r="GP23" s="23"/>
      <c r="GQ23" s="23"/>
      <c r="GR23" s="23"/>
      <c r="GS23" s="23"/>
      <c r="GT23" s="23"/>
      <c r="GU23" s="23"/>
      <c r="GV23" s="23"/>
      <c r="GW23" s="23"/>
      <c r="GX23" s="23"/>
      <c r="GY23" s="23"/>
      <c r="GZ23" s="23"/>
      <c r="HA23" s="23"/>
      <c r="HB23" s="23"/>
      <c r="HC23" s="23"/>
      <c r="HD23" s="23"/>
      <c r="HE23" s="23"/>
      <c r="HF23" s="23"/>
      <c r="HG23" s="23"/>
      <c r="HH23" s="23"/>
      <c r="HI23" s="23"/>
      <c r="HJ23" s="23"/>
      <c r="HK23" s="23"/>
      <c r="HL23" s="23"/>
      <c r="HM23" s="23"/>
      <c r="HN23" s="23"/>
      <c r="HO23" s="23"/>
      <c r="HP23" s="23"/>
      <c r="HQ23" s="23"/>
      <c r="HR23" s="23"/>
      <c r="HS23" s="23"/>
      <c r="HT23" s="23"/>
      <c r="HU23" s="23"/>
      <c r="HV23" s="23"/>
      <c r="HW23" s="23"/>
      <c r="HX23" s="23"/>
      <c r="HY23" s="23"/>
      <c r="HZ23" s="23"/>
      <c r="IA23" s="23"/>
      <c r="IB23" s="23"/>
      <c r="IC23" s="23"/>
      <c r="ID23" s="23"/>
      <c r="IE23" s="23"/>
      <c r="IF23" s="23"/>
      <c r="IG23" s="23"/>
      <c r="IH23" s="23"/>
      <c r="II23" s="23"/>
      <c r="IJ23" s="23"/>
      <c r="IK23" s="23"/>
      <c r="IL23" s="23"/>
      <c r="IM23" s="23"/>
      <c r="IN23" s="23"/>
      <c r="IO23" s="23"/>
      <c r="IP23" s="23"/>
      <c r="IQ23" s="23"/>
      <c r="IR23" s="23"/>
      <c r="IS23" s="23"/>
      <c r="IT23" s="23"/>
      <c r="IU23" s="23"/>
      <c r="IV23" s="23"/>
      <c r="IW23" s="23"/>
    </row>
    <row r="24" customFormat="false" ht="12.75" hidden="false" customHeight="false" outlineLevel="0" collapsed="false">
      <c r="A24" s="108" t="s">
        <v>28</v>
      </c>
      <c r="B24" s="10"/>
      <c r="C24" s="10"/>
      <c r="D24" s="10"/>
      <c r="E24" s="109" t="n">
        <f aca="false">+SUM(RAROC!N$52)*$E$17</f>
        <v>-5558.14762136229</v>
      </c>
      <c r="F24" s="109" t="n">
        <f aca="false">+SUM(RAROC!N$52)*(1-$E$17)+SUM(RAROC!O$52)*$E$17</f>
        <v>-16667.9061785307</v>
      </c>
      <c r="G24" s="109" t="n">
        <f aca="false">+SUM(RAROC!O$52)*(1-$E$17)+SUM(RAROC!P$52)*$E$17</f>
        <v>-16648.6621381007</v>
      </c>
      <c r="H24" s="109" t="n">
        <f aca="false">+SUM(RAROC!P$52)*(1-$E$17)+SUM(RAROC!Q$52)*$E$17</f>
        <v>-16605.4419594145</v>
      </c>
      <c r="I24" s="109" t="n">
        <f aca="false">+SUM(RAROC!Q$52)*(1-$E$17)+SUM(RAROC!R$52)*$E$17</f>
        <v>-16545.3423432706</v>
      </c>
      <c r="J24" s="123" t="n">
        <f aca="false">+SUM(RAROC!R$52)*(1-$E$17)+SUM(RAROC!S$52)*$E$17+RAROC!$R$56</f>
        <v>-74762.4056793466</v>
      </c>
      <c r="K24" s="109" t="n">
        <f aca="false">+SUM(RAROC!S$52)*(1-$E$17)+SUM(RAROC!T$52)*$E$17</f>
        <v>0</v>
      </c>
      <c r="L24" s="109" t="n">
        <f aca="false">+SUM(RAROC!T$52)*(1-$E$17)+SUM(RAROC!U$52)*$E$17</f>
        <v>0</v>
      </c>
      <c r="M24" s="109" t="n">
        <f aca="false">+SUM(RAROC!U$52)*(1-$E$17)+SUM(RAROC!V$52)*$E$17</f>
        <v>0</v>
      </c>
      <c r="N24" s="109" t="n">
        <f aca="false">+SUM(RAROC!V$52)*(1-$E$17)+SUM(RAROC!W$52)*$E$17</f>
        <v>0</v>
      </c>
      <c r="O24" s="109" t="n">
        <f aca="false">+SUM(RAROC!W$52)*(1-$E$17)+SUM(RAROC!X$52)*$E$17</f>
        <v>0</v>
      </c>
      <c r="P24" s="109" t="n">
        <f aca="false">+SUM(RAROC!X$52)*(1-$E$17)+SUM(RAROC!Y$52)*$E$17</f>
        <v>0</v>
      </c>
      <c r="Q24" s="109" t="n">
        <f aca="false">+SUM(RAROC!Y$52)*(1-$E$17)+SUM(RAROC!Z$52)*$E$17</f>
        <v>0</v>
      </c>
      <c r="R24" s="109" t="n">
        <f aca="false">+SUM(RAROC!Z$52)*(1-$E$17)+SUM(RAROC!AA$52)*$E$17</f>
        <v>0</v>
      </c>
      <c r="S24" s="109" t="n">
        <f aca="false">+SUM(RAROC!AA$52)*(1-$E$17)+SUM(RAROC!AB$52)*$E$17</f>
        <v>0</v>
      </c>
      <c r="T24" s="109" t="n">
        <f aca="false">+SUM(RAROC!AB$52)*(1-$E$17)+SUM(RAROC!AC$52)*$E$17</f>
        <v>0</v>
      </c>
      <c r="U24" s="109" t="n">
        <f aca="false">+SUM(RAROC!AC$52)*(1-$E$17)+SUM(RAROC!AD$52)*$E$17</f>
        <v>0</v>
      </c>
      <c r="V24" s="109" t="n">
        <f aca="false">+SUM(RAROC!AD$52)*(1-$E$17)+SUM(RAROC!AE$52)*$E$17</f>
        <v>0</v>
      </c>
      <c r="W24" s="109" t="n">
        <f aca="false">+SUM(RAROC!AE$52)*(1-$E$17)+SUM(RAROC!AF$52)*$E$17</f>
        <v>0</v>
      </c>
      <c r="X24" s="109" t="n">
        <f aca="false">+SUM(RAROC!AF$52)*(1-$E$17)+SUM(RAROC!AG$52)*$E$17</f>
        <v>0</v>
      </c>
      <c r="Y24" s="110" t="n">
        <f aca="false">+SUM(RAROC!AG$52)*(1-$E$17)+SUM(RAROC!AH$52)*$E$17</f>
        <v>0</v>
      </c>
      <c r="Z24" s="103"/>
      <c r="AA24" s="111" t="n">
        <f aca="false">+AVERAGE(K24:T24)</f>
        <v>0</v>
      </c>
      <c r="AB24" s="112"/>
      <c r="AC24" s="113"/>
      <c r="AD24" s="113"/>
      <c r="AE24" s="113"/>
      <c r="AF24" s="113"/>
      <c r="AG24" s="113"/>
      <c r="AH24" s="113"/>
      <c r="AI24" s="113"/>
      <c r="AJ24" s="113"/>
      <c r="AK24" s="113"/>
      <c r="AL24" s="113"/>
      <c r="AM24" s="113"/>
      <c r="AN24" s="113"/>
      <c r="AO24" s="113"/>
      <c r="AP24" s="113"/>
      <c r="AQ24" s="113"/>
      <c r="AR24" s="113"/>
      <c r="AS24" s="113"/>
      <c r="AT24" s="113"/>
      <c r="AU24" s="113"/>
      <c r="AV24" s="113"/>
      <c r="AW24" s="113"/>
      <c r="AX24" s="113"/>
      <c r="AY24" s="113"/>
      <c r="AZ24" s="113"/>
      <c r="BA24" s="113"/>
      <c r="BB24" s="113"/>
      <c r="BC24" s="113"/>
      <c r="BD24" s="113"/>
      <c r="BE24" s="113"/>
      <c r="BF24" s="113"/>
      <c r="BG24" s="113"/>
      <c r="BH24" s="113"/>
      <c r="BI24" s="113"/>
      <c r="BJ24" s="113"/>
      <c r="BK24" s="113"/>
      <c r="BL24" s="113"/>
      <c r="BM24" s="113"/>
      <c r="BN24" s="113"/>
      <c r="BO24" s="113"/>
      <c r="BP24" s="113"/>
      <c r="BQ24" s="113"/>
      <c r="BR24" s="113"/>
      <c r="BS24" s="113"/>
      <c r="BT24" s="113"/>
      <c r="BU24" s="113"/>
      <c r="BV24" s="113"/>
      <c r="BW24" s="113"/>
      <c r="BX24" s="113"/>
      <c r="BY24" s="113"/>
      <c r="BZ24" s="113"/>
      <c r="CA24" s="113"/>
      <c r="CB24" s="113"/>
      <c r="CC24" s="113"/>
      <c r="CD24" s="113"/>
      <c r="CE24" s="113"/>
      <c r="CF24" s="113"/>
      <c r="CG24" s="113"/>
      <c r="CH24" s="113"/>
      <c r="CI24" s="113"/>
      <c r="CJ24" s="113"/>
      <c r="CK24" s="113"/>
      <c r="CL24" s="113"/>
      <c r="CM24" s="113"/>
      <c r="CN24" s="113"/>
      <c r="CO24" s="113"/>
      <c r="CP24" s="113"/>
      <c r="CQ24" s="113"/>
      <c r="CR24" s="113"/>
      <c r="CS24" s="113"/>
      <c r="CT24" s="113"/>
      <c r="CU24" s="113"/>
      <c r="CV24" s="113"/>
      <c r="CW24" s="113"/>
      <c r="CX24" s="113"/>
      <c r="CY24" s="113"/>
      <c r="CZ24" s="113"/>
      <c r="DA24" s="113"/>
      <c r="DB24" s="113"/>
      <c r="DC24" s="113"/>
      <c r="DD24" s="113"/>
      <c r="DE24" s="113"/>
      <c r="DF24" s="113"/>
      <c r="DG24" s="113"/>
      <c r="DH24" s="113"/>
      <c r="DI24" s="113"/>
      <c r="DJ24" s="113"/>
      <c r="DK24" s="113"/>
      <c r="DL24" s="113"/>
      <c r="DM24" s="113"/>
      <c r="DN24" s="113"/>
      <c r="DO24" s="113"/>
      <c r="DP24" s="113"/>
      <c r="DQ24" s="113"/>
      <c r="DR24" s="113"/>
      <c r="DS24" s="113"/>
      <c r="DT24" s="113"/>
      <c r="DU24" s="113"/>
      <c r="DV24" s="113"/>
      <c r="DW24" s="113"/>
      <c r="DX24" s="113"/>
      <c r="DY24" s="113"/>
      <c r="DZ24" s="113"/>
      <c r="EA24" s="113"/>
      <c r="EB24" s="113"/>
      <c r="EC24" s="113"/>
      <c r="ED24" s="113"/>
      <c r="EE24" s="113"/>
      <c r="EF24" s="113"/>
      <c r="EG24" s="113"/>
      <c r="EH24" s="113"/>
      <c r="EI24" s="113"/>
      <c r="EJ24" s="113"/>
      <c r="EK24" s="113"/>
      <c r="EL24" s="113"/>
      <c r="EM24" s="113"/>
      <c r="EN24" s="113"/>
      <c r="EO24" s="113"/>
      <c r="EP24" s="113"/>
      <c r="EQ24" s="113"/>
      <c r="ER24" s="113"/>
      <c r="ES24" s="113"/>
      <c r="ET24" s="113"/>
      <c r="EU24" s="113"/>
      <c r="EV24" s="113"/>
      <c r="EW24" s="113"/>
      <c r="EX24" s="113"/>
      <c r="EY24" s="113"/>
      <c r="EZ24" s="113"/>
      <c r="FA24" s="113"/>
      <c r="FB24" s="113"/>
      <c r="FC24" s="113"/>
      <c r="FD24" s="113"/>
      <c r="FE24" s="113"/>
      <c r="FF24" s="113"/>
      <c r="FG24" s="113"/>
      <c r="FH24" s="113"/>
      <c r="FI24" s="113"/>
      <c r="FJ24" s="113"/>
      <c r="FK24" s="113"/>
      <c r="FL24" s="113"/>
      <c r="FM24" s="113"/>
      <c r="FN24" s="113"/>
      <c r="FO24" s="113"/>
      <c r="FP24" s="113"/>
      <c r="FQ24" s="113"/>
      <c r="FR24" s="113"/>
      <c r="FS24" s="113"/>
      <c r="FT24" s="113"/>
      <c r="FU24" s="113"/>
      <c r="FV24" s="113"/>
      <c r="FW24" s="113"/>
      <c r="FX24" s="113"/>
      <c r="FY24" s="113"/>
      <c r="FZ24" s="113"/>
      <c r="GA24" s="113"/>
      <c r="GB24" s="113"/>
      <c r="GC24" s="113"/>
      <c r="GD24" s="113"/>
      <c r="GE24" s="113"/>
      <c r="GF24" s="113"/>
      <c r="GG24" s="113"/>
      <c r="GH24" s="113"/>
      <c r="GI24" s="113"/>
      <c r="GJ24" s="113"/>
      <c r="GK24" s="113"/>
      <c r="GL24" s="113"/>
      <c r="GM24" s="113"/>
      <c r="GN24" s="113"/>
      <c r="GO24" s="113"/>
      <c r="GP24" s="113"/>
      <c r="GQ24" s="113"/>
      <c r="GR24" s="113"/>
      <c r="GS24" s="113"/>
      <c r="GT24" s="113"/>
      <c r="GU24" s="113"/>
      <c r="GV24" s="113"/>
      <c r="GW24" s="113"/>
      <c r="GX24" s="113"/>
      <c r="GY24" s="113"/>
      <c r="GZ24" s="113"/>
      <c r="HA24" s="113"/>
      <c r="HB24" s="113"/>
      <c r="HC24" s="113"/>
      <c r="HD24" s="113"/>
      <c r="HE24" s="113"/>
      <c r="HF24" s="113"/>
      <c r="HG24" s="113"/>
      <c r="HH24" s="113"/>
      <c r="HI24" s="113"/>
      <c r="HJ24" s="113"/>
      <c r="HK24" s="113"/>
      <c r="HL24" s="113"/>
      <c r="HM24" s="113"/>
      <c r="HN24" s="113"/>
      <c r="HO24" s="113"/>
      <c r="HP24" s="113"/>
      <c r="HQ24" s="113"/>
      <c r="HR24" s="113"/>
      <c r="HS24" s="113"/>
      <c r="HT24" s="113"/>
      <c r="HU24" s="113"/>
      <c r="HV24" s="113"/>
      <c r="HW24" s="113"/>
      <c r="HX24" s="113"/>
      <c r="HY24" s="113"/>
      <c r="HZ24" s="113"/>
      <c r="IA24" s="113"/>
      <c r="IB24" s="113"/>
      <c r="IC24" s="113"/>
      <c r="ID24" s="113"/>
      <c r="IE24" s="113"/>
      <c r="IF24" s="113"/>
      <c r="IG24" s="113"/>
      <c r="IH24" s="113"/>
      <c r="II24" s="113"/>
      <c r="IJ24" s="113"/>
      <c r="IK24" s="113"/>
      <c r="IL24" s="113"/>
      <c r="IM24" s="113"/>
      <c r="IN24" s="113"/>
      <c r="IO24" s="113"/>
      <c r="IP24" s="113"/>
      <c r="IQ24" s="113"/>
      <c r="IR24" s="113"/>
      <c r="IS24" s="113"/>
      <c r="IT24" s="113"/>
      <c r="IU24" s="113"/>
      <c r="IV24" s="113"/>
      <c r="IW24" s="113"/>
    </row>
    <row r="25" customFormat="false" ht="12.75" hidden="false" customHeight="false" outlineLevel="0" collapsed="false">
      <c r="A25" s="103"/>
      <c r="B25" s="10"/>
      <c r="C25" s="10"/>
      <c r="D25" s="114"/>
      <c r="E25" s="10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5"/>
      <c r="Z25" s="103"/>
      <c r="AA25" s="111"/>
      <c r="AB25" s="112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  <c r="IU25" s="23"/>
      <c r="IV25" s="23"/>
      <c r="IW25" s="23"/>
    </row>
    <row r="26" customFormat="false" ht="12.75" hidden="false" customHeight="false" outlineLevel="0" collapsed="false">
      <c r="A26" s="116" t="s">
        <v>29</v>
      </c>
      <c r="B26" s="117"/>
      <c r="C26" s="117"/>
      <c r="D26" s="117"/>
      <c r="E26" s="118" t="n">
        <f aca="false">+E22+E24</f>
        <v>1811.3062011382</v>
      </c>
      <c r="F26" s="118" t="n">
        <f aca="false">+F22+F24</f>
        <v>5159.37990934849</v>
      </c>
      <c r="G26" s="118" t="n">
        <f aca="false">+G22+G24</f>
        <v>4318.57241860746</v>
      </c>
      <c r="H26" s="118" t="n">
        <f aca="false">+H22+H24</f>
        <v>3347.15383337993</v>
      </c>
      <c r="I26" s="118" t="n">
        <f aca="false">+I22+I24</f>
        <v>2289.73628517302</v>
      </c>
      <c r="J26" s="118" t="n">
        <f aca="false">+J22+J24</f>
        <v>-62578.8102260228</v>
      </c>
      <c r="K26" s="118" t="n">
        <f aca="false">+K22+K24</f>
        <v>0</v>
      </c>
      <c r="L26" s="118" t="n">
        <f aca="false">+L22+L24</f>
        <v>0</v>
      </c>
      <c r="M26" s="118" t="n">
        <f aca="false">+M22+M24</f>
        <v>0</v>
      </c>
      <c r="N26" s="118" t="n">
        <f aca="false">+N22+N24</f>
        <v>0</v>
      </c>
      <c r="O26" s="118" t="n">
        <f aca="false">+O22+O24</f>
        <v>0</v>
      </c>
      <c r="P26" s="118" t="n">
        <f aca="false">+P22+P24</f>
        <v>0</v>
      </c>
      <c r="Q26" s="118" t="n">
        <f aca="false">+Q22+Q24</f>
        <v>0</v>
      </c>
      <c r="R26" s="118" t="n">
        <f aca="false">+R22+R24</f>
        <v>0</v>
      </c>
      <c r="S26" s="118" t="n">
        <f aca="false">+S22+S24</f>
        <v>0</v>
      </c>
      <c r="T26" s="118" t="n">
        <f aca="false">+T22+T24</f>
        <v>0</v>
      </c>
      <c r="U26" s="118" t="n">
        <f aca="false">+U22+U24</f>
        <v>0</v>
      </c>
      <c r="V26" s="118" t="n">
        <f aca="false">+V22+V24</f>
        <v>0</v>
      </c>
      <c r="W26" s="118" t="n">
        <f aca="false">+W22+W24</f>
        <v>0</v>
      </c>
      <c r="X26" s="118" t="n">
        <f aca="false">+X22+X24</f>
        <v>0</v>
      </c>
      <c r="Y26" s="119" t="n">
        <f aca="false">+Y22+Y24</f>
        <v>0</v>
      </c>
      <c r="Z26" s="103"/>
      <c r="AA26" s="120" t="n">
        <f aca="false">+AVERAGE(K26:T26)</f>
        <v>0</v>
      </c>
      <c r="AB26" s="121"/>
      <c r="AC26" s="122"/>
      <c r="AD26" s="122"/>
      <c r="AE26" s="122"/>
      <c r="AF26" s="122"/>
      <c r="AG26" s="122"/>
      <c r="AH26" s="122"/>
      <c r="AI26" s="122"/>
      <c r="AJ26" s="122"/>
      <c r="AK26" s="122"/>
      <c r="AL26" s="122"/>
      <c r="AM26" s="122"/>
      <c r="AN26" s="122"/>
      <c r="AO26" s="122"/>
      <c r="AP26" s="122"/>
      <c r="AQ26" s="122"/>
      <c r="AR26" s="122"/>
      <c r="AS26" s="122"/>
      <c r="AT26" s="122"/>
      <c r="AU26" s="122"/>
      <c r="AV26" s="122"/>
      <c r="AW26" s="122"/>
      <c r="AX26" s="122"/>
      <c r="AY26" s="122"/>
      <c r="AZ26" s="122"/>
      <c r="BA26" s="122"/>
      <c r="BB26" s="122"/>
      <c r="BC26" s="122"/>
      <c r="BD26" s="122"/>
      <c r="BE26" s="122"/>
      <c r="BF26" s="122"/>
      <c r="BG26" s="122"/>
      <c r="BH26" s="122"/>
      <c r="BI26" s="122"/>
      <c r="BJ26" s="122"/>
      <c r="BK26" s="122"/>
      <c r="BL26" s="122"/>
      <c r="BM26" s="122"/>
      <c r="BN26" s="122"/>
      <c r="BO26" s="122"/>
      <c r="BP26" s="122"/>
      <c r="BQ26" s="122"/>
      <c r="BR26" s="122"/>
      <c r="BS26" s="122"/>
      <c r="BT26" s="122"/>
      <c r="BU26" s="122"/>
      <c r="BV26" s="122"/>
      <c r="BW26" s="122"/>
      <c r="BX26" s="122"/>
      <c r="BY26" s="122"/>
      <c r="BZ26" s="122"/>
      <c r="CA26" s="122"/>
      <c r="CB26" s="122"/>
      <c r="CC26" s="122"/>
      <c r="CD26" s="122"/>
      <c r="CE26" s="122"/>
      <c r="CF26" s="122"/>
      <c r="CG26" s="122"/>
      <c r="CH26" s="122"/>
      <c r="CI26" s="122"/>
      <c r="CJ26" s="122"/>
      <c r="CK26" s="122"/>
      <c r="CL26" s="122"/>
      <c r="CM26" s="122"/>
      <c r="CN26" s="122"/>
      <c r="CO26" s="122"/>
      <c r="CP26" s="122"/>
      <c r="CQ26" s="122"/>
      <c r="CR26" s="122"/>
      <c r="CS26" s="122"/>
      <c r="CT26" s="122"/>
      <c r="CU26" s="122"/>
      <c r="CV26" s="122"/>
      <c r="CW26" s="122"/>
      <c r="CX26" s="122"/>
      <c r="CY26" s="122"/>
      <c r="CZ26" s="122"/>
      <c r="DA26" s="122"/>
      <c r="DB26" s="122"/>
      <c r="DC26" s="122"/>
      <c r="DD26" s="122"/>
      <c r="DE26" s="122"/>
      <c r="DF26" s="122"/>
      <c r="DG26" s="122"/>
      <c r="DH26" s="122"/>
      <c r="DI26" s="122"/>
      <c r="DJ26" s="122"/>
      <c r="DK26" s="122"/>
      <c r="DL26" s="122"/>
      <c r="DM26" s="122"/>
      <c r="DN26" s="122"/>
      <c r="DO26" s="122"/>
      <c r="DP26" s="122"/>
      <c r="DQ26" s="122"/>
      <c r="DR26" s="122"/>
      <c r="DS26" s="122"/>
      <c r="DT26" s="122"/>
      <c r="DU26" s="122"/>
      <c r="DV26" s="122"/>
      <c r="DW26" s="122"/>
      <c r="DX26" s="122"/>
      <c r="DY26" s="122"/>
      <c r="DZ26" s="122"/>
      <c r="EA26" s="122"/>
      <c r="EB26" s="122"/>
      <c r="EC26" s="122"/>
      <c r="ED26" s="122"/>
      <c r="EE26" s="122"/>
      <c r="EF26" s="122"/>
      <c r="EG26" s="122"/>
      <c r="EH26" s="122"/>
      <c r="EI26" s="122"/>
      <c r="EJ26" s="122"/>
      <c r="EK26" s="122"/>
      <c r="EL26" s="122"/>
      <c r="EM26" s="122"/>
      <c r="EN26" s="122"/>
      <c r="EO26" s="122"/>
      <c r="EP26" s="122"/>
      <c r="EQ26" s="122"/>
      <c r="ER26" s="122"/>
      <c r="ES26" s="122"/>
      <c r="ET26" s="122"/>
      <c r="EU26" s="122"/>
      <c r="EV26" s="122"/>
      <c r="EW26" s="122"/>
      <c r="EX26" s="122"/>
      <c r="EY26" s="122"/>
      <c r="EZ26" s="122"/>
      <c r="FA26" s="122"/>
      <c r="FB26" s="122"/>
      <c r="FC26" s="122"/>
      <c r="FD26" s="122"/>
      <c r="FE26" s="122"/>
      <c r="FF26" s="122"/>
      <c r="FG26" s="122"/>
      <c r="FH26" s="122"/>
      <c r="FI26" s="122"/>
      <c r="FJ26" s="122"/>
      <c r="FK26" s="122"/>
      <c r="FL26" s="122"/>
      <c r="FM26" s="122"/>
      <c r="FN26" s="122"/>
      <c r="FO26" s="122"/>
      <c r="FP26" s="122"/>
      <c r="FQ26" s="122"/>
      <c r="FR26" s="122"/>
      <c r="FS26" s="122"/>
      <c r="FT26" s="122"/>
      <c r="FU26" s="122"/>
      <c r="FV26" s="122"/>
      <c r="FW26" s="122"/>
      <c r="FX26" s="122"/>
      <c r="FY26" s="122"/>
      <c r="FZ26" s="122"/>
      <c r="GA26" s="122"/>
      <c r="GB26" s="122"/>
      <c r="GC26" s="122"/>
      <c r="GD26" s="122"/>
      <c r="GE26" s="122"/>
      <c r="GF26" s="122"/>
      <c r="GG26" s="122"/>
      <c r="GH26" s="122"/>
      <c r="GI26" s="122"/>
      <c r="GJ26" s="122"/>
      <c r="GK26" s="122"/>
      <c r="GL26" s="122"/>
      <c r="GM26" s="122"/>
      <c r="GN26" s="122"/>
      <c r="GO26" s="122"/>
      <c r="GP26" s="122"/>
      <c r="GQ26" s="122"/>
      <c r="GR26" s="122"/>
      <c r="GS26" s="122"/>
      <c r="GT26" s="122"/>
      <c r="GU26" s="122"/>
      <c r="GV26" s="122"/>
      <c r="GW26" s="122"/>
      <c r="GX26" s="122"/>
      <c r="GY26" s="122"/>
      <c r="GZ26" s="122"/>
      <c r="HA26" s="122"/>
      <c r="HB26" s="122"/>
      <c r="HC26" s="122"/>
      <c r="HD26" s="122"/>
      <c r="HE26" s="122"/>
      <c r="HF26" s="122"/>
      <c r="HG26" s="122"/>
      <c r="HH26" s="122"/>
      <c r="HI26" s="122"/>
      <c r="HJ26" s="122"/>
      <c r="HK26" s="122"/>
      <c r="HL26" s="122"/>
      <c r="HM26" s="122"/>
      <c r="HN26" s="122"/>
      <c r="HO26" s="122"/>
      <c r="HP26" s="122"/>
      <c r="HQ26" s="122"/>
      <c r="HR26" s="122"/>
      <c r="HS26" s="122"/>
      <c r="HT26" s="122"/>
      <c r="HU26" s="122"/>
      <c r="HV26" s="122"/>
      <c r="HW26" s="122"/>
      <c r="HX26" s="122"/>
      <c r="HY26" s="122"/>
      <c r="HZ26" s="122"/>
      <c r="IA26" s="122"/>
      <c r="IB26" s="122"/>
      <c r="IC26" s="122"/>
      <c r="ID26" s="122"/>
      <c r="IE26" s="122"/>
      <c r="IF26" s="122"/>
      <c r="IG26" s="122"/>
      <c r="IH26" s="122"/>
      <c r="II26" s="122"/>
      <c r="IJ26" s="122"/>
      <c r="IK26" s="122"/>
      <c r="IL26" s="122"/>
      <c r="IM26" s="122"/>
      <c r="IN26" s="122"/>
      <c r="IO26" s="122"/>
      <c r="IP26" s="122"/>
      <c r="IQ26" s="122"/>
      <c r="IR26" s="122"/>
      <c r="IS26" s="122"/>
      <c r="IT26" s="122"/>
      <c r="IU26" s="122"/>
      <c r="IV26" s="122"/>
      <c r="IW26" s="122"/>
    </row>
    <row r="27" customFormat="false" ht="12.75" hidden="false" customHeight="false" outlineLevel="0" collapsed="false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9"/>
      <c r="AB27" s="10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3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  <c r="IU27" s="23"/>
      <c r="IV27" s="23"/>
      <c r="IW27" s="23"/>
    </row>
    <row r="28" customFormat="false" ht="12.75" hidden="false" customHeight="false" outlineLevel="0" collapsed="false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9"/>
      <c r="AB28" s="10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23"/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  <c r="IU28" s="23"/>
      <c r="IV28" s="23"/>
      <c r="IW28" s="23"/>
    </row>
    <row r="29" customFormat="false" ht="12.75" hidden="false" customHeight="false" outlineLevel="0" collapsed="false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9"/>
      <c r="AB29" s="10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23"/>
      <c r="DB29" s="23"/>
      <c r="DC29" s="23"/>
      <c r="DD29" s="23"/>
      <c r="DE29" s="23"/>
      <c r="DF29" s="23"/>
      <c r="DG29" s="23"/>
      <c r="DH29" s="23"/>
      <c r="DI29" s="23"/>
      <c r="DJ29" s="23"/>
      <c r="DK29" s="23"/>
      <c r="DL29" s="23"/>
      <c r="DM29" s="23"/>
      <c r="DN29" s="23"/>
      <c r="DO29" s="23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  <c r="IU29" s="23"/>
      <c r="IV29" s="23"/>
      <c r="IW29" s="23"/>
    </row>
    <row r="30" customFormat="false" ht="12.75" hidden="false" customHeight="false" outlineLevel="0" collapsed="false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9"/>
      <c r="AB30" s="10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  <c r="IU30" s="23"/>
      <c r="IV30" s="23"/>
      <c r="IW30" s="23"/>
    </row>
    <row r="31" customFormat="false" ht="12.75" hidden="false" customHeight="false" outlineLevel="0" collapsed="false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9"/>
      <c r="AB31" s="10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3"/>
      <c r="CD31" s="23"/>
      <c r="CE31" s="23"/>
      <c r="CF31" s="23"/>
      <c r="CG31" s="23"/>
      <c r="CH31" s="23"/>
      <c r="CI31" s="23"/>
      <c r="CJ31" s="23"/>
      <c r="CK31" s="23"/>
      <c r="CL31" s="23"/>
      <c r="CM31" s="23"/>
      <c r="CN31" s="23"/>
      <c r="CO31" s="23"/>
      <c r="CP31" s="23"/>
      <c r="CQ31" s="23"/>
      <c r="CR31" s="23"/>
      <c r="CS31" s="23"/>
      <c r="CT31" s="23"/>
      <c r="CU31" s="23"/>
      <c r="CV31" s="23"/>
      <c r="CW31" s="23"/>
      <c r="CX31" s="23"/>
      <c r="CY31" s="23"/>
      <c r="CZ31" s="23"/>
      <c r="DA31" s="23"/>
      <c r="DB31" s="23"/>
      <c r="DC31" s="23"/>
      <c r="DD31" s="23"/>
      <c r="DE31" s="23"/>
      <c r="DF31" s="23"/>
      <c r="DG31" s="23"/>
      <c r="DH31" s="23"/>
      <c r="DI31" s="23"/>
      <c r="DJ31" s="23"/>
      <c r="DK31" s="23"/>
      <c r="DL31" s="23"/>
      <c r="DM31" s="23"/>
      <c r="DN31" s="23"/>
      <c r="DO31" s="23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  <c r="IU31" s="23"/>
      <c r="IV31" s="23"/>
      <c r="IW31" s="23"/>
    </row>
    <row r="32" customFormat="false" ht="12.75" hidden="false" customHeight="false" outlineLevel="0" collapsed="false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9"/>
      <c r="AB32" s="10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23"/>
      <c r="DD32" s="23"/>
      <c r="DE32" s="23"/>
      <c r="DF32" s="23"/>
      <c r="DG32" s="23"/>
      <c r="DH32" s="23"/>
      <c r="DI32" s="23"/>
      <c r="DJ32" s="23"/>
      <c r="DK32" s="23"/>
      <c r="DL32" s="23"/>
      <c r="DM32" s="23"/>
      <c r="DN32" s="23"/>
      <c r="DO32" s="23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  <c r="IU32" s="23"/>
      <c r="IV32" s="23"/>
      <c r="IW32" s="23"/>
    </row>
    <row r="33" customFormat="false" ht="12.75" hidden="false" customHeight="false" outlineLevel="0" collapsed="false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9"/>
      <c r="AB33" s="10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3"/>
      <c r="DD33" s="23"/>
      <c r="DE33" s="23"/>
      <c r="DF33" s="23"/>
      <c r="DG33" s="23"/>
      <c r="DH33" s="23"/>
      <c r="DI33" s="23"/>
      <c r="DJ33" s="23"/>
      <c r="DK33" s="23"/>
      <c r="DL33" s="23"/>
      <c r="DM33" s="23"/>
      <c r="DN33" s="23"/>
      <c r="DO33" s="23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  <c r="IU33" s="23"/>
      <c r="IV33" s="23"/>
      <c r="IW33" s="23"/>
    </row>
    <row r="34" customFormat="false" ht="12.75" hidden="false" customHeight="false" outlineLevel="0" collapsed="false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9"/>
      <c r="AB34" s="10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3"/>
      <c r="CD34" s="23"/>
      <c r="CE34" s="23"/>
      <c r="CF34" s="23"/>
      <c r="CG34" s="23"/>
      <c r="CH34" s="23"/>
      <c r="CI34" s="23"/>
      <c r="CJ34" s="23"/>
      <c r="CK34" s="23"/>
      <c r="CL34" s="23"/>
      <c r="CM34" s="23"/>
      <c r="CN34" s="23"/>
      <c r="CO34" s="23"/>
      <c r="CP34" s="23"/>
      <c r="CQ34" s="23"/>
      <c r="CR34" s="23"/>
      <c r="CS34" s="23"/>
      <c r="CT34" s="23"/>
      <c r="CU34" s="23"/>
      <c r="CV34" s="23"/>
      <c r="CW34" s="23"/>
      <c r="CX34" s="23"/>
      <c r="CY34" s="23"/>
      <c r="CZ34" s="23"/>
      <c r="DA34" s="23"/>
      <c r="DB34" s="23"/>
      <c r="DC34" s="23"/>
      <c r="DD34" s="23"/>
      <c r="DE34" s="23"/>
      <c r="DF34" s="23"/>
      <c r="DG34" s="23"/>
      <c r="DH34" s="23"/>
      <c r="DI34" s="23"/>
      <c r="DJ34" s="23"/>
      <c r="DK34" s="23"/>
      <c r="DL34" s="23"/>
      <c r="DM34" s="23"/>
      <c r="DN34" s="23"/>
      <c r="DO34" s="23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  <c r="IU34" s="23"/>
      <c r="IV34" s="23"/>
      <c r="IW34" s="23"/>
    </row>
  </sheetData>
  <printOptions headings="false" gridLines="false" gridLinesSet="true" horizontalCentered="false" verticalCentered="false"/>
  <pageMargins left="0.5" right="0.5" top="0.5" bottom="0.5" header="0.511811023622047" footer="0.5"/>
  <pageSetup paperSize="1" scale="7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 &amp;A&amp;R&amp;D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4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B27" activeCellId="0" sqref="A27:IV30"/>
    </sheetView>
  </sheetViews>
  <sheetFormatPr defaultColWidth="7.9921875" defaultRowHeight="12.75" customHeight="true" zeroHeight="false" outlineLevelRow="0" outlineLevelCol="1"/>
  <cols>
    <col collapsed="false" customWidth="true" hidden="false" outlineLevel="0" max="1" min="1" style="1" width="8.14"/>
    <col collapsed="false" customWidth="true" hidden="false" outlineLevel="0" max="2" min="2" style="1" width="41.99"/>
    <col collapsed="false" customWidth="true" hidden="false" outlineLevel="0" max="3" min="3" style="1" width="3.56"/>
    <col collapsed="false" customWidth="true" hidden="false" outlineLevel="0" max="10" min="4" style="1" width="11.56"/>
    <col collapsed="false" customWidth="true" hidden="true" outlineLevel="1" max="11" min="11" style="1" width="20.13"/>
    <col collapsed="false" customWidth="true" hidden="true" outlineLevel="1" max="25" min="12" style="1" width="10.41"/>
    <col collapsed="false" customWidth="false" hidden="true" outlineLevel="1" max="26" min="26" style="1" width="7.99"/>
    <col collapsed="false" customWidth="true" hidden="false" outlineLevel="0" max="27" min="27" style="2" width="15.13"/>
    <col collapsed="false" customWidth="true" hidden="false" outlineLevel="0" max="28" min="28" style="3" width="4.41"/>
    <col collapsed="false" customWidth="false" hidden="false" outlineLevel="0" max="257" min="29" style="1" width="7.99"/>
  </cols>
  <sheetData>
    <row r="1" customFormat="false" ht="18.75" hidden="false" customHeight="false" outlineLevel="0" collapsed="false">
      <c r="A1" s="4" t="s">
        <v>0</v>
      </c>
      <c r="B1" s="5"/>
      <c r="C1" s="6"/>
      <c r="D1" s="6"/>
      <c r="E1" s="6"/>
      <c r="F1" s="7" t="s">
        <v>1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8"/>
      <c r="Z1" s="9"/>
      <c r="AA1" s="10"/>
      <c r="AB1" s="10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8.75" hidden="false" customHeight="false" outlineLevel="0" collapsed="false">
      <c r="A2" s="4"/>
      <c r="B2" s="5"/>
      <c r="C2" s="6"/>
      <c r="D2" s="6"/>
      <c r="E2" s="6"/>
      <c r="F2" s="7" t="s">
        <v>31</v>
      </c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8"/>
      <c r="Z2" s="9"/>
      <c r="AA2" s="10"/>
      <c r="AB2" s="10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</row>
    <row r="3" customFormat="false" ht="13.5" hidden="false" customHeight="false" outlineLevel="0" collapsed="false">
      <c r="A3" s="11"/>
      <c r="B3" s="12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4"/>
      <c r="Z3" s="15"/>
      <c r="AA3" s="10"/>
      <c r="AB3" s="10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  <c r="IW3" s="13"/>
    </row>
    <row r="4" customFormat="false" ht="19.5" hidden="false" customHeight="false" outlineLevel="0" collapsed="false">
      <c r="A4" s="6"/>
      <c r="B4" s="16" t="s">
        <v>3</v>
      </c>
      <c r="C4" s="17"/>
      <c r="D4" s="124" t="n">
        <f aca="false">+SUM(RAROC!$J$67,RAROC!$K$61,RAROC!$K$70)/1000</f>
        <v>18.9755190274764</v>
      </c>
      <c r="E4" s="10"/>
      <c r="F4" s="16" t="s">
        <v>4</v>
      </c>
      <c r="G4" s="19"/>
      <c r="H4" s="20"/>
      <c r="I4" s="20"/>
      <c r="J4" s="21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8"/>
      <c r="Z4" s="9"/>
      <c r="AA4" s="10"/>
      <c r="AB4" s="10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</row>
    <row r="5" customFormat="false" ht="12.75" hidden="false" customHeight="false" outlineLevel="0" collapsed="false">
      <c r="A5" s="22"/>
      <c r="B5" s="23"/>
      <c r="C5" s="22"/>
      <c r="D5" s="22"/>
      <c r="E5" s="10"/>
      <c r="F5" s="24" t="s">
        <v>5</v>
      </c>
      <c r="G5" s="25"/>
      <c r="H5" s="26" t="n">
        <f aca="false">SUM('Common Assumpt'!$G$42:$G$43)</f>
        <v>11.4028007279002</v>
      </c>
      <c r="I5" s="27" t="s">
        <v>6</v>
      </c>
      <c r="J5" s="28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9"/>
      <c r="Z5" s="10"/>
      <c r="AA5" s="10"/>
      <c r="AB5" s="10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  <c r="IS5" s="23"/>
      <c r="IT5" s="23"/>
      <c r="IU5" s="23"/>
      <c r="IV5" s="23"/>
      <c r="IW5" s="23"/>
    </row>
    <row r="6" customFormat="false" ht="12.75" hidden="false" customHeight="false" outlineLevel="0" collapsed="false">
      <c r="A6" s="22"/>
      <c r="B6" s="23"/>
      <c r="C6" s="23"/>
      <c r="D6" s="23"/>
      <c r="E6" s="10"/>
      <c r="F6" s="30" t="s">
        <v>7</v>
      </c>
      <c r="G6" s="10"/>
      <c r="H6" s="31" t="n">
        <f aca="false">+'Common Assumpt'!$G$44</f>
        <v>0.0265196692497692</v>
      </c>
      <c r="I6" s="32" t="s">
        <v>8</v>
      </c>
      <c r="J6" s="3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9"/>
      <c r="Z6" s="10"/>
      <c r="AA6" s="10"/>
      <c r="AB6" s="10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  <c r="IN6" s="23"/>
      <c r="IO6" s="23"/>
      <c r="IP6" s="23"/>
      <c r="IQ6" s="23"/>
      <c r="IR6" s="23"/>
      <c r="IS6" s="23"/>
      <c r="IT6" s="23"/>
      <c r="IU6" s="23"/>
      <c r="IV6" s="23"/>
      <c r="IW6" s="23"/>
    </row>
    <row r="7" customFormat="false" ht="12.75" hidden="false" customHeight="false" outlineLevel="0" collapsed="false">
      <c r="A7" s="34"/>
      <c r="B7" s="34"/>
      <c r="C7" s="34"/>
      <c r="D7" s="34"/>
      <c r="E7" s="10"/>
      <c r="F7" s="35" t="s">
        <v>9</v>
      </c>
      <c r="G7" s="10"/>
      <c r="H7" s="36" t="n">
        <v>1</v>
      </c>
      <c r="I7" s="37" t="s">
        <v>6</v>
      </c>
      <c r="J7" s="38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9"/>
      <c r="Z7" s="10"/>
      <c r="AA7" s="10"/>
      <c r="AB7" s="10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  <c r="IT7" s="23"/>
      <c r="IU7" s="23"/>
      <c r="IV7" s="23"/>
      <c r="IW7" s="23"/>
    </row>
    <row r="8" customFormat="false" ht="12.75" hidden="false" customHeight="false" outlineLevel="0" collapsed="false">
      <c r="A8" s="34"/>
      <c r="B8" s="34"/>
      <c r="C8" s="34"/>
      <c r="D8" s="34"/>
      <c r="E8" s="10"/>
      <c r="F8" s="39" t="s">
        <v>10</v>
      </c>
      <c r="G8" s="40" t="s">
        <v>11</v>
      </c>
      <c r="H8" s="41" t="s">
        <v>12</v>
      </c>
      <c r="I8" s="41" t="s">
        <v>11</v>
      </c>
      <c r="J8" s="42" t="s">
        <v>12</v>
      </c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9"/>
      <c r="Z8" s="10"/>
      <c r="AA8" s="10"/>
      <c r="AB8" s="10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  <c r="IT8" s="23"/>
      <c r="IU8" s="23"/>
      <c r="IV8" s="23"/>
      <c r="IW8" s="23"/>
    </row>
    <row r="9" customFormat="false" ht="12.75" hidden="false" customHeight="false" outlineLevel="0" collapsed="false">
      <c r="A9" s="34"/>
      <c r="B9" s="34"/>
      <c r="C9" s="34"/>
      <c r="D9" s="34"/>
      <c r="E9" s="23"/>
      <c r="F9" s="43" t="s">
        <v>13</v>
      </c>
      <c r="G9" s="44" t="s">
        <v>14</v>
      </c>
      <c r="H9" s="45" t="s">
        <v>14</v>
      </c>
      <c r="I9" s="45" t="s">
        <v>15</v>
      </c>
      <c r="J9" s="46" t="s">
        <v>15</v>
      </c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9"/>
      <c r="Z9" s="10"/>
      <c r="AA9" s="10"/>
      <c r="AB9" s="10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  <c r="IR9" s="23"/>
      <c r="IS9" s="23"/>
      <c r="IT9" s="23"/>
      <c r="IU9" s="23"/>
      <c r="IV9" s="23"/>
      <c r="IW9" s="23"/>
    </row>
    <row r="10" customFormat="false" ht="12.75" hidden="false" customHeight="false" outlineLevel="0" collapsed="false">
      <c r="A10" s="34"/>
      <c r="B10" s="34"/>
      <c r="C10" s="34"/>
      <c r="D10" s="34"/>
      <c r="E10" s="23"/>
      <c r="F10" s="47" t="s">
        <v>16</v>
      </c>
      <c r="G10" s="48" t="n">
        <f aca="false">+AVERAGE(Elba!G15:K15)</f>
        <v>15.4</v>
      </c>
      <c r="H10" s="49" t="n">
        <f aca="false">SUM(SUMPRODUCT(Elba!$G$150:$K$150,Elba!$G$151:$K$151))/SUM(Elba!$G$151:$K$151)</f>
        <v>0.461244300830489</v>
      </c>
      <c r="I10" s="125" t="n">
        <f aca="false">+AVERAGE(Elba!L21:W21)</f>
        <v>17</v>
      </c>
      <c r="J10" s="126" t="n">
        <f aca="false">SUM(SUMPRODUCT(Elba!$L$150:$W$150,Elba!$L$151:$W$151))/SUM(Elba!$L$151:$W$151)</f>
        <v>0.446378709073113</v>
      </c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0"/>
      <c r="AB10" s="10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3"/>
    </row>
    <row r="11" customFormat="false" ht="12.75" hidden="false" customHeight="false" outlineLevel="0" collapsed="false">
      <c r="A11" s="34"/>
      <c r="B11" s="34"/>
      <c r="C11" s="34"/>
      <c r="D11" s="34"/>
      <c r="E11" s="23"/>
      <c r="F11" s="52" t="s">
        <v>18</v>
      </c>
      <c r="G11" s="53" t="n">
        <f aca="false">+AVERAGE(Elba!G16:K16)</f>
        <v>3.6</v>
      </c>
      <c r="H11" s="54" t="n">
        <f aca="false">SUM(SUMPRODUCT(Elba!$G$153:$K$153,Elba!$G$154:$K$154))/SUM(Elba!$G$154:$K$154)</f>
        <v>0.521737800246122</v>
      </c>
      <c r="I11" s="127" t="n">
        <f aca="false">+AVERAGE(Elba!L22:W22)</f>
        <v>5.25</v>
      </c>
      <c r="J11" s="128" t="n">
        <f aca="false">SUM(SUMPRODUCT(Elba!$L$153:$W$153,Elba!$L$154:$W$154))/SUM(Elba!$L$154:$W$154)</f>
        <v>0.527010051842568</v>
      </c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0"/>
      <c r="AB11" s="10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</row>
    <row r="12" customFormat="false" ht="13.5" hidden="false" customHeight="false" outlineLevel="0" collapsed="false">
      <c r="A12" s="34"/>
      <c r="B12" s="34"/>
      <c r="C12" s="34"/>
      <c r="D12" s="34"/>
      <c r="E12" s="23"/>
      <c r="F12" s="57" t="s">
        <v>19</v>
      </c>
      <c r="G12" s="58" t="n">
        <f aca="false">+SUM(G10:G11)</f>
        <v>19</v>
      </c>
      <c r="H12" s="59" t="n">
        <f aca="false">(H10*G10*ML+H11*G11*NB)/(G10*ML+G11*NB)</f>
        <v>0.477368329056184</v>
      </c>
      <c r="I12" s="60" t="n">
        <f aca="false">+SUM(I10:I11)</f>
        <v>22.25</v>
      </c>
      <c r="J12" s="129" t="n">
        <f aca="false">(J10*I10*ML+J11*I11*NB)/(I10*ML+I11*NB)</f>
        <v>0.472532533939009</v>
      </c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0"/>
      <c r="AB12" s="10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  <c r="IV12" s="23"/>
      <c r="IW12" s="23"/>
    </row>
    <row r="13" customFormat="false" ht="12.75" hidden="false" customHeight="false" outlineLevel="0" collapsed="false">
      <c r="A13" s="34"/>
      <c r="B13" s="34"/>
      <c r="C13" s="34"/>
      <c r="D13" s="34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0"/>
      <c r="AB13" s="10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  <c r="IV13" s="23"/>
      <c r="IW13" s="23"/>
    </row>
    <row r="14" customFormat="false" ht="12.75" hidden="false" customHeight="false" outlineLevel="0" collapsed="false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0"/>
      <c r="AB14" s="10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  <c r="IV14" s="23"/>
      <c r="IW14" s="23"/>
    </row>
    <row r="15" customFormat="false" ht="12.75" hidden="false" customHeight="false" outlineLevel="0" collapsed="false">
      <c r="A15" s="62" t="s">
        <v>20</v>
      </c>
      <c r="B15" s="63"/>
      <c r="C15" s="63"/>
      <c r="D15" s="64"/>
      <c r="E15" s="65" t="n">
        <f aca="false">+F15-1</f>
        <v>2002</v>
      </c>
      <c r="F15" s="65" t="n">
        <f aca="false">+[1]CF!D8</f>
        <v>2003</v>
      </c>
      <c r="G15" s="65" t="n">
        <f aca="false">+[1]CF!E8</f>
        <v>2004</v>
      </c>
      <c r="H15" s="65" t="n">
        <f aca="false">+[1]CF!F8</f>
        <v>2005</v>
      </c>
      <c r="I15" s="65" t="n">
        <f aca="false">+[1]CF!G8</f>
        <v>2006</v>
      </c>
      <c r="J15" s="65" t="n">
        <f aca="false">+[1]CF!H8</f>
        <v>2007</v>
      </c>
      <c r="K15" s="65" t="n">
        <f aca="false">+[1]CF!I8</f>
        <v>2008</v>
      </c>
      <c r="L15" s="65" t="n">
        <f aca="false">+[1]CF!J8</f>
        <v>2009</v>
      </c>
      <c r="M15" s="65" t="n">
        <f aca="false">+[1]CF!K8</f>
        <v>2010</v>
      </c>
      <c r="N15" s="65" t="n">
        <f aca="false">+[1]CF!L8</f>
        <v>2011</v>
      </c>
      <c r="O15" s="65" t="n">
        <f aca="false">+[1]CF!M8</f>
        <v>2012</v>
      </c>
      <c r="P15" s="65" t="n">
        <f aca="false">+[1]CF!N8</f>
        <v>2013</v>
      </c>
      <c r="Q15" s="65" t="n">
        <f aca="false">+[1]CF!O8</f>
        <v>2014</v>
      </c>
      <c r="R15" s="65" t="n">
        <f aca="false">+[1]CF!P8</f>
        <v>2015</v>
      </c>
      <c r="S15" s="65" t="n">
        <f aca="false">+[1]CF!Q8</f>
        <v>2016</v>
      </c>
      <c r="T15" s="65" t="n">
        <f aca="false">+[1]CF!R8</f>
        <v>2017</v>
      </c>
      <c r="U15" s="65" t="n">
        <f aca="false">+[1]CF!S8</f>
        <v>2018</v>
      </c>
      <c r="V15" s="65" t="n">
        <f aca="false">+[1]CF!T8</f>
        <v>2019</v>
      </c>
      <c r="W15" s="65" t="n">
        <f aca="false">+[1]CF!U8</f>
        <v>2020</v>
      </c>
      <c r="X15" s="65" t="n">
        <f aca="false">+[1]CF!V8</f>
        <v>2021</v>
      </c>
      <c r="Y15" s="66" t="n">
        <f aca="false">+[1]CF!W8</f>
        <v>2022</v>
      </c>
      <c r="Z15" s="67"/>
      <c r="AA15" s="68" t="s">
        <v>21</v>
      </c>
      <c r="AB15" s="10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  <c r="IV15" s="23"/>
      <c r="IW15" s="23"/>
    </row>
    <row r="16" customFormat="false" ht="12.75" hidden="false" customHeight="false" outlineLevel="0" collapsed="false">
      <c r="A16" s="69" t="s">
        <v>22</v>
      </c>
      <c r="B16" s="10"/>
      <c r="C16" s="10"/>
      <c r="D16" s="10"/>
      <c r="E16" s="70" t="n">
        <v>4</v>
      </c>
      <c r="F16" s="70" t="n">
        <f aca="false">(Elba!H$5-Elba!G$5)*12</f>
        <v>12</v>
      </c>
      <c r="G16" s="70" t="n">
        <f aca="false">(Elba!I$5-Elba!H$5)*12</f>
        <v>12</v>
      </c>
      <c r="H16" s="70" t="n">
        <f aca="false">(Elba!J$5-Elba!I$5)*12</f>
        <v>12</v>
      </c>
      <c r="I16" s="70" t="n">
        <f aca="false">(Elba!K$5-Elba!J$5)*12</f>
        <v>12</v>
      </c>
      <c r="J16" s="70" t="n">
        <f aca="false">(Elba!L$5-Elba!K$5)*12</f>
        <v>12</v>
      </c>
      <c r="K16" s="70" t="n">
        <f aca="false">(Elba!M$5-Elba!L$5)*12</f>
        <v>12</v>
      </c>
      <c r="L16" s="70" t="n">
        <f aca="false">(Elba!N$5-Elba!M$5)*12</f>
        <v>12</v>
      </c>
      <c r="M16" s="70" t="n">
        <f aca="false">(Elba!O$5-Elba!N$5)*12</f>
        <v>12</v>
      </c>
      <c r="N16" s="70" t="n">
        <f aca="false">(Elba!P$5-Elba!O$5)*12</f>
        <v>12</v>
      </c>
      <c r="O16" s="70" t="n">
        <f aca="false">(Elba!Q$5-Elba!P$5)*12</f>
        <v>12</v>
      </c>
      <c r="P16" s="70" t="n">
        <f aca="false">(Elba!R$5-Elba!Q$5)*12</f>
        <v>12</v>
      </c>
      <c r="Q16" s="70" t="n">
        <f aca="false">(Elba!S$5-Elba!R$5)*12</f>
        <v>12</v>
      </c>
      <c r="R16" s="70" t="n">
        <f aca="false">(Elba!T$5-Elba!S$5)*12</f>
        <v>12</v>
      </c>
      <c r="S16" s="70" t="n">
        <f aca="false">(Elba!U$5-Elba!T$5)*12</f>
        <v>12</v>
      </c>
      <c r="T16" s="70" t="n">
        <f aca="false">(Elba!V$5-Elba!U$5)*12</f>
        <v>12</v>
      </c>
      <c r="U16" s="70" t="n">
        <f aca="false">(Elba!W$5-Elba!V$5)*12</f>
        <v>12</v>
      </c>
      <c r="V16" s="70" t="n">
        <v>8</v>
      </c>
      <c r="W16" s="70" t="n">
        <f aca="false">(Elba!Y$5-Elba!X$5)*12</f>
        <v>0</v>
      </c>
      <c r="X16" s="70" t="n">
        <f aca="false">(Elba!Z$5-Elba!Y$5)*12</f>
        <v>0</v>
      </c>
      <c r="Y16" s="71" t="n">
        <v>0</v>
      </c>
      <c r="Z16" s="72"/>
      <c r="AA16" s="73"/>
      <c r="AB16" s="10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  <c r="IV16" s="23"/>
      <c r="IW16" s="23"/>
    </row>
    <row r="17" customFormat="false" ht="12.75" hidden="false" customHeight="false" outlineLevel="0" collapsed="false">
      <c r="A17" s="69" t="s">
        <v>23</v>
      </c>
      <c r="B17" s="10"/>
      <c r="C17" s="10"/>
      <c r="D17" s="10"/>
      <c r="E17" s="74" t="n">
        <f aca="false">+E16/12</f>
        <v>0.333333333333333</v>
      </c>
      <c r="F17" s="74" t="n">
        <f aca="false">+F16/12+E17</f>
        <v>1.33333333333333</v>
      </c>
      <c r="G17" s="74" t="n">
        <f aca="false">+G16/12+F17</f>
        <v>2.33333333333333</v>
      </c>
      <c r="H17" s="74" t="n">
        <f aca="false">+H16/12+G17</f>
        <v>3.33333333333333</v>
      </c>
      <c r="I17" s="74" t="n">
        <f aca="false">+I16/12+H17</f>
        <v>4.33333333333333</v>
      </c>
      <c r="J17" s="74" t="n">
        <f aca="false">+J16/12+I17</f>
        <v>5.33333333333333</v>
      </c>
      <c r="K17" s="74" t="n">
        <f aca="false">+K16/12+J17</f>
        <v>6.33333333333333</v>
      </c>
      <c r="L17" s="74" t="n">
        <f aca="false">+L16/12+K17</f>
        <v>7.33333333333333</v>
      </c>
      <c r="M17" s="74" t="n">
        <f aca="false">+M16/12+L17</f>
        <v>8.33333333333333</v>
      </c>
      <c r="N17" s="74" t="n">
        <f aca="false">+N16/12+M17</f>
        <v>9.33333333333333</v>
      </c>
      <c r="O17" s="74" t="n">
        <f aca="false">+O16/12+N17</f>
        <v>10.3333333333333</v>
      </c>
      <c r="P17" s="74" t="n">
        <f aca="false">+P16/12+O17</f>
        <v>11.3333333333333</v>
      </c>
      <c r="Q17" s="74" t="n">
        <f aca="false">+Q16/12+P17</f>
        <v>12.3333333333333</v>
      </c>
      <c r="R17" s="74" t="n">
        <f aca="false">+R16/12+Q17</f>
        <v>13.3333333333333</v>
      </c>
      <c r="S17" s="74" t="n">
        <f aca="false">+S16/12+R17</f>
        <v>14.3333333333333</v>
      </c>
      <c r="T17" s="74" t="n">
        <f aca="false">+T16/12+S17</f>
        <v>15.3333333333333</v>
      </c>
      <c r="U17" s="74" t="n">
        <f aca="false">+U16/12+T17</f>
        <v>16.3333333333333</v>
      </c>
      <c r="V17" s="74" t="n">
        <f aca="false">+V16/12+U17</f>
        <v>17</v>
      </c>
      <c r="W17" s="74" t="n">
        <f aca="false">+W16/12+V17</f>
        <v>17</v>
      </c>
      <c r="X17" s="74" t="n">
        <f aca="false">+X16/12+W17</f>
        <v>17</v>
      </c>
      <c r="Y17" s="75" t="n">
        <f aca="false">+Y16/12+X17</f>
        <v>17</v>
      </c>
      <c r="Z17" s="72"/>
      <c r="AA17" s="73"/>
      <c r="AB17" s="10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  <c r="IU17" s="23"/>
      <c r="IV17" s="23"/>
      <c r="IW17" s="23"/>
    </row>
    <row r="18" customFormat="false" ht="12.75" hidden="false" customHeight="false" outlineLevel="0" collapsed="false">
      <c r="A18" s="76" t="s">
        <v>24</v>
      </c>
      <c r="B18" s="77"/>
      <c r="C18" s="77"/>
      <c r="D18" s="78"/>
      <c r="E18" s="79" t="n">
        <f aca="false">+Elba!G77*$E$17</f>
        <v>11.6052359811833</v>
      </c>
      <c r="F18" s="79" t="n">
        <f aca="false">Elba!G77*(1-$E$17)+Elba!H77*$E$17</f>
        <v>34.1330470034802</v>
      </c>
      <c r="G18" s="79" t="n">
        <f aca="false">Elba!H77*(1-$E$17)+Elba!I77*$E$17</f>
        <v>32.0850641832714</v>
      </c>
      <c r="H18" s="79" t="n">
        <f aca="false">Elba!I77*(1-$E$17)+Elba!J77*$E$17</f>
        <v>30.7197423031322</v>
      </c>
      <c r="I18" s="79" t="n">
        <f aca="false">Elba!J77*(1-$E$17)+Elba!K77*$E$17</f>
        <v>30.0370813630626</v>
      </c>
      <c r="J18" s="79" t="n">
        <f aca="false">Elba!K77*(1-$E$17)+Elba!L77*$E$17</f>
        <v>30.7197423031322</v>
      </c>
      <c r="K18" s="80" t="n">
        <f aca="false">Elba!L77*(1-$E$17)+Elba!M77*$E$17</f>
        <v>34.8157079435498</v>
      </c>
      <c r="L18" s="80" t="n">
        <f aca="false">Elba!M77*(1-$E$17)+Elba!N77*$E$17</f>
        <v>34.8157079435498</v>
      </c>
      <c r="M18" s="80" t="n">
        <f aca="false">Elba!N77*(1-$E$17)+Elba!O77*$E$17</f>
        <v>34.8157079435498</v>
      </c>
      <c r="N18" s="80" t="n">
        <f aca="false">Elba!O77*(1-$E$17)+Elba!P77*$E$17</f>
        <v>34.8157079435498</v>
      </c>
      <c r="O18" s="80" t="n">
        <f aca="false">Elba!P77*(1-$E$17)+Elba!Q77*$E$17</f>
        <v>34.8157079435498</v>
      </c>
      <c r="P18" s="80" t="n">
        <f aca="false">Elba!Q77*(1-$E$17)+Elba!R77*$E$17</f>
        <v>34.8157079435498</v>
      </c>
      <c r="Q18" s="80" t="n">
        <f aca="false">Elba!R77*(1-$E$17)+Elba!S77*$E$17</f>
        <v>34.8157079435498</v>
      </c>
      <c r="R18" s="80" t="n">
        <f aca="false">Elba!S77*(1-$E$17)+Elba!T77*$E$17</f>
        <v>34.8157079435498</v>
      </c>
      <c r="S18" s="80" t="n">
        <f aca="false">Elba!T77*(1-$E$17)+Elba!U77*$E$17</f>
        <v>34.8157079435498</v>
      </c>
      <c r="T18" s="80" t="n">
        <f aca="false">Elba!U77*(1-$E$17)+Elba!V77*$E$17</f>
        <v>34.8157079435498</v>
      </c>
      <c r="U18" s="80" t="n">
        <f aca="false">Elba!V77*(1-$E$17)+Elba!W77*$E$17</f>
        <v>34.8157079435498</v>
      </c>
      <c r="V18" s="80" t="n">
        <f aca="false">Elba!W77*(1-$E$17)+Elba!X77*$E$17</f>
        <v>23.2104719623666</v>
      </c>
      <c r="W18" s="80" t="n">
        <f aca="false">Elba!X77*(1-$E$17)+Elba!Y77*$E$17</f>
        <v>0</v>
      </c>
      <c r="X18" s="80" t="n">
        <f aca="false">Elba!Y77*(1-$E$17)+Elba!Z77*$E$17</f>
        <v>0</v>
      </c>
      <c r="Y18" s="81" t="n">
        <f aca="false">Elba!Z77*(1-$E$17)+Elba!AA77*$E$17</f>
        <v>0</v>
      </c>
      <c r="Z18" s="72"/>
      <c r="AA18" s="82" t="n">
        <f aca="false">+AVERAGE(K18:T18)</f>
        <v>34.8157079435498</v>
      </c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</row>
    <row r="19" customFormat="false" ht="12.75" hidden="false" customHeight="false" outlineLevel="0" collapsed="false">
      <c r="A19" s="83" t="s">
        <v>25</v>
      </c>
      <c r="B19" s="84"/>
      <c r="C19" s="84"/>
      <c r="D19" s="85"/>
      <c r="E19" s="86" t="n">
        <f aca="false">+Elba!G99*$E$17</f>
        <v>4.24494984086858</v>
      </c>
      <c r="F19" s="86" t="n">
        <f aca="false">+Elba!G99*(1-$E$17)+Elba!H99*$E$17</f>
        <v>12.7348495226057</v>
      </c>
      <c r="G19" s="86" t="n">
        <f aca="false">+Elba!H99*(1-$E$17)+Elba!I99*$E$17</f>
        <v>12.7348495226057</v>
      </c>
      <c r="H19" s="86" t="n">
        <f aca="false">+Elba!I99*(1-$E$17)+Elba!J99*$E$17</f>
        <v>11.6736120623886</v>
      </c>
      <c r="I19" s="86" t="n">
        <f aca="false">+Elba!J99*(1-$E$17)+Elba!K99*$E$17</f>
        <v>9.5511371419543</v>
      </c>
      <c r="J19" s="86" t="n">
        <f aca="false">+Elba!K99*(1-$E$17)+Elba!L99*$E$17</f>
        <v>10.6123746021714</v>
      </c>
      <c r="K19" s="87" t="n">
        <f aca="false">+Elba!L99*(1-$E$17)+Elba!M99*$E$17</f>
        <v>12.7348495226057</v>
      </c>
      <c r="L19" s="87" t="n">
        <f aca="false">+Elba!M99*(1-$E$17)+Elba!N99*$E$17</f>
        <v>12.7348495226057</v>
      </c>
      <c r="M19" s="87" t="n">
        <f aca="false">+Elba!N99*(1-$E$17)+Elba!O99*$E$17</f>
        <v>13.7960869828229</v>
      </c>
      <c r="N19" s="87" t="n">
        <f aca="false">+Elba!O99*(1-$E$17)+Elba!P99*$E$17</f>
        <v>15.9185619032572</v>
      </c>
      <c r="O19" s="87" t="n">
        <f aca="false">+Elba!P99*(1-$E$17)+Elba!Q99*$E$17</f>
        <v>15.9185619032572</v>
      </c>
      <c r="P19" s="87" t="n">
        <f aca="false">+Elba!Q99*(1-$E$17)+Elba!R99*$E$17</f>
        <v>16.9797993634743</v>
      </c>
      <c r="Q19" s="87" t="n">
        <f aca="false">+Elba!R99*(1-$E$17)+Elba!S99*$E$17</f>
        <v>19.1022742839086</v>
      </c>
      <c r="R19" s="87" t="n">
        <f aca="false">+Elba!S99*(1-$E$17)+Elba!T99*$E$17</f>
        <v>19.1022742839086</v>
      </c>
      <c r="S19" s="87" t="n">
        <f aca="false">+Elba!T99*(1-$E$17)+Elba!U99*$E$17</f>
        <v>19.1022742839086</v>
      </c>
      <c r="T19" s="87" t="n">
        <f aca="false">+Elba!U99*(1-$E$17)+Elba!V99*$E$17</f>
        <v>19.1022742839086</v>
      </c>
      <c r="U19" s="87" t="n">
        <f aca="false">+Elba!V99*(1-$E$17)+Elba!W99*$E$17</f>
        <v>19.1022742839086</v>
      </c>
      <c r="V19" s="87" t="n">
        <f aca="false">+Elba!W99*(1-$E$17)+Elba!X99*$E$17</f>
        <v>12.7348495226057</v>
      </c>
      <c r="W19" s="87" t="n">
        <f aca="false">+Elba!X99*(1-$E$17)+Elba!Y99*$E$17</f>
        <v>0</v>
      </c>
      <c r="X19" s="87" t="n">
        <f aca="false">+Elba!Y99*(1-$E$17)+Elba!Z99*$E$17</f>
        <v>0</v>
      </c>
      <c r="Y19" s="88" t="n">
        <f aca="false">+Elba!Z99*(1-$E$17)+Elba!AA99*$E$17</f>
        <v>0</v>
      </c>
      <c r="Z19" s="89"/>
      <c r="AA19" s="90" t="n">
        <f aca="false">+AVERAGE(K19:T19)</f>
        <v>16.4491806333657</v>
      </c>
      <c r="AB19" s="10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  <c r="CJ19" s="84"/>
      <c r="CK19" s="84"/>
      <c r="CL19" s="84"/>
      <c r="CM19" s="84"/>
      <c r="CN19" s="84"/>
      <c r="CO19" s="84"/>
      <c r="CP19" s="84"/>
      <c r="CQ19" s="84"/>
      <c r="CR19" s="84"/>
      <c r="CS19" s="84"/>
      <c r="CT19" s="84"/>
      <c r="CU19" s="84"/>
      <c r="CV19" s="84"/>
      <c r="CW19" s="84"/>
      <c r="CX19" s="84"/>
      <c r="CY19" s="84"/>
      <c r="CZ19" s="84"/>
      <c r="DA19" s="84"/>
      <c r="DB19" s="84"/>
      <c r="DC19" s="84"/>
      <c r="DD19" s="84"/>
      <c r="DE19" s="84"/>
      <c r="DF19" s="84"/>
      <c r="DG19" s="84"/>
      <c r="DH19" s="84"/>
      <c r="DI19" s="84"/>
      <c r="DJ19" s="84"/>
      <c r="DK19" s="84"/>
      <c r="DL19" s="84"/>
      <c r="DM19" s="84"/>
      <c r="DN19" s="84"/>
      <c r="DO19" s="84"/>
      <c r="DP19" s="84"/>
      <c r="DQ19" s="84"/>
      <c r="DR19" s="84"/>
      <c r="DS19" s="84"/>
      <c r="DT19" s="84"/>
      <c r="DU19" s="84"/>
      <c r="DV19" s="84"/>
      <c r="DW19" s="84"/>
      <c r="DX19" s="84"/>
      <c r="DY19" s="84"/>
      <c r="DZ19" s="84"/>
      <c r="EA19" s="84"/>
      <c r="EB19" s="84"/>
      <c r="EC19" s="84"/>
      <c r="ED19" s="84"/>
      <c r="EE19" s="84"/>
      <c r="EF19" s="84"/>
      <c r="EG19" s="84"/>
      <c r="EH19" s="84"/>
      <c r="EI19" s="84"/>
      <c r="EJ19" s="84"/>
      <c r="EK19" s="84"/>
      <c r="EL19" s="84"/>
      <c r="EM19" s="84"/>
      <c r="EN19" s="84"/>
      <c r="EO19" s="84"/>
      <c r="EP19" s="84"/>
      <c r="EQ19" s="84"/>
      <c r="ER19" s="84"/>
      <c r="ES19" s="84"/>
      <c r="ET19" s="84"/>
      <c r="EU19" s="84"/>
      <c r="EV19" s="84"/>
      <c r="EW19" s="84"/>
      <c r="EX19" s="84"/>
      <c r="EY19" s="84"/>
      <c r="EZ19" s="84"/>
      <c r="FA19" s="84"/>
      <c r="FB19" s="84"/>
      <c r="FC19" s="84"/>
      <c r="FD19" s="84"/>
      <c r="FE19" s="84"/>
      <c r="FF19" s="84"/>
      <c r="FG19" s="84"/>
      <c r="FH19" s="84"/>
      <c r="FI19" s="84"/>
      <c r="FJ19" s="84"/>
      <c r="FK19" s="84"/>
      <c r="FL19" s="84"/>
      <c r="FM19" s="84"/>
      <c r="FN19" s="84"/>
      <c r="FO19" s="84"/>
      <c r="FP19" s="84"/>
      <c r="FQ19" s="84"/>
      <c r="FR19" s="84"/>
      <c r="FS19" s="84"/>
      <c r="FT19" s="84"/>
      <c r="FU19" s="84"/>
      <c r="FV19" s="84"/>
      <c r="FW19" s="84"/>
      <c r="FX19" s="84"/>
      <c r="FY19" s="84"/>
      <c r="FZ19" s="84"/>
      <c r="GA19" s="84"/>
      <c r="GB19" s="84"/>
      <c r="GC19" s="84"/>
      <c r="GD19" s="84"/>
      <c r="GE19" s="84"/>
      <c r="GF19" s="84"/>
      <c r="GG19" s="84"/>
      <c r="GH19" s="84"/>
      <c r="GI19" s="84"/>
      <c r="GJ19" s="84"/>
      <c r="GK19" s="84"/>
      <c r="GL19" s="84"/>
      <c r="GM19" s="84"/>
      <c r="GN19" s="84"/>
      <c r="GO19" s="84"/>
      <c r="GP19" s="84"/>
      <c r="GQ19" s="84"/>
      <c r="GR19" s="84"/>
      <c r="GS19" s="84"/>
      <c r="GT19" s="84"/>
      <c r="GU19" s="84"/>
      <c r="GV19" s="84"/>
      <c r="GW19" s="84"/>
      <c r="GX19" s="84"/>
      <c r="GY19" s="84"/>
      <c r="GZ19" s="84"/>
      <c r="HA19" s="84"/>
      <c r="HB19" s="84"/>
      <c r="HC19" s="84"/>
      <c r="HD19" s="84"/>
      <c r="HE19" s="84"/>
      <c r="HF19" s="84"/>
      <c r="HG19" s="84"/>
      <c r="HH19" s="84"/>
      <c r="HI19" s="84"/>
      <c r="HJ19" s="84"/>
      <c r="HK19" s="84"/>
      <c r="HL19" s="84"/>
      <c r="HM19" s="84"/>
      <c r="HN19" s="84"/>
      <c r="HO19" s="84"/>
      <c r="HP19" s="84"/>
      <c r="HQ19" s="84"/>
      <c r="HR19" s="84"/>
      <c r="HS19" s="84"/>
      <c r="HT19" s="84"/>
      <c r="HU19" s="84"/>
      <c r="HV19" s="84"/>
      <c r="HW19" s="84"/>
      <c r="HX19" s="84"/>
      <c r="HY19" s="84"/>
      <c r="HZ19" s="84"/>
      <c r="IA19" s="84"/>
      <c r="IB19" s="84"/>
      <c r="IC19" s="84"/>
      <c r="ID19" s="84"/>
      <c r="IE19" s="84"/>
      <c r="IF19" s="84"/>
      <c r="IG19" s="84"/>
      <c r="IH19" s="84"/>
      <c r="II19" s="84"/>
      <c r="IJ19" s="84"/>
      <c r="IK19" s="84"/>
      <c r="IL19" s="84"/>
      <c r="IM19" s="84"/>
      <c r="IN19" s="84"/>
      <c r="IO19" s="84"/>
      <c r="IP19" s="84"/>
      <c r="IQ19" s="84"/>
      <c r="IR19" s="84"/>
      <c r="IS19" s="84"/>
      <c r="IT19" s="84"/>
      <c r="IU19" s="84"/>
      <c r="IV19" s="84"/>
      <c r="IW19" s="84"/>
    </row>
    <row r="20" customFormat="false" ht="12.75" hidden="false" customHeight="false" outlineLevel="0" collapsed="false">
      <c r="A20" s="91" t="s">
        <v>26</v>
      </c>
      <c r="B20" s="92"/>
      <c r="C20" s="92"/>
      <c r="D20" s="92"/>
      <c r="E20" s="93" t="n">
        <f aca="false">+SUM(E18:E19)</f>
        <v>15.8501858220519</v>
      </c>
      <c r="F20" s="93" t="n">
        <f aca="false">+SUM(F18:F19)</f>
        <v>46.867896526086</v>
      </c>
      <c r="G20" s="93" t="n">
        <f aca="false">+SUM(G18:G19)</f>
        <v>44.8199137058772</v>
      </c>
      <c r="H20" s="93" t="n">
        <f aca="false">+SUM(H18:H19)</f>
        <v>42.3933543655208</v>
      </c>
      <c r="I20" s="93" t="n">
        <f aca="false">+SUM(I18:I19)</f>
        <v>39.5882185050169</v>
      </c>
      <c r="J20" s="93" t="n">
        <f aca="false">+SUM(J18:J19)</f>
        <v>41.3321169053037</v>
      </c>
      <c r="K20" s="94" t="n">
        <f aca="false">+SUM(K18:K19)</f>
        <v>47.5505574661556</v>
      </c>
      <c r="L20" s="94" t="n">
        <f aca="false">+SUM(L18:L19)</f>
        <v>47.5505574661556</v>
      </c>
      <c r="M20" s="94" t="n">
        <f aca="false">+SUM(M18:M19)</f>
        <v>48.6117949263727</v>
      </c>
      <c r="N20" s="94" t="n">
        <f aca="false">+SUM(N18:N19)</f>
        <v>50.734269846807</v>
      </c>
      <c r="O20" s="94" t="n">
        <f aca="false">+SUM(O18:O19)</f>
        <v>50.734269846807</v>
      </c>
      <c r="P20" s="94" t="n">
        <f aca="false">+SUM(P18:P19)</f>
        <v>51.7955073070242</v>
      </c>
      <c r="Q20" s="94" t="n">
        <f aca="false">+SUM(Q18:Q19)</f>
        <v>53.9179822274584</v>
      </c>
      <c r="R20" s="94" t="n">
        <f aca="false">+SUM(R18:R19)</f>
        <v>53.9179822274584</v>
      </c>
      <c r="S20" s="94" t="n">
        <f aca="false">+SUM(S18:S19)</f>
        <v>53.9179822274584</v>
      </c>
      <c r="T20" s="94" t="n">
        <f aca="false">+SUM(T18:T19)</f>
        <v>53.9179822274584</v>
      </c>
      <c r="U20" s="94" t="n">
        <f aca="false">+SUM(U18:U19)</f>
        <v>53.9179822274584</v>
      </c>
      <c r="V20" s="94" t="n">
        <f aca="false">+SUM(V18:V19)</f>
        <v>35.9453214849723</v>
      </c>
      <c r="W20" s="94" t="n">
        <f aca="false">+SUM(W18:W19)</f>
        <v>0</v>
      </c>
      <c r="X20" s="94" t="n">
        <f aca="false">+SUM(X18:X19)</f>
        <v>0</v>
      </c>
      <c r="Y20" s="95" t="n">
        <f aca="false">+SUM(Y18:Y19)</f>
        <v>0</v>
      </c>
      <c r="Z20" s="72"/>
      <c r="AA20" s="96" t="n">
        <f aca="false">+AVERAGE(K20:T20)</f>
        <v>51.2648885769156</v>
      </c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</row>
    <row r="21" customFormat="false" ht="12.75" hidden="false" customHeight="false" outlineLevel="0" collapsed="false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97"/>
      <c r="AB21" s="10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3"/>
      <c r="DB21" s="23"/>
      <c r="DC21" s="23"/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3"/>
      <c r="DO21" s="23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  <c r="IU21" s="23"/>
      <c r="IV21" s="23"/>
      <c r="IW21" s="23"/>
    </row>
    <row r="22" customFormat="false" ht="12.75" hidden="false" customHeight="false" outlineLevel="0" collapsed="false">
      <c r="A22" s="98" t="s">
        <v>27</v>
      </c>
      <c r="B22" s="77"/>
      <c r="C22" s="77"/>
      <c r="D22" s="77"/>
      <c r="E22" s="99" t="n">
        <f aca="false">+SUM(RAROC!N$66,RAROC!N$69)*$E$17</f>
        <v>7369.45382250049</v>
      </c>
      <c r="F22" s="99" t="n">
        <f aca="false">+SUM(RAROC!N$66,RAROC!N$69)*(1-$E$17)+SUM(RAROC!O$66,RAROC!O$69)*$E$17</f>
        <v>21827.2860878792</v>
      </c>
      <c r="G22" s="99" t="n">
        <f aca="false">+SUM(RAROC!O$66,RAROC!O$69)*(1-$E$17)+SUM(RAROC!P$66,RAROC!P$69)*$E$17</f>
        <v>20967.2345567081</v>
      </c>
      <c r="H22" s="99" t="n">
        <f aca="false">+SUM(RAROC!P$66,RAROC!P$69)*(1-$E$17)+SUM(RAROC!Q$66,RAROC!Q$69)*$E$17</f>
        <v>19952.5957927944</v>
      </c>
      <c r="I22" s="99" t="n">
        <f aca="false">+SUM(RAROC!Q$66,RAROC!Q$69)*(1-$E$17)+SUM(RAROC!R$66,RAROC!R$69)*$E$17</f>
        <v>18835.0786284436</v>
      </c>
      <c r="J22" s="99" t="n">
        <f aca="false">+SUM(RAROC!R$66,RAROC!R$69)*(1-$E$17)+SUM(RAROC!S$66,RAROC!S$69)*$E$17</f>
        <v>19468.644538521</v>
      </c>
      <c r="K22" s="99" t="n">
        <f aca="false">+SUM(RAROC!S$66,RAROC!S$69)*(1-$E$17)+SUM(RAROC!T$66,RAROC!T$69)*$E$17</f>
        <v>21806.7993642503</v>
      </c>
      <c r="L22" s="99" t="n">
        <f aca="false">+SUM(RAROC!T$66,RAROC!T$69)*(1-$E$17)+SUM(RAROC!U$66,RAROC!U$69)*$E$17</f>
        <v>21652.245950659</v>
      </c>
      <c r="M22" s="99" t="n">
        <f aca="false">+SUM(RAROC!U$66,RAROC!U$69)*(1-$E$17)+SUM(RAROC!V$66,RAROC!V$69)*$E$17</f>
        <v>22118.2188392219</v>
      </c>
      <c r="N22" s="99" t="n">
        <f aca="false">+SUM(RAROC!V$66,RAROC!V$69)*(1-$E$17)+SUM(RAROC!W$66,RAROC!W$69)*$E$17</f>
        <v>23252.3752426147</v>
      </c>
      <c r="O22" s="99" t="n">
        <f aca="false">+SUM(RAROC!W$66,RAROC!W$69)*(1-$E$17)+SUM(RAROC!X$66,RAROC!X$69)*$E$17</f>
        <v>23273.469038389</v>
      </c>
      <c r="P22" s="99" t="n">
        <f aca="false">+SUM(RAROC!X$66,RAROC!X$69)*(1-$E$17)+SUM(RAROC!Y$66,RAROC!Y$69)*$E$17</f>
        <v>24004.2104776219</v>
      </c>
      <c r="Q22" s="99" t="n">
        <f aca="false">+SUM(RAROC!Y$66,RAROC!Y$69)*(1-$E$17)+SUM(RAROC!Z$66,RAROC!Z$69)*$E$17</f>
        <v>25162.8742475475</v>
      </c>
      <c r="R22" s="99" t="n">
        <f aca="false">+SUM(RAROC!Z$66,RAROC!Z$69)*(1-$E$17)+SUM(RAROC!AA$66,RAROC!AA$69)*$E$17</f>
        <v>25169.5334721694</v>
      </c>
      <c r="S22" s="99" t="n">
        <f aca="false">+SUM(RAROC!AA$66,RAROC!AA$69)*(1-$E$17)+SUM(RAROC!AB$66,RAROC!AB$69)*$E$17</f>
        <v>25178.9140086878</v>
      </c>
      <c r="T22" s="99" t="n">
        <f aca="false">+SUM(RAROC!AB$66,RAROC!AB$69)*(1-$E$17)+SUM(RAROC!AC$66,RAROC!AC$69)*$E$17</f>
        <v>25303.8790136182</v>
      </c>
      <c r="U22" s="99" t="n">
        <f aca="false">+SUM(RAROC!AC$66,RAROC!AC$69)*(1-$E$17)+SUM(RAROC!AD$66,RAROC!AD$69)*$E$17</f>
        <v>25365.7284995681</v>
      </c>
      <c r="V22" s="99" t="n">
        <f aca="false">+SUM(RAROC!AD$66,RAROC!AD$69)*(1-$E$17)+SUM(RAROC!AE$66,RAROC!AE$69)*$E$17</f>
        <v>16965.434841035</v>
      </c>
      <c r="W22" s="99" t="n">
        <f aca="false">+SUM(RAROC!AE$66,RAROC!AE$69)*(1-$E$17)+SUM(RAROC!AF$66,RAROC!AF$69)*$E$17</f>
        <v>0</v>
      </c>
      <c r="X22" s="99" t="n">
        <f aca="false">+SUM(RAROC!AF$66,RAROC!AF$69)*(1-$E$17)+SUM(RAROC!AG$66,RAROC!AG$69)*$E$17</f>
        <v>0</v>
      </c>
      <c r="Y22" s="100" t="n">
        <f aca="false">+SUM(RAROC!AG$66,RAROC!AG$69)*(1-$E$17)+SUM(RAROC!AH$66,RAROC!AH$69)*$E$17</f>
        <v>0</v>
      </c>
      <c r="Z22" s="101"/>
      <c r="AA22" s="102" t="n">
        <f aca="false">+AVERAGE(K22:T22)</f>
        <v>23692.251965478</v>
      </c>
      <c r="AB22" s="10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3"/>
      <c r="DQ22" s="23"/>
      <c r="DR22" s="23"/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3"/>
      <c r="FP22" s="23"/>
      <c r="FQ22" s="23"/>
      <c r="FR22" s="23"/>
      <c r="FS22" s="23"/>
      <c r="FT22" s="23"/>
      <c r="FU22" s="23"/>
      <c r="FV22" s="23"/>
      <c r="FW22" s="23"/>
      <c r="FX22" s="23"/>
      <c r="FY22" s="23"/>
      <c r="FZ22" s="23"/>
      <c r="GA22" s="23"/>
      <c r="GB22" s="23"/>
      <c r="GC22" s="23"/>
      <c r="GD22" s="23"/>
      <c r="GE22" s="23"/>
      <c r="GF22" s="23"/>
      <c r="GG22" s="23"/>
      <c r="GH22" s="23"/>
      <c r="GI22" s="23"/>
      <c r="GJ22" s="23"/>
      <c r="GK22" s="23"/>
      <c r="GL22" s="23"/>
      <c r="GM22" s="23"/>
      <c r="GN22" s="23"/>
      <c r="GO22" s="23"/>
      <c r="GP22" s="23"/>
      <c r="GQ22" s="23"/>
      <c r="GR22" s="23"/>
      <c r="GS22" s="23"/>
      <c r="GT22" s="23"/>
      <c r="GU22" s="23"/>
      <c r="GV22" s="23"/>
      <c r="GW22" s="23"/>
      <c r="GX22" s="23"/>
      <c r="GY22" s="23"/>
      <c r="GZ22" s="23"/>
      <c r="HA22" s="23"/>
      <c r="HB22" s="23"/>
      <c r="HC22" s="23"/>
      <c r="HD22" s="23"/>
      <c r="HE22" s="23"/>
      <c r="HF22" s="23"/>
      <c r="HG22" s="23"/>
      <c r="HH22" s="23"/>
      <c r="HI22" s="23"/>
      <c r="HJ22" s="23"/>
      <c r="HK22" s="23"/>
      <c r="HL22" s="23"/>
      <c r="HM22" s="23"/>
      <c r="HN22" s="23"/>
      <c r="HO22" s="23"/>
      <c r="HP22" s="23"/>
      <c r="HQ22" s="23"/>
      <c r="HR22" s="23"/>
      <c r="HS22" s="23"/>
      <c r="HT22" s="23"/>
      <c r="HU22" s="23"/>
      <c r="HV22" s="23"/>
      <c r="HW22" s="23"/>
      <c r="HX22" s="23"/>
      <c r="HY22" s="23"/>
      <c r="HZ22" s="23"/>
      <c r="IA22" s="23"/>
      <c r="IB22" s="23"/>
      <c r="IC22" s="23"/>
      <c r="ID22" s="23"/>
      <c r="IE22" s="23"/>
      <c r="IF22" s="23"/>
      <c r="IG22" s="23"/>
      <c r="IH22" s="23"/>
      <c r="II22" s="23"/>
      <c r="IJ22" s="23"/>
      <c r="IK22" s="23"/>
      <c r="IL22" s="23"/>
      <c r="IM22" s="23"/>
      <c r="IN22" s="23"/>
      <c r="IO22" s="23"/>
      <c r="IP22" s="23"/>
      <c r="IQ22" s="23"/>
      <c r="IR22" s="23"/>
      <c r="IS22" s="23"/>
      <c r="IT22" s="23"/>
      <c r="IU22" s="23"/>
      <c r="IV22" s="23"/>
      <c r="IW22" s="23"/>
    </row>
    <row r="23" customFormat="false" ht="12.75" hidden="false" customHeight="false" outlineLevel="0" collapsed="false">
      <c r="A23" s="103"/>
      <c r="B23" s="10"/>
      <c r="C23" s="10"/>
      <c r="D23" s="104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5"/>
      <c r="Z23" s="103"/>
      <c r="AA23" s="106"/>
      <c r="AB23" s="107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3"/>
      <c r="DB23" s="23"/>
      <c r="DC23" s="23"/>
      <c r="DD23" s="23"/>
      <c r="DE23" s="23"/>
      <c r="DF23" s="23"/>
      <c r="DG23" s="23"/>
      <c r="DH23" s="23"/>
      <c r="DI23" s="23"/>
      <c r="DJ23" s="23"/>
      <c r="DK23" s="23"/>
      <c r="DL23" s="23"/>
      <c r="DM23" s="23"/>
      <c r="DN23" s="23"/>
      <c r="DO23" s="23"/>
      <c r="DP23" s="23"/>
      <c r="DQ23" s="23"/>
      <c r="DR23" s="23"/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3"/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3"/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3"/>
      <c r="FD23" s="23"/>
      <c r="FE23" s="23"/>
      <c r="FF23" s="23"/>
      <c r="FG23" s="23"/>
      <c r="FH23" s="23"/>
      <c r="FI23" s="23"/>
      <c r="FJ23" s="23"/>
      <c r="FK23" s="23"/>
      <c r="FL23" s="23"/>
      <c r="FM23" s="23"/>
      <c r="FN23" s="23"/>
      <c r="FO23" s="23"/>
      <c r="FP23" s="23"/>
      <c r="FQ23" s="23"/>
      <c r="FR23" s="23"/>
      <c r="FS23" s="23"/>
      <c r="FT23" s="23"/>
      <c r="FU23" s="23"/>
      <c r="FV23" s="23"/>
      <c r="FW23" s="23"/>
      <c r="FX23" s="23"/>
      <c r="FY23" s="23"/>
      <c r="FZ23" s="23"/>
      <c r="GA23" s="23"/>
      <c r="GB23" s="23"/>
      <c r="GC23" s="23"/>
      <c r="GD23" s="23"/>
      <c r="GE23" s="23"/>
      <c r="GF23" s="23"/>
      <c r="GG23" s="23"/>
      <c r="GH23" s="23"/>
      <c r="GI23" s="23"/>
      <c r="GJ23" s="23"/>
      <c r="GK23" s="23"/>
      <c r="GL23" s="23"/>
      <c r="GM23" s="23"/>
      <c r="GN23" s="23"/>
      <c r="GO23" s="23"/>
      <c r="GP23" s="23"/>
      <c r="GQ23" s="23"/>
      <c r="GR23" s="23"/>
      <c r="GS23" s="23"/>
      <c r="GT23" s="23"/>
      <c r="GU23" s="23"/>
      <c r="GV23" s="23"/>
      <c r="GW23" s="23"/>
      <c r="GX23" s="23"/>
      <c r="GY23" s="23"/>
      <c r="GZ23" s="23"/>
      <c r="HA23" s="23"/>
      <c r="HB23" s="23"/>
      <c r="HC23" s="23"/>
      <c r="HD23" s="23"/>
      <c r="HE23" s="23"/>
      <c r="HF23" s="23"/>
      <c r="HG23" s="23"/>
      <c r="HH23" s="23"/>
      <c r="HI23" s="23"/>
      <c r="HJ23" s="23"/>
      <c r="HK23" s="23"/>
      <c r="HL23" s="23"/>
      <c r="HM23" s="23"/>
      <c r="HN23" s="23"/>
      <c r="HO23" s="23"/>
      <c r="HP23" s="23"/>
      <c r="HQ23" s="23"/>
      <c r="HR23" s="23"/>
      <c r="HS23" s="23"/>
      <c r="HT23" s="23"/>
      <c r="HU23" s="23"/>
      <c r="HV23" s="23"/>
      <c r="HW23" s="23"/>
      <c r="HX23" s="23"/>
      <c r="HY23" s="23"/>
      <c r="HZ23" s="23"/>
      <c r="IA23" s="23"/>
      <c r="IB23" s="23"/>
      <c r="IC23" s="23"/>
      <c r="ID23" s="23"/>
      <c r="IE23" s="23"/>
      <c r="IF23" s="23"/>
      <c r="IG23" s="23"/>
      <c r="IH23" s="23"/>
      <c r="II23" s="23"/>
      <c r="IJ23" s="23"/>
      <c r="IK23" s="23"/>
      <c r="IL23" s="23"/>
      <c r="IM23" s="23"/>
      <c r="IN23" s="23"/>
      <c r="IO23" s="23"/>
      <c r="IP23" s="23"/>
      <c r="IQ23" s="23"/>
      <c r="IR23" s="23"/>
      <c r="IS23" s="23"/>
      <c r="IT23" s="23"/>
      <c r="IU23" s="23"/>
      <c r="IV23" s="23"/>
      <c r="IW23" s="23"/>
    </row>
    <row r="24" customFormat="false" ht="12.75" hidden="false" customHeight="false" outlineLevel="0" collapsed="false">
      <c r="A24" s="108" t="s">
        <v>28</v>
      </c>
      <c r="B24" s="10"/>
      <c r="C24" s="10"/>
      <c r="D24" s="10"/>
      <c r="E24" s="109" t="n">
        <f aca="false">+SUM(RAROC!N$52,RAROC!N$60)*$E$17</f>
        <v>-5558.14762136229</v>
      </c>
      <c r="F24" s="109" t="n">
        <f aca="false">+SUM(RAROC!N$52,RAROC!N$60)*(1-$E$17)+SUM(RAROC!O$52,RAROC!O$60)*$E$17</f>
        <v>-16667.9061785307</v>
      </c>
      <c r="G24" s="109" t="n">
        <f aca="false">+SUM(RAROC!O$52,RAROC!O$60)*(1-$E$17)+SUM(RAROC!P$52,RAROC!P$60)*$E$17</f>
        <v>-16648.6621381007</v>
      </c>
      <c r="H24" s="109" t="n">
        <f aca="false">+SUM(RAROC!P$52,RAROC!P$60)*(1-$E$17)+SUM(RAROC!Q$52,RAROC!Q$60)*$E$17</f>
        <v>-16605.4419594145</v>
      </c>
      <c r="I24" s="109" t="n">
        <f aca="false">+SUM(RAROC!Q$52,RAROC!Q$60)*(1-$E$17)+SUM(RAROC!R$52,RAROC!R$60)*$E$17</f>
        <v>-16545.3423432706</v>
      </c>
      <c r="J24" s="109" t="n">
        <f aca="false">+SUM(RAROC!R$52,RAROC!R$60)*(1-$E$17)+SUM(RAROC!S$52,RAROC!S$60)*$E$17</f>
        <v>-16476.3076831379</v>
      </c>
      <c r="K24" s="109" t="n">
        <f aca="false">+SUM(RAROC!S$52,RAROC!S$60)*(1-$E$17)+SUM(RAROC!T$52,RAROC!T$60)*$E$17</f>
        <v>-16389.8739229522</v>
      </c>
      <c r="L24" s="109" t="n">
        <f aca="false">+SUM(RAROC!T$52,RAROC!T$60)*(1-$E$17)+SUM(RAROC!U$52,RAROC!U$60)*$E$17</f>
        <v>-16550.1432480955</v>
      </c>
      <c r="M24" s="109" t="n">
        <f aca="false">+SUM(RAROC!U$52,RAROC!U$60)*(1-$E$17)+SUM(RAROC!V$52,RAROC!V$60)*$E$17</f>
        <v>-16787.0227710096</v>
      </c>
      <c r="N24" s="109" t="n">
        <f aca="false">+SUM(RAROC!V$52,RAROC!V$60)*(1-$E$17)+SUM(RAROC!W$52,RAROC!W$60)*$E$17</f>
        <v>-17142.6477713858</v>
      </c>
      <c r="O24" s="109" t="n">
        <f aca="false">+SUM(RAROC!W$52,RAROC!W$60)*(1-$E$17)+SUM(RAROC!X$52,RAROC!X$60)*$E$17</f>
        <v>-17321.6626432353</v>
      </c>
      <c r="P24" s="109" t="n">
        <f aca="false">+SUM(RAROC!X$52,RAROC!X$60)*(1-$E$17)+SUM(RAROC!Y$52,RAROC!Y$60)*$E$17</f>
        <v>-17612.3411377955</v>
      </c>
      <c r="Q24" s="109" t="n">
        <f aca="false">+SUM(RAROC!Y$52,RAROC!Y$60)*(1-$E$17)+SUM(RAROC!Z$52,RAROC!Z$60)*$E$17</f>
        <v>-17996.4707984092</v>
      </c>
      <c r="R24" s="109" t="n">
        <f aca="false">+SUM(RAROC!Z$52,RAROC!Z$60)*(1-$E$17)+SUM(RAROC!AA$52,RAROC!AA$60)*$E$17</f>
        <v>-18195.8820080202</v>
      </c>
      <c r="S24" s="109" t="n">
        <f aca="false">+SUM(RAROC!AA$52,RAROC!AA$60)*(1-$E$17)+SUM(RAROC!AB$52,RAROC!AB$60)*$E$17</f>
        <v>-18415.5645516362</v>
      </c>
      <c r="T24" s="109" t="n">
        <f aca="false">+SUM(RAROC!AB$52,RAROC!AB$60)*(1-$E$17)+SUM(RAROC!AC$52,RAROC!AC$60)*$E$17</f>
        <v>-18645.7195486789</v>
      </c>
      <c r="U24" s="109" t="n">
        <f aca="false">+SUM(RAROC!AC$52,RAROC!AC$60)*(1-$E$17)+SUM(RAROC!AD$52,RAROC!AD$60)*$E$17</f>
        <v>-18860.2146646685</v>
      </c>
      <c r="V24" s="109" t="n">
        <f aca="false">+SUM(RAROC!AD$52,RAROC!AD$60)*(1-$E$17)+SUM(RAROC!AE$52,RAROC!AE$60)*$E$17</f>
        <v>-12664.7391098806</v>
      </c>
      <c r="W24" s="109" t="n">
        <f aca="false">+SUM(RAROC!AE$52,RAROC!AE$60)*(1-$E$17)+SUM(RAROC!AF$52,RAROC!AF$60)*$E$17</f>
        <v>0</v>
      </c>
      <c r="X24" s="109" t="n">
        <f aca="false">+SUM(RAROC!AF$52,RAROC!AF$60)*(1-$E$17)+SUM(RAROC!AG$52,RAROC!AG$60)*$E$17</f>
        <v>0</v>
      </c>
      <c r="Y24" s="110" t="n">
        <f aca="false">+SUM(RAROC!AG$52,RAROC!AG$60)*(1-$E$17)+SUM(RAROC!AH$52,RAROC!AH$60)*$E$17</f>
        <v>0</v>
      </c>
      <c r="Z24" s="103"/>
      <c r="AA24" s="111" t="n">
        <f aca="false">+AVERAGE(K24:T24)</f>
        <v>-17505.7328401218</v>
      </c>
      <c r="AB24" s="112"/>
      <c r="AC24" s="113"/>
      <c r="AD24" s="113"/>
      <c r="AE24" s="113"/>
      <c r="AF24" s="113"/>
      <c r="AG24" s="113"/>
      <c r="AH24" s="113"/>
      <c r="AI24" s="113"/>
      <c r="AJ24" s="113"/>
      <c r="AK24" s="113"/>
      <c r="AL24" s="113"/>
      <c r="AM24" s="113"/>
      <c r="AN24" s="113"/>
      <c r="AO24" s="113"/>
      <c r="AP24" s="113"/>
      <c r="AQ24" s="113"/>
      <c r="AR24" s="113"/>
      <c r="AS24" s="113"/>
      <c r="AT24" s="113"/>
      <c r="AU24" s="113"/>
      <c r="AV24" s="113"/>
      <c r="AW24" s="113"/>
      <c r="AX24" s="113"/>
      <c r="AY24" s="113"/>
      <c r="AZ24" s="113"/>
      <c r="BA24" s="113"/>
      <c r="BB24" s="113"/>
      <c r="BC24" s="113"/>
      <c r="BD24" s="113"/>
      <c r="BE24" s="113"/>
      <c r="BF24" s="113"/>
      <c r="BG24" s="113"/>
      <c r="BH24" s="113"/>
      <c r="BI24" s="113"/>
      <c r="BJ24" s="113"/>
      <c r="BK24" s="113"/>
      <c r="BL24" s="113"/>
      <c r="BM24" s="113"/>
      <c r="BN24" s="113"/>
      <c r="BO24" s="113"/>
      <c r="BP24" s="113"/>
      <c r="BQ24" s="113"/>
      <c r="BR24" s="113"/>
      <c r="BS24" s="113"/>
      <c r="BT24" s="113"/>
      <c r="BU24" s="113"/>
      <c r="BV24" s="113"/>
      <c r="BW24" s="113"/>
      <c r="BX24" s="113"/>
      <c r="BY24" s="113"/>
      <c r="BZ24" s="113"/>
      <c r="CA24" s="113"/>
      <c r="CB24" s="113"/>
      <c r="CC24" s="113"/>
      <c r="CD24" s="113"/>
      <c r="CE24" s="113"/>
      <c r="CF24" s="113"/>
      <c r="CG24" s="113"/>
      <c r="CH24" s="113"/>
      <c r="CI24" s="113"/>
      <c r="CJ24" s="113"/>
      <c r="CK24" s="113"/>
      <c r="CL24" s="113"/>
      <c r="CM24" s="113"/>
      <c r="CN24" s="113"/>
      <c r="CO24" s="113"/>
      <c r="CP24" s="113"/>
      <c r="CQ24" s="113"/>
      <c r="CR24" s="113"/>
      <c r="CS24" s="113"/>
      <c r="CT24" s="113"/>
      <c r="CU24" s="113"/>
      <c r="CV24" s="113"/>
      <c r="CW24" s="113"/>
      <c r="CX24" s="113"/>
      <c r="CY24" s="113"/>
      <c r="CZ24" s="113"/>
      <c r="DA24" s="113"/>
      <c r="DB24" s="113"/>
      <c r="DC24" s="113"/>
      <c r="DD24" s="113"/>
      <c r="DE24" s="113"/>
      <c r="DF24" s="113"/>
      <c r="DG24" s="113"/>
      <c r="DH24" s="113"/>
      <c r="DI24" s="113"/>
      <c r="DJ24" s="113"/>
      <c r="DK24" s="113"/>
      <c r="DL24" s="113"/>
      <c r="DM24" s="113"/>
      <c r="DN24" s="113"/>
      <c r="DO24" s="113"/>
      <c r="DP24" s="113"/>
      <c r="DQ24" s="113"/>
      <c r="DR24" s="113"/>
      <c r="DS24" s="113"/>
      <c r="DT24" s="113"/>
      <c r="DU24" s="113"/>
      <c r="DV24" s="113"/>
      <c r="DW24" s="113"/>
      <c r="DX24" s="113"/>
      <c r="DY24" s="113"/>
      <c r="DZ24" s="113"/>
      <c r="EA24" s="113"/>
      <c r="EB24" s="113"/>
      <c r="EC24" s="113"/>
      <c r="ED24" s="113"/>
      <c r="EE24" s="113"/>
      <c r="EF24" s="113"/>
      <c r="EG24" s="113"/>
      <c r="EH24" s="113"/>
      <c r="EI24" s="113"/>
      <c r="EJ24" s="113"/>
      <c r="EK24" s="113"/>
      <c r="EL24" s="113"/>
      <c r="EM24" s="113"/>
      <c r="EN24" s="113"/>
      <c r="EO24" s="113"/>
      <c r="EP24" s="113"/>
      <c r="EQ24" s="113"/>
      <c r="ER24" s="113"/>
      <c r="ES24" s="113"/>
      <c r="ET24" s="113"/>
      <c r="EU24" s="113"/>
      <c r="EV24" s="113"/>
      <c r="EW24" s="113"/>
      <c r="EX24" s="113"/>
      <c r="EY24" s="113"/>
      <c r="EZ24" s="113"/>
      <c r="FA24" s="113"/>
      <c r="FB24" s="113"/>
      <c r="FC24" s="113"/>
      <c r="FD24" s="113"/>
      <c r="FE24" s="113"/>
      <c r="FF24" s="113"/>
      <c r="FG24" s="113"/>
      <c r="FH24" s="113"/>
      <c r="FI24" s="113"/>
      <c r="FJ24" s="113"/>
      <c r="FK24" s="113"/>
      <c r="FL24" s="113"/>
      <c r="FM24" s="113"/>
      <c r="FN24" s="113"/>
      <c r="FO24" s="113"/>
      <c r="FP24" s="113"/>
      <c r="FQ24" s="113"/>
      <c r="FR24" s="113"/>
      <c r="FS24" s="113"/>
      <c r="FT24" s="113"/>
      <c r="FU24" s="113"/>
      <c r="FV24" s="113"/>
      <c r="FW24" s="113"/>
      <c r="FX24" s="113"/>
      <c r="FY24" s="113"/>
      <c r="FZ24" s="113"/>
      <c r="GA24" s="113"/>
      <c r="GB24" s="113"/>
      <c r="GC24" s="113"/>
      <c r="GD24" s="113"/>
      <c r="GE24" s="113"/>
      <c r="GF24" s="113"/>
      <c r="GG24" s="113"/>
      <c r="GH24" s="113"/>
      <c r="GI24" s="113"/>
      <c r="GJ24" s="113"/>
      <c r="GK24" s="113"/>
      <c r="GL24" s="113"/>
      <c r="GM24" s="113"/>
      <c r="GN24" s="113"/>
      <c r="GO24" s="113"/>
      <c r="GP24" s="113"/>
      <c r="GQ24" s="113"/>
      <c r="GR24" s="113"/>
      <c r="GS24" s="113"/>
      <c r="GT24" s="113"/>
      <c r="GU24" s="113"/>
      <c r="GV24" s="113"/>
      <c r="GW24" s="113"/>
      <c r="GX24" s="113"/>
      <c r="GY24" s="113"/>
      <c r="GZ24" s="113"/>
      <c r="HA24" s="113"/>
      <c r="HB24" s="113"/>
      <c r="HC24" s="113"/>
      <c r="HD24" s="113"/>
      <c r="HE24" s="113"/>
      <c r="HF24" s="113"/>
      <c r="HG24" s="113"/>
      <c r="HH24" s="113"/>
      <c r="HI24" s="113"/>
      <c r="HJ24" s="113"/>
      <c r="HK24" s="113"/>
      <c r="HL24" s="113"/>
      <c r="HM24" s="113"/>
      <c r="HN24" s="113"/>
      <c r="HO24" s="113"/>
      <c r="HP24" s="113"/>
      <c r="HQ24" s="113"/>
      <c r="HR24" s="113"/>
      <c r="HS24" s="113"/>
      <c r="HT24" s="113"/>
      <c r="HU24" s="113"/>
      <c r="HV24" s="113"/>
      <c r="HW24" s="113"/>
      <c r="HX24" s="113"/>
      <c r="HY24" s="113"/>
      <c r="HZ24" s="113"/>
      <c r="IA24" s="113"/>
      <c r="IB24" s="113"/>
      <c r="IC24" s="113"/>
      <c r="ID24" s="113"/>
      <c r="IE24" s="113"/>
      <c r="IF24" s="113"/>
      <c r="IG24" s="113"/>
      <c r="IH24" s="113"/>
      <c r="II24" s="113"/>
      <c r="IJ24" s="113"/>
      <c r="IK24" s="113"/>
      <c r="IL24" s="113"/>
      <c r="IM24" s="113"/>
      <c r="IN24" s="113"/>
      <c r="IO24" s="113"/>
      <c r="IP24" s="113"/>
      <c r="IQ24" s="113"/>
      <c r="IR24" s="113"/>
      <c r="IS24" s="113"/>
      <c r="IT24" s="113"/>
      <c r="IU24" s="113"/>
      <c r="IV24" s="113"/>
      <c r="IW24" s="113"/>
    </row>
    <row r="25" customFormat="false" ht="12.75" hidden="false" customHeight="false" outlineLevel="0" collapsed="false">
      <c r="A25" s="103"/>
      <c r="B25" s="10"/>
      <c r="C25" s="10"/>
      <c r="D25" s="114"/>
      <c r="E25" s="10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5"/>
      <c r="Z25" s="103"/>
      <c r="AA25" s="111"/>
      <c r="AB25" s="112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  <c r="IU25" s="23"/>
      <c r="IV25" s="23"/>
      <c r="IW25" s="23"/>
    </row>
    <row r="26" customFormat="false" ht="12.75" hidden="false" customHeight="false" outlineLevel="0" collapsed="false">
      <c r="A26" s="116" t="s">
        <v>29</v>
      </c>
      <c r="B26" s="117"/>
      <c r="C26" s="117"/>
      <c r="D26" s="117"/>
      <c r="E26" s="118" t="n">
        <f aca="false">+E22+E24</f>
        <v>1811.3062011382</v>
      </c>
      <c r="F26" s="118" t="n">
        <f aca="false">+F22+F24</f>
        <v>5159.37990934849</v>
      </c>
      <c r="G26" s="118" t="n">
        <f aca="false">+G22+G24</f>
        <v>4318.57241860746</v>
      </c>
      <c r="H26" s="118" t="n">
        <f aca="false">+H22+H24</f>
        <v>3347.15383337993</v>
      </c>
      <c r="I26" s="118" t="n">
        <f aca="false">+I22+I24</f>
        <v>2289.73628517302</v>
      </c>
      <c r="J26" s="118" t="n">
        <f aca="false">+J22+J24</f>
        <v>2992.33685538311</v>
      </c>
      <c r="K26" s="118" t="n">
        <f aca="false">+K22+K24</f>
        <v>5416.92544129807</v>
      </c>
      <c r="L26" s="118" t="n">
        <f aca="false">+L22+L24</f>
        <v>5102.1027025635</v>
      </c>
      <c r="M26" s="118" t="n">
        <f aca="false">+M22+M24</f>
        <v>5331.19606821234</v>
      </c>
      <c r="N26" s="118" t="n">
        <f aca="false">+N22+N24</f>
        <v>6109.72747122893</v>
      </c>
      <c r="O26" s="118" t="n">
        <f aca="false">+O22+O24</f>
        <v>5951.80639515372</v>
      </c>
      <c r="P26" s="118" t="n">
        <f aca="false">+P22+P24</f>
        <v>6391.86933982643</v>
      </c>
      <c r="Q26" s="118" t="n">
        <f aca="false">+Q22+Q24</f>
        <v>7166.40344913826</v>
      </c>
      <c r="R26" s="118" t="n">
        <f aca="false">+R22+R24</f>
        <v>6973.65146414925</v>
      </c>
      <c r="S26" s="118" t="n">
        <f aca="false">+S22+S24</f>
        <v>6763.34945705162</v>
      </c>
      <c r="T26" s="118" t="n">
        <f aca="false">+T22+T24</f>
        <v>6658.15946493927</v>
      </c>
      <c r="U26" s="118" t="n">
        <f aca="false">+U22+U24</f>
        <v>6505.51383489957</v>
      </c>
      <c r="V26" s="118" t="n">
        <f aca="false">+V22+V24</f>
        <v>4300.69573115444</v>
      </c>
      <c r="W26" s="118" t="n">
        <f aca="false">+W22+W24</f>
        <v>0</v>
      </c>
      <c r="X26" s="118" t="n">
        <f aca="false">+X22+X24</f>
        <v>0</v>
      </c>
      <c r="Y26" s="119" t="n">
        <f aca="false">+Y22+Y24</f>
        <v>0</v>
      </c>
      <c r="Z26" s="103"/>
      <c r="AA26" s="120" t="n">
        <f aca="false">+AVERAGE(K26:T26)</f>
        <v>6186.51912535614</v>
      </c>
      <c r="AB26" s="121"/>
      <c r="AC26" s="122"/>
      <c r="AD26" s="122"/>
      <c r="AE26" s="122"/>
      <c r="AF26" s="122"/>
      <c r="AG26" s="122"/>
      <c r="AH26" s="122"/>
      <c r="AI26" s="122"/>
      <c r="AJ26" s="122"/>
      <c r="AK26" s="122"/>
      <c r="AL26" s="122"/>
      <c r="AM26" s="122"/>
      <c r="AN26" s="122"/>
      <c r="AO26" s="122"/>
      <c r="AP26" s="122"/>
      <c r="AQ26" s="122"/>
      <c r="AR26" s="122"/>
      <c r="AS26" s="122"/>
      <c r="AT26" s="122"/>
      <c r="AU26" s="122"/>
      <c r="AV26" s="122"/>
      <c r="AW26" s="122"/>
      <c r="AX26" s="122"/>
      <c r="AY26" s="122"/>
      <c r="AZ26" s="122"/>
      <c r="BA26" s="122"/>
      <c r="BB26" s="122"/>
      <c r="BC26" s="122"/>
      <c r="BD26" s="122"/>
      <c r="BE26" s="122"/>
      <c r="BF26" s="122"/>
      <c r="BG26" s="122"/>
      <c r="BH26" s="122"/>
      <c r="BI26" s="122"/>
      <c r="BJ26" s="122"/>
      <c r="BK26" s="122"/>
      <c r="BL26" s="122"/>
      <c r="BM26" s="122"/>
      <c r="BN26" s="122"/>
      <c r="BO26" s="122"/>
      <c r="BP26" s="122"/>
      <c r="BQ26" s="122"/>
      <c r="BR26" s="122"/>
      <c r="BS26" s="122"/>
      <c r="BT26" s="122"/>
      <c r="BU26" s="122"/>
      <c r="BV26" s="122"/>
      <c r="BW26" s="122"/>
      <c r="BX26" s="122"/>
      <c r="BY26" s="122"/>
      <c r="BZ26" s="122"/>
      <c r="CA26" s="122"/>
      <c r="CB26" s="122"/>
      <c r="CC26" s="122"/>
      <c r="CD26" s="122"/>
      <c r="CE26" s="122"/>
      <c r="CF26" s="122"/>
      <c r="CG26" s="122"/>
      <c r="CH26" s="122"/>
      <c r="CI26" s="122"/>
      <c r="CJ26" s="122"/>
      <c r="CK26" s="122"/>
      <c r="CL26" s="122"/>
      <c r="CM26" s="122"/>
      <c r="CN26" s="122"/>
      <c r="CO26" s="122"/>
      <c r="CP26" s="122"/>
      <c r="CQ26" s="122"/>
      <c r="CR26" s="122"/>
      <c r="CS26" s="122"/>
      <c r="CT26" s="122"/>
      <c r="CU26" s="122"/>
      <c r="CV26" s="122"/>
      <c r="CW26" s="122"/>
      <c r="CX26" s="122"/>
      <c r="CY26" s="122"/>
      <c r="CZ26" s="122"/>
      <c r="DA26" s="122"/>
      <c r="DB26" s="122"/>
      <c r="DC26" s="122"/>
      <c r="DD26" s="122"/>
      <c r="DE26" s="122"/>
      <c r="DF26" s="122"/>
      <c r="DG26" s="122"/>
      <c r="DH26" s="122"/>
      <c r="DI26" s="122"/>
      <c r="DJ26" s="122"/>
      <c r="DK26" s="122"/>
      <c r="DL26" s="122"/>
      <c r="DM26" s="122"/>
      <c r="DN26" s="122"/>
      <c r="DO26" s="122"/>
      <c r="DP26" s="122"/>
      <c r="DQ26" s="122"/>
      <c r="DR26" s="122"/>
      <c r="DS26" s="122"/>
      <c r="DT26" s="122"/>
      <c r="DU26" s="122"/>
      <c r="DV26" s="122"/>
      <c r="DW26" s="122"/>
      <c r="DX26" s="122"/>
      <c r="DY26" s="122"/>
      <c r="DZ26" s="122"/>
      <c r="EA26" s="122"/>
      <c r="EB26" s="122"/>
      <c r="EC26" s="122"/>
      <c r="ED26" s="122"/>
      <c r="EE26" s="122"/>
      <c r="EF26" s="122"/>
      <c r="EG26" s="122"/>
      <c r="EH26" s="122"/>
      <c r="EI26" s="122"/>
      <c r="EJ26" s="122"/>
      <c r="EK26" s="122"/>
      <c r="EL26" s="122"/>
      <c r="EM26" s="122"/>
      <c r="EN26" s="122"/>
      <c r="EO26" s="122"/>
      <c r="EP26" s="122"/>
      <c r="EQ26" s="122"/>
      <c r="ER26" s="122"/>
      <c r="ES26" s="122"/>
      <c r="ET26" s="122"/>
      <c r="EU26" s="122"/>
      <c r="EV26" s="122"/>
      <c r="EW26" s="122"/>
      <c r="EX26" s="122"/>
      <c r="EY26" s="122"/>
      <c r="EZ26" s="122"/>
      <c r="FA26" s="122"/>
      <c r="FB26" s="122"/>
      <c r="FC26" s="122"/>
      <c r="FD26" s="122"/>
      <c r="FE26" s="122"/>
      <c r="FF26" s="122"/>
      <c r="FG26" s="122"/>
      <c r="FH26" s="122"/>
      <c r="FI26" s="122"/>
      <c r="FJ26" s="122"/>
      <c r="FK26" s="122"/>
      <c r="FL26" s="122"/>
      <c r="FM26" s="122"/>
      <c r="FN26" s="122"/>
      <c r="FO26" s="122"/>
      <c r="FP26" s="122"/>
      <c r="FQ26" s="122"/>
      <c r="FR26" s="122"/>
      <c r="FS26" s="122"/>
      <c r="FT26" s="122"/>
      <c r="FU26" s="122"/>
      <c r="FV26" s="122"/>
      <c r="FW26" s="122"/>
      <c r="FX26" s="122"/>
      <c r="FY26" s="122"/>
      <c r="FZ26" s="122"/>
      <c r="GA26" s="122"/>
      <c r="GB26" s="122"/>
      <c r="GC26" s="122"/>
      <c r="GD26" s="122"/>
      <c r="GE26" s="122"/>
      <c r="GF26" s="122"/>
      <c r="GG26" s="122"/>
      <c r="GH26" s="122"/>
      <c r="GI26" s="122"/>
      <c r="GJ26" s="122"/>
      <c r="GK26" s="122"/>
      <c r="GL26" s="122"/>
      <c r="GM26" s="122"/>
      <c r="GN26" s="122"/>
      <c r="GO26" s="122"/>
      <c r="GP26" s="122"/>
      <c r="GQ26" s="122"/>
      <c r="GR26" s="122"/>
      <c r="GS26" s="122"/>
      <c r="GT26" s="122"/>
      <c r="GU26" s="122"/>
      <c r="GV26" s="122"/>
      <c r="GW26" s="122"/>
      <c r="GX26" s="122"/>
      <c r="GY26" s="122"/>
      <c r="GZ26" s="122"/>
      <c r="HA26" s="122"/>
      <c r="HB26" s="122"/>
      <c r="HC26" s="122"/>
      <c r="HD26" s="122"/>
      <c r="HE26" s="122"/>
      <c r="HF26" s="122"/>
      <c r="HG26" s="122"/>
      <c r="HH26" s="122"/>
      <c r="HI26" s="122"/>
      <c r="HJ26" s="122"/>
      <c r="HK26" s="122"/>
      <c r="HL26" s="122"/>
      <c r="HM26" s="122"/>
      <c r="HN26" s="122"/>
      <c r="HO26" s="122"/>
      <c r="HP26" s="122"/>
      <c r="HQ26" s="122"/>
      <c r="HR26" s="122"/>
      <c r="HS26" s="122"/>
      <c r="HT26" s="122"/>
      <c r="HU26" s="122"/>
      <c r="HV26" s="122"/>
      <c r="HW26" s="122"/>
      <c r="HX26" s="122"/>
      <c r="HY26" s="122"/>
      <c r="HZ26" s="122"/>
      <c r="IA26" s="122"/>
      <c r="IB26" s="122"/>
      <c r="IC26" s="122"/>
      <c r="ID26" s="122"/>
      <c r="IE26" s="122"/>
      <c r="IF26" s="122"/>
      <c r="IG26" s="122"/>
      <c r="IH26" s="122"/>
      <c r="II26" s="122"/>
      <c r="IJ26" s="122"/>
      <c r="IK26" s="122"/>
      <c r="IL26" s="122"/>
      <c r="IM26" s="122"/>
      <c r="IN26" s="122"/>
      <c r="IO26" s="122"/>
      <c r="IP26" s="122"/>
      <c r="IQ26" s="122"/>
      <c r="IR26" s="122"/>
      <c r="IS26" s="122"/>
      <c r="IT26" s="122"/>
      <c r="IU26" s="122"/>
      <c r="IV26" s="122"/>
      <c r="IW26" s="122"/>
    </row>
    <row r="27" customFormat="false" ht="12.75" hidden="false" customHeight="false" outlineLevel="0" collapsed="false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9"/>
      <c r="AB27" s="10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3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  <c r="IU27" s="23"/>
      <c r="IV27" s="23"/>
      <c r="IW27" s="23"/>
    </row>
    <row r="28" customFormat="false" ht="12.75" hidden="false" customHeight="false" outlineLevel="0" collapsed="false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9"/>
      <c r="AB28" s="10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23"/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  <c r="IU28" s="23"/>
      <c r="IV28" s="23"/>
      <c r="IW28" s="23"/>
    </row>
    <row r="29" customFormat="false" ht="12.75" hidden="false" customHeight="false" outlineLevel="0" collapsed="false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9"/>
      <c r="AB29" s="10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23"/>
      <c r="DB29" s="23"/>
      <c r="DC29" s="23"/>
      <c r="DD29" s="23"/>
      <c r="DE29" s="23"/>
      <c r="DF29" s="23"/>
      <c r="DG29" s="23"/>
      <c r="DH29" s="23"/>
      <c r="DI29" s="23"/>
      <c r="DJ29" s="23"/>
      <c r="DK29" s="23"/>
      <c r="DL29" s="23"/>
      <c r="DM29" s="23"/>
      <c r="DN29" s="23"/>
      <c r="DO29" s="23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  <c r="IU29" s="23"/>
      <c r="IV29" s="23"/>
      <c r="IW29" s="23"/>
    </row>
    <row r="30" customFormat="false" ht="12.75" hidden="false" customHeight="false" outlineLevel="0" collapsed="false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9"/>
      <c r="AB30" s="10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  <c r="IU30" s="23"/>
      <c r="IV30" s="23"/>
      <c r="IW30" s="23"/>
    </row>
    <row r="31" customFormat="false" ht="12.75" hidden="false" customHeight="false" outlineLevel="0" collapsed="false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9"/>
      <c r="AB31" s="10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3"/>
      <c r="CD31" s="23"/>
      <c r="CE31" s="23"/>
      <c r="CF31" s="23"/>
      <c r="CG31" s="23"/>
      <c r="CH31" s="23"/>
      <c r="CI31" s="23"/>
      <c r="CJ31" s="23"/>
      <c r="CK31" s="23"/>
      <c r="CL31" s="23"/>
      <c r="CM31" s="23"/>
      <c r="CN31" s="23"/>
      <c r="CO31" s="23"/>
      <c r="CP31" s="23"/>
      <c r="CQ31" s="23"/>
      <c r="CR31" s="23"/>
      <c r="CS31" s="23"/>
      <c r="CT31" s="23"/>
      <c r="CU31" s="23"/>
      <c r="CV31" s="23"/>
      <c r="CW31" s="23"/>
      <c r="CX31" s="23"/>
      <c r="CY31" s="23"/>
      <c r="CZ31" s="23"/>
      <c r="DA31" s="23"/>
      <c r="DB31" s="23"/>
      <c r="DC31" s="23"/>
      <c r="DD31" s="23"/>
      <c r="DE31" s="23"/>
      <c r="DF31" s="23"/>
      <c r="DG31" s="23"/>
      <c r="DH31" s="23"/>
      <c r="DI31" s="23"/>
      <c r="DJ31" s="23"/>
      <c r="DK31" s="23"/>
      <c r="DL31" s="23"/>
      <c r="DM31" s="23"/>
      <c r="DN31" s="23"/>
      <c r="DO31" s="23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  <c r="IU31" s="23"/>
      <c r="IV31" s="23"/>
      <c r="IW31" s="23"/>
    </row>
    <row r="32" customFormat="false" ht="12.75" hidden="false" customHeight="false" outlineLevel="0" collapsed="false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9"/>
      <c r="AB32" s="10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23"/>
      <c r="DD32" s="23"/>
      <c r="DE32" s="23"/>
      <c r="DF32" s="23"/>
      <c r="DG32" s="23"/>
      <c r="DH32" s="23"/>
      <c r="DI32" s="23"/>
      <c r="DJ32" s="23"/>
      <c r="DK32" s="23"/>
      <c r="DL32" s="23"/>
      <c r="DM32" s="23"/>
      <c r="DN32" s="23"/>
      <c r="DO32" s="23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  <c r="IU32" s="23"/>
      <c r="IV32" s="23"/>
      <c r="IW32" s="23"/>
    </row>
    <row r="33" customFormat="false" ht="12.75" hidden="false" customHeight="false" outlineLevel="0" collapsed="false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9"/>
      <c r="AB33" s="10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3"/>
      <c r="DD33" s="23"/>
      <c r="DE33" s="23"/>
      <c r="DF33" s="23"/>
      <c r="DG33" s="23"/>
      <c r="DH33" s="23"/>
      <c r="DI33" s="23"/>
      <c r="DJ33" s="23"/>
      <c r="DK33" s="23"/>
      <c r="DL33" s="23"/>
      <c r="DM33" s="23"/>
      <c r="DN33" s="23"/>
      <c r="DO33" s="23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  <c r="IU33" s="23"/>
      <c r="IV33" s="23"/>
      <c r="IW33" s="23"/>
    </row>
    <row r="34" customFormat="false" ht="12.75" hidden="false" customHeight="false" outlineLevel="0" collapsed="false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9"/>
      <c r="AB34" s="10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3"/>
      <c r="CD34" s="23"/>
      <c r="CE34" s="23"/>
      <c r="CF34" s="23"/>
      <c r="CG34" s="23"/>
      <c r="CH34" s="23"/>
      <c r="CI34" s="23"/>
      <c r="CJ34" s="23"/>
      <c r="CK34" s="23"/>
      <c r="CL34" s="23"/>
      <c r="CM34" s="23"/>
      <c r="CN34" s="23"/>
      <c r="CO34" s="23"/>
      <c r="CP34" s="23"/>
      <c r="CQ34" s="23"/>
      <c r="CR34" s="23"/>
      <c r="CS34" s="23"/>
      <c r="CT34" s="23"/>
      <c r="CU34" s="23"/>
      <c r="CV34" s="23"/>
      <c r="CW34" s="23"/>
      <c r="CX34" s="23"/>
      <c r="CY34" s="23"/>
      <c r="CZ34" s="23"/>
      <c r="DA34" s="23"/>
      <c r="DB34" s="23"/>
      <c r="DC34" s="23"/>
      <c r="DD34" s="23"/>
      <c r="DE34" s="23"/>
      <c r="DF34" s="23"/>
      <c r="DG34" s="23"/>
      <c r="DH34" s="23"/>
      <c r="DI34" s="23"/>
      <c r="DJ34" s="23"/>
      <c r="DK34" s="23"/>
      <c r="DL34" s="23"/>
      <c r="DM34" s="23"/>
      <c r="DN34" s="23"/>
      <c r="DO34" s="23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  <c r="IU34" s="23"/>
      <c r="IV34" s="23"/>
      <c r="IW34" s="23"/>
    </row>
  </sheetData>
  <printOptions headings="false" gridLines="false" gridLinesSet="true" horizontalCentered="false" verticalCentered="false"/>
  <pageMargins left="0.5" right="0.5" top="0.5" bottom="0.5" header="0.511811023622047" footer="0.5"/>
  <pageSetup paperSize="1" scale="7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 &amp;A&amp;R&amp;D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4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1" activeCellId="0" sqref="A1"/>
    </sheetView>
  </sheetViews>
  <sheetFormatPr defaultColWidth="7.9921875" defaultRowHeight="12.75" customHeight="true" zeroHeight="false" outlineLevelRow="0" outlineLevelCol="1"/>
  <cols>
    <col collapsed="false" customWidth="true" hidden="false" outlineLevel="0" max="1" min="1" style="1" width="8.14"/>
    <col collapsed="false" customWidth="true" hidden="false" outlineLevel="0" max="2" min="2" style="1" width="41.99"/>
    <col collapsed="false" customWidth="true" hidden="false" outlineLevel="0" max="3" min="3" style="1" width="3.56"/>
    <col collapsed="false" customWidth="true" hidden="false" outlineLevel="0" max="10" min="4" style="1" width="11.56"/>
    <col collapsed="false" customWidth="true" hidden="true" outlineLevel="1" max="11" min="11" style="1" width="20.13"/>
    <col collapsed="false" customWidth="true" hidden="true" outlineLevel="1" max="25" min="12" style="1" width="10.41"/>
    <col collapsed="false" customWidth="false" hidden="true" outlineLevel="1" max="26" min="26" style="1" width="7.99"/>
    <col collapsed="false" customWidth="true" hidden="false" outlineLevel="0" max="27" min="27" style="2" width="15.13"/>
    <col collapsed="false" customWidth="true" hidden="false" outlineLevel="0" max="28" min="28" style="3" width="4.41"/>
    <col collapsed="false" customWidth="false" hidden="false" outlineLevel="0" max="257" min="29" style="1" width="7.99"/>
  </cols>
  <sheetData>
    <row r="1" customFormat="false" ht="18.75" hidden="false" customHeight="false" outlineLevel="0" collapsed="false">
      <c r="A1" s="4" t="s">
        <v>0</v>
      </c>
      <c r="B1" s="5"/>
      <c r="C1" s="6"/>
      <c r="D1" s="6"/>
      <c r="E1" s="6"/>
      <c r="F1" s="7" t="s">
        <v>1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8"/>
      <c r="Z1" s="9"/>
      <c r="AA1" s="10"/>
      <c r="AB1" s="10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8.75" hidden="false" customHeight="false" outlineLevel="0" collapsed="false">
      <c r="A2" s="4"/>
      <c r="B2" s="5"/>
      <c r="C2" s="6"/>
      <c r="D2" s="6"/>
      <c r="E2" s="6"/>
      <c r="F2" s="7" t="s">
        <v>32</v>
      </c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8"/>
      <c r="Z2" s="9"/>
      <c r="AA2" s="10"/>
      <c r="AB2" s="10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</row>
    <row r="3" customFormat="false" ht="13.5" hidden="false" customHeight="false" outlineLevel="0" collapsed="false">
      <c r="A3" s="11"/>
      <c r="B3" s="12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4"/>
      <c r="Z3" s="15"/>
      <c r="AA3" s="10"/>
      <c r="AB3" s="10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  <c r="IW3" s="13"/>
    </row>
    <row r="4" customFormat="false" ht="19.5" hidden="false" customHeight="false" outlineLevel="0" collapsed="false">
      <c r="A4" s="6"/>
      <c r="B4" s="16" t="s">
        <v>3</v>
      </c>
      <c r="C4" s="17"/>
      <c r="D4" s="124" t="n">
        <f aca="false">(PF1!D4*'Common Assumpt'!$G$59+PF2!D4*'Common Assumpt'!$G$60+PF3!D4*'Common Assumpt'!$G$61)*0+-2.701+11</f>
        <v>8.299</v>
      </c>
      <c r="E4" s="10"/>
      <c r="F4" s="16" t="s">
        <v>4</v>
      </c>
      <c r="G4" s="19"/>
      <c r="H4" s="20"/>
      <c r="I4" s="20"/>
      <c r="J4" s="21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8"/>
      <c r="Z4" s="9"/>
      <c r="AA4" s="10"/>
      <c r="AB4" s="10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</row>
    <row r="5" customFormat="false" ht="12.75" hidden="false" customHeight="false" outlineLevel="0" collapsed="false">
      <c r="A5" s="22"/>
      <c r="B5" s="23"/>
      <c r="C5" s="22"/>
      <c r="D5" s="22"/>
      <c r="E5" s="10"/>
      <c r="F5" s="24" t="s">
        <v>5</v>
      </c>
      <c r="G5" s="25"/>
      <c r="H5" s="26" t="n">
        <f aca="false">SUM('Common Assumpt'!$G$42:$G$43)</f>
        <v>11.4028007279002</v>
      </c>
      <c r="I5" s="27" t="s">
        <v>6</v>
      </c>
      <c r="J5" s="28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9"/>
      <c r="Z5" s="10"/>
      <c r="AA5" s="10"/>
      <c r="AB5" s="10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  <c r="IS5" s="23"/>
      <c r="IT5" s="23"/>
      <c r="IU5" s="23"/>
      <c r="IV5" s="23"/>
      <c r="IW5" s="23"/>
    </row>
    <row r="6" customFormat="false" ht="12.75" hidden="false" customHeight="false" outlineLevel="0" collapsed="false">
      <c r="A6" s="22"/>
      <c r="B6" s="23"/>
      <c r="C6" s="23"/>
      <c r="D6" s="23"/>
      <c r="E6" s="10"/>
      <c r="F6" s="30" t="s">
        <v>7</v>
      </c>
      <c r="G6" s="10"/>
      <c r="H6" s="31" t="n">
        <f aca="false">+'Common Assumpt'!$G$44</f>
        <v>0.0265196692497692</v>
      </c>
      <c r="I6" s="32" t="s">
        <v>8</v>
      </c>
      <c r="J6" s="3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9"/>
      <c r="Z6" s="10"/>
      <c r="AA6" s="10"/>
      <c r="AB6" s="10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  <c r="IN6" s="23"/>
      <c r="IO6" s="23"/>
      <c r="IP6" s="23"/>
      <c r="IQ6" s="23"/>
      <c r="IR6" s="23"/>
      <c r="IS6" s="23"/>
      <c r="IT6" s="23"/>
      <c r="IU6" s="23"/>
      <c r="IV6" s="23"/>
      <c r="IW6" s="23"/>
    </row>
    <row r="7" customFormat="false" ht="12.75" hidden="false" customHeight="false" outlineLevel="0" collapsed="false">
      <c r="A7" s="34"/>
      <c r="B7" s="34"/>
      <c r="C7" s="34"/>
      <c r="D7" s="34"/>
      <c r="E7" s="10"/>
      <c r="F7" s="35" t="s">
        <v>9</v>
      </c>
      <c r="G7" s="10"/>
      <c r="H7" s="36" t="n">
        <v>1</v>
      </c>
      <c r="I7" s="37" t="s">
        <v>6</v>
      </c>
      <c r="J7" s="38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9"/>
      <c r="Z7" s="10"/>
      <c r="AA7" s="10"/>
      <c r="AB7" s="10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  <c r="IT7" s="23"/>
      <c r="IU7" s="23"/>
      <c r="IV7" s="23"/>
      <c r="IW7" s="23"/>
    </row>
    <row r="8" customFormat="false" ht="12.75" hidden="false" customHeight="false" outlineLevel="0" collapsed="false">
      <c r="A8" s="34"/>
      <c r="B8" s="34"/>
      <c r="C8" s="34"/>
      <c r="D8" s="34"/>
      <c r="E8" s="10"/>
      <c r="F8" s="39" t="s">
        <v>10</v>
      </c>
      <c r="G8" s="40" t="s">
        <v>11</v>
      </c>
      <c r="H8" s="41" t="s">
        <v>12</v>
      </c>
      <c r="I8" s="41" t="s">
        <v>11</v>
      </c>
      <c r="J8" s="42" t="s">
        <v>12</v>
      </c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9"/>
      <c r="Z8" s="10"/>
      <c r="AA8" s="10"/>
      <c r="AB8" s="10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  <c r="IT8" s="23"/>
      <c r="IU8" s="23"/>
      <c r="IV8" s="23"/>
      <c r="IW8" s="23"/>
    </row>
    <row r="9" customFormat="false" ht="12.75" hidden="false" customHeight="false" outlineLevel="0" collapsed="false">
      <c r="A9" s="34"/>
      <c r="B9" s="34"/>
      <c r="C9" s="34"/>
      <c r="D9" s="34"/>
      <c r="E9" s="23"/>
      <c r="F9" s="43" t="s">
        <v>13</v>
      </c>
      <c r="G9" s="44" t="s">
        <v>14</v>
      </c>
      <c r="H9" s="45" t="s">
        <v>14</v>
      </c>
      <c r="I9" s="45" t="s">
        <v>15</v>
      </c>
      <c r="J9" s="46" t="s">
        <v>15</v>
      </c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9"/>
      <c r="Z9" s="10"/>
      <c r="AA9" s="10"/>
      <c r="AB9" s="10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  <c r="IR9" s="23"/>
      <c r="IS9" s="23"/>
      <c r="IT9" s="23"/>
      <c r="IU9" s="23"/>
      <c r="IV9" s="23"/>
      <c r="IW9" s="23"/>
    </row>
    <row r="10" customFormat="false" ht="12.75" hidden="false" customHeight="false" outlineLevel="0" collapsed="false">
      <c r="A10" s="34"/>
      <c r="B10" s="34"/>
      <c r="C10" s="34"/>
      <c r="D10" s="34"/>
      <c r="E10" s="23"/>
      <c r="F10" s="47" t="s">
        <v>16</v>
      </c>
      <c r="G10" s="48" t="n">
        <f aca="false">+AVERAGE(Elba!G15:K15)</f>
        <v>15.4</v>
      </c>
      <c r="H10" s="49" t="n">
        <f aca="false">SUM(SUMPRODUCT(Elba!$G$150:$K$150,Elba!$G$151:$K$151))/SUM(Elba!$G$151:$K$151)</f>
        <v>0.461244300830489</v>
      </c>
      <c r="I10" s="125" t="n">
        <f aca="false">+AVERAGE(Elba!L21:W21)</f>
        <v>17</v>
      </c>
      <c r="J10" s="126" t="n">
        <f aca="false">SUM(SUMPRODUCT(Elba!$L$150:$W$150,Elba!$L$151:$W$151))/SUM(Elba!$L$151:$W$151)</f>
        <v>0.446378709073113</v>
      </c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0"/>
      <c r="AB10" s="10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3"/>
    </row>
    <row r="11" customFormat="false" ht="12.75" hidden="false" customHeight="false" outlineLevel="0" collapsed="false">
      <c r="A11" s="34"/>
      <c r="B11" s="34"/>
      <c r="C11" s="34"/>
      <c r="D11" s="34"/>
      <c r="E11" s="23"/>
      <c r="F11" s="52" t="s">
        <v>18</v>
      </c>
      <c r="G11" s="53" t="n">
        <f aca="false">+AVERAGE(Elba!G16:K16)</f>
        <v>3.6</v>
      </c>
      <c r="H11" s="54" t="n">
        <f aca="false">SUM(SUMPRODUCT(Elba!$G$153:$K$153,Elba!$G$154:$K$154))/SUM(Elba!$G$154:$K$154)</f>
        <v>0.521737800246122</v>
      </c>
      <c r="I11" s="127" t="n">
        <f aca="false">+AVERAGE(Elba!L22:W22)</f>
        <v>5.25</v>
      </c>
      <c r="J11" s="128" t="n">
        <f aca="false">SUM(SUMPRODUCT(Elba!$L$153:$W$153,Elba!$L$154:$W$154))/SUM(Elba!$L$154:$W$154)</f>
        <v>0.527010051842568</v>
      </c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0"/>
      <c r="AB11" s="10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</row>
    <row r="12" customFormat="false" ht="13.5" hidden="false" customHeight="false" outlineLevel="0" collapsed="false">
      <c r="A12" s="34"/>
      <c r="B12" s="34"/>
      <c r="C12" s="34"/>
      <c r="D12" s="34"/>
      <c r="E12" s="23"/>
      <c r="F12" s="57" t="s">
        <v>19</v>
      </c>
      <c r="G12" s="58" t="n">
        <f aca="false">+SUM(G10:G11)</f>
        <v>19</v>
      </c>
      <c r="H12" s="59" t="n">
        <f aca="false">(H10*G10*ML+H11*G11*NB)/(G10*ML+G11*NB)</f>
        <v>0.477368329056184</v>
      </c>
      <c r="I12" s="60" t="n">
        <f aca="false">+SUM(I10:I11)</f>
        <v>22.25</v>
      </c>
      <c r="J12" s="129" t="n">
        <f aca="false">(J10*I10*ML+J11*I11*NB)/(I10*ML+I11*NB)</f>
        <v>0.472532533939009</v>
      </c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0"/>
      <c r="AB12" s="10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  <c r="IV12" s="23"/>
      <c r="IW12" s="23"/>
    </row>
    <row r="13" customFormat="false" ht="12.75" hidden="false" customHeight="false" outlineLevel="0" collapsed="false">
      <c r="A13" s="34"/>
      <c r="B13" s="34"/>
      <c r="C13" s="34"/>
      <c r="D13" s="34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0"/>
      <c r="AB13" s="10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  <c r="IV13" s="23"/>
      <c r="IW13" s="23"/>
    </row>
    <row r="14" customFormat="false" ht="12.75" hidden="false" customHeight="false" outlineLevel="0" collapsed="false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0"/>
      <c r="AB14" s="10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  <c r="IV14" s="23"/>
      <c r="IW14" s="23"/>
    </row>
    <row r="15" customFormat="false" ht="12.75" hidden="false" customHeight="false" outlineLevel="0" collapsed="false">
      <c r="A15" s="62" t="s">
        <v>20</v>
      </c>
      <c r="B15" s="63"/>
      <c r="C15" s="63"/>
      <c r="D15" s="64"/>
      <c r="E15" s="65" t="n">
        <f aca="false">+F15-1</f>
        <v>2002</v>
      </c>
      <c r="F15" s="65" t="n">
        <f aca="false">+[1]CF!D8</f>
        <v>2003</v>
      </c>
      <c r="G15" s="65" t="n">
        <f aca="false">+[1]CF!E8</f>
        <v>2004</v>
      </c>
      <c r="H15" s="65" t="n">
        <f aca="false">+[1]CF!F8</f>
        <v>2005</v>
      </c>
      <c r="I15" s="65" t="n">
        <f aca="false">+[1]CF!G8</f>
        <v>2006</v>
      </c>
      <c r="J15" s="65" t="n">
        <f aca="false">+[1]CF!H8</f>
        <v>2007</v>
      </c>
      <c r="K15" s="65" t="n">
        <f aca="false">+[1]CF!I8</f>
        <v>2008</v>
      </c>
      <c r="L15" s="65" t="n">
        <f aca="false">+[1]CF!J8</f>
        <v>2009</v>
      </c>
      <c r="M15" s="65" t="n">
        <f aca="false">+[1]CF!K8</f>
        <v>2010</v>
      </c>
      <c r="N15" s="65" t="n">
        <f aca="false">+[1]CF!L8</f>
        <v>2011</v>
      </c>
      <c r="O15" s="65" t="n">
        <f aca="false">+[1]CF!M8</f>
        <v>2012</v>
      </c>
      <c r="P15" s="65" t="n">
        <f aca="false">+[1]CF!N8</f>
        <v>2013</v>
      </c>
      <c r="Q15" s="65" t="n">
        <f aca="false">+[1]CF!O8</f>
        <v>2014</v>
      </c>
      <c r="R15" s="65" t="n">
        <f aca="false">+[1]CF!P8</f>
        <v>2015</v>
      </c>
      <c r="S15" s="65" t="n">
        <f aca="false">+[1]CF!Q8</f>
        <v>2016</v>
      </c>
      <c r="T15" s="65" t="n">
        <f aca="false">+[1]CF!R8</f>
        <v>2017</v>
      </c>
      <c r="U15" s="65" t="n">
        <f aca="false">+[1]CF!S8</f>
        <v>2018</v>
      </c>
      <c r="V15" s="65" t="n">
        <f aca="false">+[1]CF!T8</f>
        <v>2019</v>
      </c>
      <c r="W15" s="65" t="n">
        <f aca="false">+[1]CF!U8</f>
        <v>2020</v>
      </c>
      <c r="X15" s="65" t="n">
        <f aca="false">+[1]CF!V8</f>
        <v>2021</v>
      </c>
      <c r="Y15" s="66" t="n">
        <f aca="false">+[1]CF!W8</f>
        <v>2022</v>
      </c>
      <c r="Z15" s="67"/>
      <c r="AA15" s="68" t="s">
        <v>21</v>
      </c>
      <c r="AB15" s="10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  <c r="IV15" s="23"/>
      <c r="IW15" s="23"/>
    </row>
    <row r="16" customFormat="false" ht="12.75" hidden="false" customHeight="false" outlineLevel="0" collapsed="false">
      <c r="A16" s="69" t="s">
        <v>22</v>
      </c>
      <c r="B16" s="10"/>
      <c r="C16" s="10"/>
      <c r="D16" s="10"/>
      <c r="E16" s="70" t="n">
        <v>4</v>
      </c>
      <c r="F16" s="70" t="n">
        <f aca="false">(Elba!H$5-Elba!G$5)*12</f>
        <v>12</v>
      </c>
      <c r="G16" s="70" t="n">
        <f aca="false">(Elba!I$5-Elba!H$5)*12</f>
        <v>12</v>
      </c>
      <c r="H16" s="70" t="n">
        <f aca="false">(Elba!J$5-Elba!I$5)*12</f>
        <v>12</v>
      </c>
      <c r="I16" s="70" t="n">
        <f aca="false">(Elba!K$5-Elba!J$5)*12</f>
        <v>12</v>
      </c>
      <c r="J16" s="70" t="n">
        <f aca="false">(Elba!L$5-Elba!K$5)*12</f>
        <v>12</v>
      </c>
      <c r="K16" s="70" t="n">
        <f aca="false">(Elba!M$5-Elba!L$5)*12</f>
        <v>12</v>
      </c>
      <c r="L16" s="70" t="n">
        <f aca="false">(Elba!N$5-Elba!M$5)*12</f>
        <v>12</v>
      </c>
      <c r="M16" s="70" t="n">
        <f aca="false">(Elba!O$5-Elba!N$5)*12</f>
        <v>12</v>
      </c>
      <c r="N16" s="70" t="n">
        <f aca="false">(Elba!P$5-Elba!O$5)*12</f>
        <v>12</v>
      </c>
      <c r="O16" s="70" t="n">
        <f aca="false">(Elba!Q$5-Elba!P$5)*12</f>
        <v>12</v>
      </c>
      <c r="P16" s="70" t="n">
        <f aca="false">(Elba!R$5-Elba!Q$5)*12</f>
        <v>12</v>
      </c>
      <c r="Q16" s="70" t="n">
        <f aca="false">(Elba!S$5-Elba!R$5)*12</f>
        <v>12</v>
      </c>
      <c r="R16" s="70" t="n">
        <f aca="false">(Elba!T$5-Elba!S$5)*12</f>
        <v>12</v>
      </c>
      <c r="S16" s="70" t="n">
        <f aca="false">(Elba!U$5-Elba!T$5)*12</f>
        <v>12</v>
      </c>
      <c r="T16" s="70" t="n">
        <f aca="false">(Elba!V$5-Elba!U$5)*12</f>
        <v>12</v>
      </c>
      <c r="U16" s="70" t="n">
        <f aca="false">(Elba!W$5-Elba!V$5)*12</f>
        <v>12</v>
      </c>
      <c r="V16" s="70" t="n">
        <v>8</v>
      </c>
      <c r="W16" s="70" t="n">
        <f aca="false">(Elba!Y$5-Elba!X$5)*12</f>
        <v>0</v>
      </c>
      <c r="X16" s="70" t="n">
        <f aca="false">(Elba!Z$5-Elba!Y$5)*12</f>
        <v>0</v>
      </c>
      <c r="Y16" s="71" t="n">
        <v>0</v>
      </c>
      <c r="Z16" s="72"/>
      <c r="AA16" s="73"/>
      <c r="AB16" s="10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  <c r="IV16" s="23"/>
      <c r="IW16" s="23"/>
    </row>
    <row r="17" customFormat="false" ht="12.75" hidden="false" customHeight="false" outlineLevel="0" collapsed="false">
      <c r="A17" s="69" t="s">
        <v>23</v>
      </c>
      <c r="B17" s="10"/>
      <c r="C17" s="10"/>
      <c r="D17" s="10"/>
      <c r="E17" s="74" t="n">
        <f aca="false">+E16/12</f>
        <v>0.333333333333333</v>
      </c>
      <c r="F17" s="74" t="n">
        <f aca="false">+F16/12+E17</f>
        <v>1.33333333333333</v>
      </c>
      <c r="G17" s="74" t="n">
        <f aca="false">+G16/12+F17</f>
        <v>2.33333333333333</v>
      </c>
      <c r="H17" s="74" t="n">
        <f aca="false">+H16/12+G17</f>
        <v>3.33333333333333</v>
      </c>
      <c r="I17" s="74" t="n">
        <f aca="false">+I16/12+H17</f>
        <v>4.33333333333333</v>
      </c>
      <c r="J17" s="74" t="n">
        <f aca="false">+J16/12+I17</f>
        <v>5.33333333333333</v>
      </c>
      <c r="K17" s="74" t="n">
        <f aca="false">+K16/12+J17</f>
        <v>6.33333333333333</v>
      </c>
      <c r="L17" s="74" t="n">
        <f aca="false">+L16/12+K17</f>
        <v>7.33333333333333</v>
      </c>
      <c r="M17" s="74" t="n">
        <f aca="false">+M16/12+L17</f>
        <v>8.33333333333333</v>
      </c>
      <c r="N17" s="74" t="n">
        <f aca="false">+N16/12+M17</f>
        <v>9.33333333333333</v>
      </c>
      <c r="O17" s="74" t="n">
        <f aca="false">+O16/12+N17</f>
        <v>10.3333333333333</v>
      </c>
      <c r="P17" s="74" t="n">
        <f aca="false">+P16/12+O17</f>
        <v>11.3333333333333</v>
      </c>
      <c r="Q17" s="74" t="n">
        <f aca="false">+Q16/12+P17</f>
        <v>12.3333333333333</v>
      </c>
      <c r="R17" s="74" t="n">
        <f aca="false">+R16/12+Q17</f>
        <v>13.3333333333333</v>
      </c>
      <c r="S17" s="74" t="n">
        <f aca="false">+S16/12+R17</f>
        <v>14.3333333333333</v>
      </c>
      <c r="T17" s="74" t="n">
        <f aca="false">+T16/12+S17</f>
        <v>15.3333333333333</v>
      </c>
      <c r="U17" s="74" t="n">
        <f aca="false">+U16/12+T17</f>
        <v>16.3333333333333</v>
      </c>
      <c r="V17" s="74" t="n">
        <f aca="false">+V16/12+U17</f>
        <v>17</v>
      </c>
      <c r="W17" s="74" t="n">
        <f aca="false">+W16/12+V17</f>
        <v>17</v>
      </c>
      <c r="X17" s="74" t="n">
        <f aca="false">+X16/12+W17</f>
        <v>17</v>
      </c>
      <c r="Y17" s="75" t="n">
        <f aca="false">+Y16/12+X17</f>
        <v>17</v>
      </c>
      <c r="Z17" s="72"/>
      <c r="AA17" s="73"/>
      <c r="AB17" s="10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  <c r="IU17" s="23"/>
      <c r="IV17" s="23"/>
      <c r="IW17" s="23"/>
    </row>
    <row r="18" customFormat="false" ht="12.75" hidden="false" customHeight="false" outlineLevel="0" collapsed="false">
      <c r="A18" s="76" t="s">
        <v>24</v>
      </c>
      <c r="B18" s="77"/>
      <c r="C18" s="77"/>
      <c r="D18" s="78"/>
      <c r="E18" s="79" t="n">
        <f aca="false">+PF1!E18*'Common Assumpt'!$G$59+PF2!E18*'Common Assumpt'!$G$60+PF3!E18*'Common Assumpt'!$G$61</f>
        <v>11.6052359811833</v>
      </c>
      <c r="F18" s="79" t="n">
        <f aca="false">+PF1!F18*'Common Assumpt'!$G$59+PF2!F18*'Common Assumpt'!$G$60+PF3!F18*'Common Assumpt'!$G$61</f>
        <v>34.1330470034802</v>
      </c>
      <c r="G18" s="79" t="n">
        <f aca="false">+PF1!G18*'Common Assumpt'!$G$59+PF2!G18*'Common Assumpt'!$G$60+PF3!G18*'Common Assumpt'!$G$61</f>
        <v>32.0850641832714</v>
      </c>
      <c r="H18" s="79" t="n">
        <f aca="false">+PF1!H18*'Common Assumpt'!$G$59+PF2!H18*'Common Assumpt'!$G$60+PF3!H18*'Common Assumpt'!$G$61</f>
        <v>30.7197423031322</v>
      </c>
      <c r="I18" s="79" t="n">
        <f aca="false">+PF1!I18*'Common Assumpt'!$G$59+PF2!I18*'Common Assumpt'!$G$60+PF3!I18*'Common Assumpt'!$G$61</f>
        <v>30.0370813630626</v>
      </c>
      <c r="J18" s="79" t="n">
        <f aca="false">+PF1!J18*'Common Assumpt'!$G$59+PF2!J18*'Common Assumpt'!$G$60+PF3!J18*'Common Assumpt'!$G$61</f>
        <v>26.0776479106589</v>
      </c>
      <c r="K18" s="80" t="n">
        <f aca="false">+PF1!K18*'Common Assumpt'!$G$59+PF2!K18*'Common Assumpt'!$G$60+PF3!K18*'Common Assumpt'!$G$61</f>
        <v>20.8894247661299</v>
      </c>
      <c r="L18" s="80" t="n">
        <f aca="false">+PF1!L18*'Common Assumpt'!$G$59+PF2!L18*'Common Assumpt'!$G$60+PF3!L18*'Common Assumpt'!$G$61</f>
        <v>20.8894247661299</v>
      </c>
      <c r="M18" s="80" t="n">
        <f aca="false">+PF1!M18*'Common Assumpt'!$G$59+PF2!M18*'Common Assumpt'!$G$60+PF3!M18*'Common Assumpt'!$G$61</f>
        <v>20.8894247661299</v>
      </c>
      <c r="N18" s="80" t="n">
        <f aca="false">+PF1!N18*'Common Assumpt'!$G$59+PF2!N18*'Common Assumpt'!$G$60+PF3!N18*'Common Assumpt'!$G$61</f>
        <v>20.8894247661299</v>
      </c>
      <c r="O18" s="80" t="n">
        <f aca="false">+PF1!O18*'Common Assumpt'!$G$59+PF2!O18*'Common Assumpt'!$G$60+PF3!O18*'Common Assumpt'!$G$61</f>
        <v>20.8894247661299</v>
      </c>
      <c r="P18" s="80" t="n">
        <f aca="false">+PF1!P18*'Common Assumpt'!$G$59+PF2!P18*'Common Assumpt'!$G$60+PF3!P18*'Common Assumpt'!$G$61</f>
        <v>20.8894247661299</v>
      </c>
      <c r="Q18" s="80" t="n">
        <f aca="false">+PF1!Q18*'Common Assumpt'!$G$59+PF2!Q18*'Common Assumpt'!$G$60+PF3!Q18*'Common Assumpt'!$G$61</f>
        <v>20.8894247661299</v>
      </c>
      <c r="R18" s="80" t="n">
        <f aca="false">+PF1!R18*'Common Assumpt'!$G$59+PF2!R18*'Common Assumpt'!$G$60+PF3!R18*'Common Assumpt'!$G$61</f>
        <v>20.8894247661299</v>
      </c>
      <c r="S18" s="80" t="n">
        <f aca="false">+PF1!S18*'Common Assumpt'!$G$59+PF2!S18*'Common Assumpt'!$G$60+PF3!S18*'Common Assumpt'!$G$61</f>
        <v>20.8894247661299</v>
      </c>
      <c r="T18" s="80" t="n">
        <f aca="false">+PF1!T18*'Common Assumpt'!$G$59+PF2!T18*'Common Assumpt'!$G$60+PF3!T18*'Common Assumpt'!$G$61</f>
        <v>20.8894247661299</v>
      </c>
      <c r="U18" s="80" t="n">
        <f aca="false">+PF1!U18*'Common Assumpt'!$G$59+PF2!U18*'Common Assumpt'!$G$60+PF3!U18*'Common Assumpt'!$G$61</f>
        <v>20.8894247661299</v>
      </c>
      <c r="V18" s="80" t="n">
        <f aca="false">+PF1!V18*'Common Assumpt'!$G$59+PF2!V18*'Common Assumpt'!$G$60+PF3!V18*'Common Assumpt'!$G$61</f>
        <v>13.9262831774199</v>
      </c>
      <c r="W18" s="80" t="n">
        <f aca="false">+PF1!W18*'Common Assumpt'!$G$59+PF2!W18*'Common Assumpt'!$G$60+PF3!W18*'Common Assumpt'!$G$61</f>
        <v>0</v>
      </c>
      <c r="X18" s="80" t="n">
        <f aca="false">+PF1!X18*'Common Assumpt'!$G$59+PF2!X18*'Common Assumpt'!$G$60+PF3!X18*'Common Assumpt'!$G$61</f>
        <v>0</v>
      </c>
      <c r="Y18" s="81" t="n">
        <f aca="false">+PF1!Y18*'Common Assumpt'!$G$59+PF2!Y18*'Common Assumpt'!$G$60+PF3!Y18*'Common Assumpt'!$G$61</f>
        <v>0</v>
      </c>
      <c r="Z18" s="72"/>
      <c r="AA18" s="82" t="n">
        <f aca="false">+AVERAGE(K18:T18)</f>
        <v>20.8894247661299</v>
      </c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</row>
    <row r="19" customFormat="false" ht="12.75" hidden="false" customHeight="false" outlineLevel="0" collapsed="false">
      <c r="A19" s="83" t="s">
        <v>25</v>
      </c>
      <c r="B19" s="84"/>
      <c r="C19" s="84"/>
      <c r="D19" s="85"/>
      <c r="E19" s="86" t="n">
        <f aca="false">+PF1!E19*'Common Assumpt'!$G$59+PF2!E19*'Common Assumpt'!$G$60+PF3!E19*'Common Assumpt'!$G$61</f>
        <v>4.24494984086858</v>
      </c>
      <c r="F19" s="86" t="n">
        <f aca="false">+PF1!F19*'Common Assumpt'!$G$59+PF2!F19*'Common Assumpt'!$G$60+PF3!F19*'Common Assumpt'!$G$61</f>
        <v>12.7348495226057</v>
      </c>
      <c r="G19" s="86" t="n">
        <f aca="false">+PF1!G19*'Common Assumpt'!$G$59+PF2!G19*'Common Assumpt'!$G$60+PF3!G19*'Common Assumpt'!$G$61</f>
        <v>12.7348495226057</v>
      </c>
      <c r="H19" s="86" t="n">
        <f aca="false">+PF1!H19*'Common Assumpt'!$G$59+PF2!H19*'Common Assumpt'!$G$60+PF3!H19*'Common Assumpt'!$G$61</f>
        <v>11.6736120623886</v>
      </c>
      <c r="I19" s="86" t="n">
        <f aca="false">+PF1!I19*'Common Assumpt'!$G$59+PF2!I19*'Common Assumpt'!$G$60+PF3!I19*'Common Assumpt'!$G$61</f>
        <v>9.5511371419543</v>
      </c>
      <c r="J19" s="86" t="n">
        <f aca="false">+PF1!J19*'Common Assumpt'!$G$59+PF2!J19*'Common Assumpt'!$G$60+PF3!J19*'Common Assumpt'!$G$61</f>
        <v>8.91439466582402</v>
      </c>
      <c r="K19" s="87" t="n">
        <f aca="false">+PF1!K19*'Common Assumpt'!$G$59+PF2!K19*'Common Assumpt'!$G$60+PF3!K19*'Common Assumpt'!$G$61</f>
        <v>7.64090971356344</v>
      </c>
      <c r="L19" s="87" t="n">
        <f aca="false">+PF1!L19*'Common Assumpt'!$G$59+PF2!L19*'Common Assumpt'!$G$60+PF3!L19*'Common Assumpt'!$G$61</f>
        <v>7.64090971356344</v>
      </c>
      <c r="M19" s="87" t="n">
        <f aca="false">+PF1!M19*'Common Assumpt'!$G$59+PF2!M19*'Common Assumpt'!$G$60+PF3!M19*'Common Assumpt'!$G$61</f>
        <v>8.27765218969373</v>
      </c>
      <c r="N19" s="87" t="n">
        <f aca="false">+PF1!N19*'Common Assumpt'!$G$59+PF2!N19*'Common Assumpt'!$G$60+PF3!N19*'Common Assumpt'!$G$61</f>
        <v>9.5511371419543</v>
      </c>
      <c r="O19" s="87" t="n">
        <f aca="false">+PF1!O19*'Common Assumpt'!$G$59+PF2!O19*'Common Assumpt'!$G$60+PF3!O19*'Common Assumpt'!$G$61</f>
        <v>9.5511371419543</v>
      </c>
      <c r="P19" s="87" t="n">
        <f aca="false">+PF1!P19*'Common Assumpt'!$G$59+PF2!P19*'Common Assumpt'!$G$60+PF3!P19*'Common Assumpt'!$G$61</f>
        <v>10.1878796180846</v>
      </c>
      <c r="Q19" s="87" t="n">
        <f aca="false">+PF1!Q19*'Common Assumpt'!$G$59+PF2!Q19*'Common Assumpt'!$G$60+PF3!Q19*'Common Assumpt'!$G$61</f>
        <v>11.4613645703452</v>
      </c>
      <c r="R19" s="87" t="n">
        <f aca="false">+PF1!R19*'Common Assumpt'!$G$59+PF2!R19*'Common Assumpt'!$G$60+PF3!R19*'Common Assumpt'!$G$61</f>
        <v>11.4613645703452</v>
      </c>
      <c r="S19" s="87" t="n">
        <f aca="false">+PF1!S19*'Common Assumpt'!$G$59+PF2!S19*'Common Assumpt'!$G$60+PF3!S19*'Common Assumpt'!$G$61</f>
        <v>11.4613645703452</v>
      </c>
      <c r="T19" s="87" t="n">
        <f aca="false">+PF1!T19*'Common Assumpt'!$G$59+PF2!T19*'Common Assumpt'!$G$60+PF3!T19*'Common Assumpt'!$G$61</f>
        <v>11.4613645703452</v>
      </c>
      <c r="U19" s="87" t="n">
        <f aca="false">+PF1!U19*'Common Assumpt'!$G$59+PF2!U19*'Common Assumpt'!$G$60+PF3!U19*'Common Assumpt'!$G$61</f>
        <v>11.4613645703452</v>
      </c>
      <c r="V19" s="87" t="n">
        <f aca="false">+PF1!V19*'Common Assumpt'!$G$59+PF2!V19*'Common Assumpt'!$G$60+PF3!V19*'Common Assumpt'!$G$61</f>
        <v>7.64090971356344</v>
      </c>
      <c r="W19" s="87" t="n">
        <f aca="false">+PF1!W19*'Common Assumpt'!$G$59+PF2!W19*'Common Assumpt'!$G$60+PF3!W19*'Common Assumpt'!$G$61</f>
        <v>0</v>
      </c>
      <c r="X19" s="87" t="n">
        <f aca="false">+PF1!X19*'Common Assumpt'!$G$59+PF2!X19*'Common Assumpt'!$G$60+PF3!X19*'Common Assumpt'!$G$61</f>
        <v>0</v>
      </c>
      <c r="Y19" s="88" t="n">
        <f aca="false">+PF1!Y19*'Common Assumpt'!$G$59+PF2!Y19*'Common Assumpt'!$G$60+PF3!Y19*'Common Assumpt'!$G$61</f>
        <v>0</v>
      </c>
      <c r="Z19" s="89"/>
      <c r="AA19" s="90" t="n">
        <f aca="false">+AVERAGE(K19:T19)</f>
        <v>9.86950838001945</v>
      </c>
      <c r="AB19" s="10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  <c r="CJ19" s="84"/>
      <c r="CK19" s="84"/>
      <c r="CL19" s="84"/>
      <c r="CM19" s="84"/>
      <c r="CN19" s="84"/>
      <c r="CO19" s="84"/>
      <c r="CP19" s="84"/>
      <c r="CQ19" s="84"/>
      <c r="CR19" s="84"/>
      <c r="CS19" s="84"/>
      <c r="CT19" s="84"/>
      <c r="CU19" s="84"/>
      <c r="CV19" s="84"/>
      <c r="CW19" s="84"/>
      <c r="CX19" s="84"/>
      <c r="CY19" s="84"/>
      <c r="CZ19" s="84"/>
      <c r="DA19" s="84"/>
      <c r="DB19" s="84"/>
      <c r="DC19" s="84"/>
      <c r="DD19" s="84"/>
      <c r="DE19" s="84"/>
      <c r="DF19" s="84"/>
      <c r="DG19" s="84"/>
      <c r="DH19" s="84"/>
      <c r="DI19" s="84"/>
      <c r="DJ19" s="84"/>
      <c r="DK19" s="84"/>
      <c r="DL19" s="84"/>
      <c r="DM19" s="84"/>
      <c r="DN19" s="84"/>
      <c r="DO19" s="84"/>
      <c r="DP19" s="84"/>
      <c r="DQ19" s="84"/>
      <c r="DR19" s="84"/>
      <c r="DS19" s="84"/>
      <c r="DT19" s="84"/>
      <c r="DU19" s="84"/>
      <c r="DV19" s="84"/>
      <c r="DW19" s="84"/>
      <c r="DX19" s="84"/>
      <c r="DY19" s="84"/>
      <c r="DZ19" s="84"/>
      <c r="EA19" s="84"/>
      <c r="EB19" s="84"/>
      <c r="EC19" s="84"/>
      <c r="ED19" s="84"/>
      <c r="EE19" s="84"/>
      <c r="EF19" s="84"/>
      <c r="EG19" s="84"/>
      <c r="EH19" s="84"/>
      <c r="EI19" s="84"/>
      <c r="EJ19" s="84"/>
      <c r="EK19" s="84"/>
      <c r="EL19" s="84"/>
      <c r="EM19" s="84"/>
      <c r="EN19" s="84"/>
      <c r="EO19" s="84"/>
      <c r="EP19" s="84"/>
      <c r="EQ19" s="84"/>
      <c r="ER19" s="84"/>
      <c r="ES19" s="84"/>
      <c r="ET19" s="84"/>
      <c r="EU19" s="84"/>
      <c r="EV19" s="84"/>
      <c r="EW19" s="84"/>
      <c r="EX19" s="84"/>
      <c r="EY19" s="84"/>
      <c r="EZ19" s="84"/>
      <c r="FA19" s="84"/>
      <c r="FB19" s="84"/>
      <c r="FC19" s="84"/>
      <c r="FD19" s="84"/>
      <c r="FE19" s="84"/>
      <c r="FF19" s="84"/>
      <c r="FG19" s="84"/>
      <c r="FH19" s="84"/>
      <c r="FI19" s="84"/>
      <c r="FJ19" s="84"/>
      <c r="FK19" s="84"/>
      <c r="FL19" s="84"/>
      <c r="FM19" s="84"/>
      <c r="FN19" s="84"/>
      <c r="FO19" s="84"/>
      <c r="FP19" s="84"/>
      <c r="FQ19" s="84"/>
      <c r="FR19" s="84"/>
      <c r="FS19" s="84"/>
      <c r="FT19" s="84"/>
      <c r="FU19" s="84"/>
      <c r="FV19" s="84"/>
      <c r="FW19" s="84"/>
      <c r="FX19" s="84"/>
      <c r="FY19" s="84"/>
      <c r="FZ19" s="84"/>
      <c r="GA19" s="84"/>
      <c r="GB19" s="84"/>
      <c r="GC19" s="84"/>
      <c r="GD19" s="84"/>
      <c r="GE19" s="84"/>
      <c r="GF19" s="84"/>
      <c r="GG19" s="84"/>
      <c r="GH19" s="84"/>
      <c r="GI19" s="84"/>
      <c r="GJ19" s="84"/>
      <c r="GK19" s="84"/>
      <c r="GL19" s="84"/>
      <c r="GM19" s="84"/>
      <c r="GN19" s="84"/>
      <c r="GO19" s="84"/>
      <c r="GP19" s="84"/>
      <c r="GQ19" s="84"/>
      <c r="GR19" s="84"/>
      <c r="GS19" s="84"/>
      <c r="GT19" s="84"/>
      <c r="GU19" s="84"/>
      <c r="GV19" s="84"/>
      <c r="GW19" s="84"/>
      <c r="GX19" s="84"/>
      <c r="GY19" s="84"/>
      <c r="GZ19" s="84"/>
      <c r="HA19" s="84"/>
      <c r="HB19" s="84"/>
      <c r="HC19" s="84"/>
      <c r="HD19" s="84"/>
      <c r="HE19" s="84"/>
      <c r="HF19" s="84"/>
      <c r="HG19" s="84"/>
      <c r="HH19" s="84"/>
      <c r="HI19" s="84"/>
      <c r="HJ19" s="84"/>
      <c r="HK19" s="84"/>
      <c r="HL19" s="84"/>
      <c r="HM19" s="84"/>
      <c r="HN19" s="84"/>
      <c r="HO19" s="84"/>
      <c r="HP19" s="84"/>
      <c r="HQ19" s="84"/>
      <c r="HR19" s="84"/>
      <c r="HS19" s="84"/>
      <c r="HT19" s="84"/>
      <c r="HU19" s="84"/>
      <c r="HV19" s="84"/>
      <c r="HW19" s="84"/>
      <c r="HX19" s="84"/>
      <c r="HY19" s="84"/>
      <c r="HZ19" s="84"/>
      <c r="IA19" s="84"/>
      <c r="IB19" s="84"/>
      <c r="IC19" s="84"/>
      <c r="ID19" s="84"/>
      <c r="IE19" s="84"/>
      <c r="IF19" s="84"/>
      <c r="IG19" s="84"/>
      <c r="IH19" s="84"/>
      <c r="II19" s="84"/>
      <c r="IJ19" s="84"/>
      <c r="IK19" s="84"/>
      <c r="IL19" s="84"/>
      <c r="IM19" s="84"/>
      <c r="IN19" s="84"/>
      <c r="IO19" s="84"/>
      <c r="IP19" s="84"/>
      <c r="IQ19" s="84"/>
      <c r="IR19" s="84"/>
      <c r="IS19" s="84"/>
      <c r="IT19" s="84"/>
      <c r="IU19" s="84"/>
      <c r="IV19" s="84"/>
      <c r="IW19" s="84"/>
    </row>
    <row r="20" customFormat="false" ht="12.75" hidden="false" customHeight="false" outlineLevel="0" collapsed="false">
      <c r="A20" s="91" t="s">
        <v>26</v>
      </c>
      <c r="B20" s="92"/>
      <c r="C20" s="92"/>
      <c r="D20" s="92"/>
      <c r="E20" s="93" t="n">
        <f aca="false">+SUM(E18:E19)</f>
        <v>15.8501858220519</v>
      </c>
      <c r="F20" s="93" t="n">
        <f aca="false">+SUM(F18:F19)</f>
        <v>46.867896526086</v>
      </c>
      <c r="G20" s="93" t="n">
        <f aca="false">+SUM(G18:G19)</f>
        <v>44.8199137058772</v>
      </c>
      <c r="H20" s="93" t="n">
        <f aca="false">+SUM(H18:H19)</f>
        <v>42.3933543655208</v>
      </c>
      <c r="I20" s="93" t="n">
        <f aca="false">+SUM(I18:I19)</f>
        <v>39.5882185050169</v>
      </c>
      <c r="J20" s="93" t="n">
        <f aca="false">+SUM(J18:J19)</f>
        <v>34.9920425764829</v>
      </c>
      <c r="K20" s="94" t="n">
        <f aca="false">+SUM(K18:K19)</f>
        <v>28.5303344796933</v>
      </c>
      <c r="L20" s="94" t="n">
        <f aca="false">+SUM(L18:L19)</f>
        <v>28.5303344796933</v>
      </c>
      <c r="M20" s="94" t="n">
        <f aca="false">+SUM(M18:M19)</f>
        <v>29.1670769558236</v>
      </c>
      <c r="N20" s="94" t="n">
        <f aca="false">+SUM(N18:N19)</f>
        <v>30.4405619080842</v>
      </c>
      <c r="O20" s="94" t="n">
        <f aca="false">+SUM(O18:O19)</f>
        <v>30.4405619080842</v>
      </c>
      <c r="P20" s="94" t="n">
        <f aca="false">+SUM(P18:P19)</f>
        <v>31.0773043842145</v>
      </c>
      <c r="Q20" s="94" t="n">
        <f aca="false">+SUM(Q18:Q19)</f>
        <v>32.3507893364751</v>
      </c>
      <c r="R20" s="94" t="n">
        <f aca="false">+SUM(R18:R19)</f>
        <v>32.3507893364751</v>
      </c>
      <c r="S20" s="94" t="n">
        <f aca="false">+SUM(S18:S19)</f>
        <v>32.3507893364751</v>
      </c>
      <c r="T20" s="94" t="n">
        <f aca="false">+SUM(T18:T19)</f>
        <v>32.3507893364751</v>
      </c>
      <c r="U20" s="94" t="n">
        <f aca="false">+SUM(U18:U19)</f>
        <v>32.3507893364751</v>
      </c>
      <c r="V20" s="94" t="n">
        <f aca="false">+SUM(V18:V19)</f>
        <v>21.5671928909834</v>
      </c>
      <c r="W20" s="94" t="n">
        <f aca="false">+SUM(W18:W19)</f>
        <v>0</v>
      </c>
      <c r="X20" s="94" t="n">
        <f aca="false">+SUM(X18:X19)</f>
        <v>0</v>
      </c>
      <c r="Y20" s="95" t="n">
        <f aca="false">+SUM(Y18:Y19)</f>
        <v>0</v>
      </c>
      <c r="Z20" s="72"/>
      <c r="AA20" s="96" t="n">
        <f aca="false">+AVERAGE(K20:T20)</f>
        <v>30.7589331461494</v>
      </c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</row>
    <row r="21" customFormat="false" ht="12.75" hidden="false" customHeight="false" outlineLevel="0" collapsed="false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97"/>
      <c r="AB21" s="10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3"/>
      <c r="DB21" s="23"/>
      <c r="DC21" s="23"/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3"/>
      <c r="DO21" s="23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  <c r="IU21" s="23"/>
      <c r="IV21" s="23"/>
      <c r="IW21" s="23"/>
    </row>
    <row r="22" customFormat="false" ht="12.75" hidden="false" customHeight="false" outlineLevel="0" collapsed="false">
      <c r="A22" s="98" t="s">
        <v>27</v>
      </c>
      <c r="B22" s="77"/>
      <c r="C22" s="77"/>
      <c r="D22" s="77"/>
      <c r="E22" s="99" t="n">
        <f aca="false">+PF1!E22*'Common Assumpt'!$G$59+PF2!E22*'Common Assumpt'!$G$60+PF3!E22*'Common Assumpt'!$G$61</f>
        <v>7369.45382250049</v>
      </c>
      <c r="F22" s="99" t="n">
        <f aca="false">+PF1!F22*'Common Assumpt'!$G$59+PF2!F22*'Common Assumpt'!$G$60+PF3!F22*'Common Assumpt'!$G$61</f>
        <v>21827.2860878792</v>
      </c>
      <c r="G22" s="99" t="n">
        <f aca="false">+PF1!G22*'Common Assumpt'!$G$59+PF2!G22*'Common Assumpt'!$G$60+PF3!G22*'Common Assumpt'!$G$61</f>
        <v>20967.2345567081</v>
      </c>
      <c r="H22" s="99" t="n">
        <f aca="false">+PF1!H22*'Common Assumpt'!$G$59+PF2!H22*'Common Assumpt'!$G$60+PF3!H22*'Common Assumpt'!$G$61</f>
        <v>19952.5957927944</v>
      </c>
      <c r="I22" s="99" t="n">
        <f aca="false">+PF1!I22*'Common Assumpt'!$G$59+PF2!I22*'Common Assumpt'!$G$60+PF3!I22*'Common Assumpt'!$G$61</f>
        <v>18835.0786284436</v>
      </c>
      <c r="J22" s="99" t="n">
        <f aca="false">+PF1!J22*'Common Assumpt'!$G$59+PF2!J22*'Common Assumpt'!$G$60+PF3!J22*'Common Assumpt'!$G$61</f>
        <v>16554.6249044421</v>
      </c>
      <c r="K22" s="99" t="n">
        <f aca="false">+PF1!K22*'Common Assumpt'!$G$59+PF2!K22*'Common Assumpt'!$G$60+PF3!K22*'Common Assumpt'!$G$61</f>
        <v>13084.0796185502</v>
      </c>
      <c r="L22" s="99" t="n">
        <f aca="false">+PF1!L22*'Common Assumpt'!$G$59+PF2!L22*'Common Assumpt'!$G$60+PF3!L22*'Common Assumpt'!$G$61</f>
        <v>12991.3475703954</v>
      </c>
      <c r="M22" s="99" t="n">
        <f aca="false">+PF1!M22*'Common Assumpt'!$G$59+PF2!M22*'Common Assumpt'!$G$60+PF3!M22*'Common Assumpt'!$G$61</f>
        <v>13270.9313035331</v>
      </c>
      <c r="N22" s="99" t="n">
        <f aca="false">+PF1!N22*'Common Assumpt'!$G$59+PF2!N22*'Common Assumpt'!$G$60+PF3!N22*'Common Assumpt'!$G$61</f>
        <v>13951.4251455688</v>
      </c>
      <c r="O22" s="99" t="n">
        <f aca="false">+PF1!O22*'Common Assumpt'!$G$59+PF2!O22*'Common Assumpt'!$G$60+PF3!O22*'Common Assumpt'!$G$61</f>
        <v>13964.0814230334</v>
      </c>
      <c r="P22" s="99" t="n">
        <f aca="false">+PF1!P22*'Common Assumpt'!$G$59+PF2!P22*'Common Assumpt'!$G$60+PF3!P22*'Common Assumpt'!$G$61</f>
        <v>14402.5262865732</v>
      </c>
      <c r="Q22" s="99" t="n">
        <f aca="false">+PF1!Q22*'Common Assumpt'!$G$59+PF2!Q22*'Common Assumpt'!$G$60+PF3!Q22*'Common Assumpt'!$G$61</f>
        <v>15097.7245485285</v>
      </c>
      <c r="R22" s="99" t="n">
        <f aca="false">+PF1!R22*'Common Assumpt'!$G$59+PF2!R22*'Common Assumpt'!$G$60+PF3!R22*'Common Assumpt'!$G$61</f>
        <v>15101.7200833017</v>
      </c>
      <c r="S22" s="99" t="n">
        <f aca="false">+PF1!S22*'Common Assumpt'!$G$59+PF2!S22*'Common Assumpt'!$G$60+PF3!S22*'Common Assumpt'!$G$61</f>
        <v>15107.3484052127</v>
      </c>
      <c r="T22" s="99" t="n">
        <f aca="false">+PF1!T22*'Common Assumpt'!$G$59+PF2!T22*'Common Assumpt'!$G$60+PF3!T22*'Common Assumpt'!$G$61</f>
        <v>15182.3274081709</v>
      </c>
      <c r="U22" s="99" t="n">
        <f aca="false">+PF1!U22*'Common Assumpt'!$G$59+PF2!U22*'Common Assumpt'!$G$60+PF3!U22*'Common Assumpt'!$G$61</f>
        <v>15219.4370997408</v>
      </c>
      <c r="V22" s="99" t="n">
        <f aca="false">+PF1!V22*'Common Assumpt'!$G$59+PF2!V22*'Common Assumpt'!$G$60+PF3!V22*'Common Assumpt'!$G$61</f>
        <v>10179.260904621</v>
      </c>
      <c r="W22" s="99" t="n">
        <f aca="false">+PF1!W22*'Common Assumpt'!$G$59+PF2!W22*'Common Assumpt'!$G$60+PF3!W22*'Common Assumpt'!$G$61</f>
        <v>0</v>
      </c>
      <c r="X22" s="99" t="n">
        <f aca="false">+PF1!X22*'Common Assumpt'!$G$59+PF2!X22*'Common Assumpt'!$G$60+PF3!X22*'Common Assumpt'!$G$61</f>
        <v>0</v>
      </c>
      <c r="Y22" s="100" t="n">
        <f aca="false">+PF1!Y22*'Common Assumpt'!$G$59+PF2!Y22*'Common Assumpt'!$G$60+PF3!Y22*'Common Assumpt'!$G$61</f>
        <v>0</v>
      </c>
      <c r="Z22" s="101"/>
      <c r="AA22" s="102" t="n">
        <f aca="false">+AVERAGE(K22:T22)</f>
        <v>14215.3511792868</v>
      </c>
      <c r="AB22" s="10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3"/>
      <c r="DQ22" s="23"/>
      <c r="DR22" s="23"/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3"/>
      <c r="FP22" s="23"/>
      <c r="FQ22" s="23"/>
      <c r="FR22" s="23"/>
      <c r="FS22" s="23"/>
      <c r="FT22" s="23"/>
      <c r="FU22" s="23"/>
      <c r="FV22" s="23"/>
      <c r="FW22" s="23"/>
      <c r="FX22" s="23"/>
      <c r="FY22" s="23"/>
      <c r="FZ22" s="23"/>
      <c r="GA22" s="23"/>
      <c r="GB22" s="23"/>
      <c r="GC22" s="23"/>
      <c r="GD22" s="23"/>
      <c r="GE22" s="23"/>
      <c r="GF22" s="23"/>
      <c r="GG22" s="23"/>
      <c r="GH22" s="23"/>
      <c r="GI22" s="23"/>
      <c r="GJ22" s="23"/>
      <c r="GK22" s="23"/>
      <c r="GL22" s="23"/>
      <c r="GM22" s="23"/>
      <c r="GN22" s="23"/>
      <c r="GO22" s="23"/>
      <c r="GP22" s="23"/>
      <c r="GQ22" s="23"/>
      <c r="GR22" s="23"/>
      <c r="GS22" s="23"/>
      <c r="GT22" s="23"/>
      <c r="GU22" s="23"/>
      <c r="GV22" s="23"/>
      <c r="GW22" s="23"/>
      <c r="GX22" s="23"/>
      <c r="GY22" s="23"/>
      <c r="GZ22" s="23"/>
      <c r="HA22" s="23"/>
      <c r="HB22" s="23"/>
      <c r="HC22" s="23"/>
      <c r="HD22" s="23"/>
      <c r="HE22" s="23"/>
      <c r="HF22" s="23"/>
      <c r="HG22" s="23"/>
      <c r="HH22" s="23"/>
      <c r="HI22" s="23"/>
      <c r="HJ22" s="23"/>
      <c r="HK22" s="23"/>
      <c r="HL22" s="23"/>
      <c r="HM22" s="23"/>
      <c r="HN22" s="23"/>
      <c r="HO22" s="23"/>
      <c r="HP22" s="23"/>
      <c r="HQ22" s="23"/>
      <c r="HR22" s="23"/>
      <c r="HS22" s="23"/>
      <c r="HT22" s="23"/>
      <c r="HU22" s="23"/>
      <c r="HV22" s="23"/>
      <c r="HW22" s="23"/>
      <c r="HX22" s="23"/>
      <c r="HY22" s="23"/>
      <c r="HZ22" s="23"/>
      <c r="IA22" s="23"/>
      <c r="IB22" s="23"/>
      <c r="IC22" s="23"/>
      <c r="ID22" s="23"/>
      <c r="IE22" s="23"/>
      <c r="IF22" s="23"/>
      <c r="IG22" s="23"/>
      <c r="IH22" s="23"/>
      <c r="II22" s="23"/>
      <c r="IJ22" s="23"/>
      <c r="IK22" s="23"/>
      <c r="IL22" s="23"/>
      <c r="IM22" s="23"/>
      <c r="IN22" s="23"/>
      <c r="IO22" s="23"/>
      <c r="IP22" s="23"/>
      <c r="IQ22" s="23"/>
      <c r="IR22" s="23"/>
      <c r="IS22" s="23"/>
      <c r="IT22" s="23"/>
      <c r="IU22" s="23"/>
      <c r="IV22" s="23"/>
      <c r="IW22" s="23"/>
    </row>
    <row r="23" customFormat="false" ht="12.75" hidden="false" customHeight="false" outlineLevel="0" collapsed="false">
      <c r="A23" s="103"/>
      <c r="B23" s="10"/>
      <c r="C23" s="10"/>
      <c r="D23" s="104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5"/>
      <c r="Z23" s="103"/>
      <c r="AA23" s="106"/>
      <c r="AB23" s="107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3"/>
      <c r="DB23" s="23"/>
      <c r="DC23" s="23"/>
      <c r="DD23" s="23"/>
      <c r="DE23" s="23"/>
      <c r="DF23" s="23"/>
      <c r="DG23" s="23"/>
      <c r="DH23" s="23"/>
      <c r="DI23" s="23"/>
      <c r="DJ23" s="23"/>
      <c r="DK23" s="23"/>
      <c r="DL23" s="23"/>
      <c r="DM23" s="23"/>
      <c r="DN23" s="23"/>
      <c r="DO23" s="23"/>
      <c r="DP23" s="23"/>
      <c r="DQ23" s="23"/>
      <c r="DR23" s="23"/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3"/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3"/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3"/>
      <c r="FD23" s="23"/>
      <c r="FE23" s="23"/>
      <c r="FF23" s="23"/>
      <c r="FG23" s="23"/>
      <c r="FH23" s="23"/>
      <c r="FI23" s="23"/>
      <c r="FJ23" s="23"/>
      <c r="FK23" s="23"/>
      <c r="FL23" s="23"/>
      <c r="FM23" s="23"/>
      <c r="FN23" s="23"/>
      <c r="FO23" s="23"/>
      <c r="FP23" s="23"/>
      <c r="FQ23" s="23"/>
      <c r="FR23" s="23"/>
      <c r="FS23" s="23"/>
      <c r="FT23" s="23"/>
      <c r="FU23" s="23"/>
      <c r="FV23" s="23"/>
      <c r="FW23" s="23"/>
      <c r="FX23" s="23"/>
      <c r="FY23" s="23"/>
      <c r="FZ23" s="23"/>
      <c r="GA23" s="23"/>
      <c r="GB23" s="23"/>
      <c r="GC23" s="23"/>
      <c r="GD23" s="23"/>
      <c r="GE23" s="23"/>
      <c r="GF23" s="23"/>
      <c r="GG23" s="23"/>
      <c r="GH23" s="23"/>
      <c r="GI23" s="23"/>
      <c r="GJ23" s="23"/>
      <c r="GK23" s="23"/>
      <c r="GL23" s="23"/>
      <c r="GM23" s="23"/>
      <c r="GN23" s="23"/>
      <c r="GO23" s="23"/>
      <c r="GP23" s="23"/>
      <c r="GQ23" s="23"/>
      <c r="GR23" s="23"/>
      <c r="GS23" s="23"/>
      <c r="GT23" s="23"/>
      <c r="GU23" s="23"/>
      <c r="GV23" s="23"/>
      <c r="GW23" s="23"/>
      <c r="GX23" s="23"/>
      <c r="GY23" s="23"/>
      <c r="GZ23" s="23"/>
      <c r="HA23" s="23"/>
      <c r="HB23" s="23"/>
      <c r="HC23" s="23"/>
      <c r="HD23" s="23"/>
      <c r="HE23" s="23"/>
      <c r="HF23" s="23"/>
      <c r="HG23" s="23"/>
      <c r="HH23" s="23"/>
      <c r="HI23" s="23"/>
      <c r="HJ23" s="23"/>
      <c r="HK23" s="23"/>
      <c r="HL23" s="23"/>
      <c r="HM23" s="23"/>
      <c r="HN23" s="23"/>
      <c r="HO23" s="23"/>
      <c r="HP23" s="23"/>
      <c r="HQ23" s="23"/>
      <c r="HR23" s="23"/>
      <c r="HS23" s="23"/>
      <c r="HT23" s="23"/>
      <c r="HU23" s="23"/>
      <c r="HV23" s="23"/>
      <c r="HW23" s="23"/>
      <c r="HX23" s="23"/>
      <c r="HY23" s="23"/>
      <c r="HZ23" s="23"/>
      <c r="IA23" s="23"/>
      <c r="IB23" s="23"/>
      <c r="IC23" s="23"/>
      <c r="ID23" s="23"/>
      <c r="IE23" s="23"/>
      <c r="IF23" s="23"/>
      <c r="IG23" s="23"/>
      <c r="IH23" s="23"/>
      <c r="II23" s="23"/>
      <c r="IJ23" s="23"/>
      <c r="IK23" s="23"/>
      <c r="IL23" s="23"/>
      <c r="IM23" s="23"/>
      <c r="IN23" s="23"/>
      <c r="IO23" s="23"/>
      <c r="IP23" s="23"/>
      <c r="IQ23" s="23"/>
      <c r="IR23" s="23"/>
      <c r="IS23" s="23"/>
      <c r="IT23" s="23"/>
      <c r="IU23" s="23"/>
      <c r="IV23" s="23"/>
      <c r="IW23" s="23"/>
    </row>
    <row r="24" customFormat="false" ht="12.75" hidden="false" customHeight="false" outlineLevel="0" collapsed="false">
      <c r="A24" s="108" t="s">
        <v>28</v>
      </c>
      <c r="B24" s="10"/>
      <c r="C24" s="10"/>
      <c r="D24" s="10"/>
      <c r="E24" s="109" t="n">
        <f aca="false">+PF1!E24*'Common Assumpt'!$G$59+PF2!E24*'Common Assumpt'!$G$60+PF3!E24*'Common Assumpt'!$G$61</f>
        <v>-5558.14762136229</v>
      </c>
      <c r="F24" s="109" t="n">
        <f aca="false">+PF1!F24*'Common Assumpt'!$G$59+PF2!F24*'Common Assumpt'!$G$60+PF3!F24*'Common Assumpt'!$G$61</f>
        <v>-16667.9061785307</v>
      </c>
      <c r="G24" s="109" t="n">
        <f aca="false">+PF1!G24*'Common Assumpt'!$G$59+PF2!G24*'Common Assumpt'!$G$60+PF3!G24*'Common Assumpt'!$G$61</f>
        <v>-16648.6621381007</v>
      </c>
      <c r="H24" s="109" t="n">
        <f aca="false">+PF1!H24*'Common Assumpt'!$G$59+PF2!H24*'Common Assumpt'!$G$60+PF3!H24*'Common Assumpt'!$G$61</f>
        <v>-16605.4419594145</v>
      </c>
      <c r="I24" s="109" t="n">
        <f aca="false">+PF1!I24*'Common Assumpt'!$G$59+PF2!I24*'Common Assumpt'!$G$60+PF3!I24*'Common Assumpt'!$G$61</f>
        <v>-16545.3423432706</v>
      </c>
      <c r="J24" s="109" t="n">
        <f aca="false">+PF1!J24*'Common Assumpt'!$G$59+PF2!J24*'Common Assumpt'!$G$60+PF3!J24*'Common Assumpt'!$G$61</f>
        <v>-27044.7535419103</v>
      </c>
      <c r="K24" s="109" t="n">
        <f aca="false">+PF1!K24*'Common Assumpt'!$G$59+PF2!K24*'Common Assumpt'!$G$60+PF3!K24*'Common Assumpt'!$G$61</f>
        <v>-9833.92435377133</v>
      </c>
      <c r="L24" s="109" t="n">
        <f aca="false">+PF1!L24*'Common Assumpt'!$G$59+PF2!L24*'Common Assumpt'!$G$60+PF3!L24*'Common Assumpt'!$G$61</f>
        <v>-9930.08594885731</v>
      </c>
      <c r="M24" s="109" t="n">
        <f aca="false">+PF1!M24*'Common Assumpt'!$G$59+PF2!M24*'Common Assumpt'!$G$60+PF3!M24*'Common Assumpt'!$G$61</f>
        <v>-10072.2136626057</v>
      </c>
      <c r="N24" s="109" t="n">
        <f aca="false">+PF1!N24*'Common Assumpt'!$G$59+PF2!N24*'Common Assumpt'!$G$60+PF3!N24*'Common Assumpt'!$G$61</f>
        <v>-10285.5886628315</v>
      </c>
      <c r="O24" s="109" t="n">
        <f aca="false">+PF1!O24*'Common Assumpt'!$G$59+PF2!O24*'Common Assumpt'!$G$60+PF3!O24*'Common Assumpt'!$G$61</f>
        <v>-10392.9975859412</v>
      </c>
      <c r="P24" s="109" t="n">
        <f aca="false">+PF1!P24*'Common Assumpt'!$G$59+PF2!P24*'Common Assumpt'!$G$60+PF3!P24*'Common Assumpt'!$G$61</f>
        <v>-10567.4046826773</v>
      </c>
      <c r="Q24" s="109" t="n">
        <f aca="false">+PF1!Q24*'Common Assumpt'!$G$59+PF2!Q24*'Common Assumpt'!$G$60+PF3!Q24*'Common Assumpt'!$G$61</f>
        <v>-10797.8824790455</v>
      </c>
      <c r="R24" s="109" t="n">
        <f aca="false">+PF1!R24*'Common Assumpt'!$G$59+PF2!R24*'Common Assumpt'!$G$60+PF3!R24*'Common Assumpt'!$G$61</f>
        <v>-10917.5292048121</v>
      </c>
      <c r="S24" s="109" t="n">
        <f aca="false">+PF1!S24*'Common Assumpt'!$G$59+PF2!S24*'Common Assumpt'!$G$60+PF3!S24*'Common Assumpt'!$G$61</f>
        <v>-11049.3387309817</v>
      </c>
      <c r="T24" s="109" t="n">
        <f aca="false">+PF1!T24*'Common Assumpt'!$G$59+PF2!T24*'Common Assumpt'!$G$60+PF3!T24*'Common Assumpt'!$G$61</f>
        <v>-11187.4317292073</v>
      </c>
      <c r="U24" s="109" t="n">
        <f aca="false">+PF1!U24*'Common Assumpt'!$G$59+PF2!U24*'Common Assumpt'!$G$60+PF3!U24*'Common Assumpt'!$G$61</f>
        <v>-11316.1287988011</v>
      </c>
      <c r="V24" s="109" t="n">
        <f aca="false">+PF1!V24*'Common Assumpt'!$G$59+PF2!V24*'Common Assumpt'!$G$60+PF3!V24*'Common Assumpt'!$G$61</f>
        <v>-7598.84346592837</v>
      </c>
      <c r="W24" s="109" t="n">
        <f aca="false">+PF1!W24*'Common Assumpt'!$G$59+PF2!W24*'Common Assumpt'!$G$60+PF3!W24*'Common Assumpt'!$G$61</f>
        <v>0</v>
      </c>
      <c r="X24" s="109" t="n">
        <f aca="false">+PF1!X24*'Common Assumpt'!$G$59+PF2!X24*'Common Assumpt'!$G$60+PF3!X24*'Common Assumpt'!$G$61</f>
        <v>0</v>
      </c>
      <c r="Y24" s="110" t="n">
        <f aca="false">+PF1!Y24*'Common Assumpt'!$G$59+PF2!Y24*'Common Assumpt'!$G$60+PF3!Y24*'Common Assumpt'!$G$61</f>
        <v>0</v>
      </c>
      <c r="Z24" s="103"/>
      <c r="AA24" s="111" t="n">
        <f aca="false">+AVERAGE(K24:T24)</f>
        <v>-10503.4397040731</v>
      </c>
      <c r="AB24" s="112"/>
      <c r="AC24" s="113"/>
      <c r="AD24" s="113"/>
      <c r="AE24" s="113"/>
      <c r="AF24" s="113"/>
      <c r="AG24" s="113"/>
      <c r="AH24" s="113"/>
      <c r="AI24" s="113"/>
      <c r="AJ24" s="113"/>
      <c r="AK24" s="113"/>
      <c r="AL24" s="113"/>
      <c r="AM24" s="113"/>
      <c r="AN24" s="113"/>
      <c r="AO24" s="113"/>
      <c r="AP24" s="113"/>
      <c r="AQ24" s="113"/>
      <c r="AR24" s="113"/>
      <c r="AS24" s="113"/>
      <c r="AT24" s="113"/>
      <c r="AU24" s="113"/>
      <c r="AV24" s="113"/>
      <c r="AW24" s="113"/>
      <c r="AX24" s="113"/>
      <c r="AY24" s="113"/>
      <c r="AZ24" s="113"/>
      <c r="BA24" s="113"/>
      <c r="BB24" s="113"/>
      <c r="BC24" s="113"/>
      <c r="BD24" s="113"/>
      <c r="BE24" s="113"/>
      <c r="BF24" s="113"/>
      <c r="BG24" s="113"/>
      <c r="BH24" s="113"/>
      <c r="BI24" s="113"/>
      <c r="BJ24" s="113"/>
      <c r="BK24" s="113"/>
      <c r="BL24" s="113"/>
      <c r="BM24" s="113"/>
      <c r="BN24" s="113"/>
      <c r="BO24" s="113"/>
      <c r="BP24" s="113"/>
      <c r="BQ24" s="113"/>
      <c r="BR24" s="113"/>
      <c r="BS24" s="113"/>
      <c r="BT24" s="113"/>
      <c r="BU24" s="113"/>
      <c r="BV24" s="113"/>
      <c r="BW24" s="113"/>
      <c r="BX24" s="113"/>
      <c r="BY24" s="113"/>
      <c r="BZ24" s="113"/>
      <c r="CA24" s="113"/>
      <c r="CB24" s="113"/>
      <c r="CC24" s="113"/>
      <c r="CD24" s="113"/>
      <c r="CE24" s="113"/>
      <c r="CF24" s="113"/>
      <c r="CG24" s="113"/>
      <c r="CH24" s="113"/>
      <c r="CI24" s="113"/>
      <c r="CJ24" s="113"/>
      <c r="CK24" s="113"/>
      <c r="CL24" s="113"/>
      <c r="CM24" s="113"/>
      <c r="CN24" s="113"/>
      <c r="CO24" s="113"/>
      <c r="CP24" s="113"/>
      <c r="CQ24" s="113"/>
      <c r="CR24" s="113"/>
      <c r="CS24" s="113"/>
      <c r="CT24" s="113"/>
      <c r="CU24" s="113"/>
      <c r="CV24" s="113"/>
      <c r="CW24" s="113"/>
      <c r="CX24" s="113"/>
      <c r="CY24" s="113"/>
      <c r="CZ24" s="113"/>
      <c r="DA24" s="113"/>
      <c r="DB24" s="113"/>
      <c r="DC24" s="113"/>
      <c r="DD24" s="113"/>
      <c r="DE24" s="113"/>
      <c r="DF24" s="113"/>
      <c r="DG24" s="113"/>
      <c r="DH24" s="113"/>
      <c r="DI24" s="113"/>
      <c r="DJ24" s="113"/>
      <c r="DK24" s="113"/>
      <c r="DL24" s="113"/>
      <c r="DM24" s="113"/>
      <c r="DN24" s="113"/>
      <c r="DO24" s="113"/>
      <c r="DP24" s="113"/>
      <c r="DQ24" s="113"/>
      <c r="DR24" s="113"/>
      <c r="DS24" s="113"/>
      <c r="DT24" s="113"/>
      <c r="DU24" s="113"/>
      <c r="DV24" s="113"/>
      <c r="DW24" s="113"/>
      <c r="DX24" s="113"/>
      <c r="DY24" s="113"/>
      <c r="DZ24" s="113"/>
      <c r="EA24" s="113"/>
      <c r="EB24" s="113"/>
      <c r="EC24" s="113"/>
      <c r="ED24" s="113"/>
      <c r="EE24" s="113"/>
      <c r="EF24" s="113"/>
      <c r="EG24" s="113"/>
      <c r="EH24" s="113"/>
      <c r="EI24" s="113"/>
      <c r="EJ24" s="113"/>
      <c r="EK24" s="113"/>
      <c r="EL24" s="113"/>
      <c r="EM24" s="113"/>
      <c r="EN24" s="113"/>
      <c r="EO24" s="113"/>
      <c r="EP24" s="113"/>
      <c r="EQ24" s="113"/>
      <c r="ER24" s="113"/>
      <c r="ES24" s="113"/>
      <c r="ET24" s="113"/>
      <c r="EU24" s="113"/>
      <c r="EV24" s="113"/>
      <c r="EW24" s="113"/>
      <c r="EX24" s="113"/>
      <c r="EY24" s="113"/>
      <c r="EZ24" s="113"/>
      <c r="FA24" s="113"/>
      <c r="FB24" s="113"/>
      <c r="FC24" s="113"/>
      <c r="FD24" s="113"/>
      <c r="FE24" s="113"/>
      <c r="FF24" s="113"/>
      <c r="FG24" s="113"/>
      <c r="FH24" s="113"/>
      <c r="FI24" s="113"/>
      <c r="FJ24" s="113"/>
      <c r="FK24" s="113"/>
      <c r="FL24" s="113"/>
      <c r="FM24" s="113"/>
      <c r="FN24" s="113"/>
      <c r="FO24" s="113"/>
      <c r="FP24" s="113"/>
      <c r="FQ24" s="113"/>
      <c r="FR24" s="113"/>
      <c r="FS24" s="113"/>
      <c r="FT24" s="113"/>
      <c r="FU24" s="113"/>
      <c r="FV24" s="113"/>
      <c r="FW24" s="113"/>
      <c r="FX24" s="113"/>
      <c r="FY24" s="113"/>
      <c r="FZ24" s="113"/>
      <c r="GA24" s="113"/>
      <c r="GB24" s="113"/>
      <c r="GC24" s="113"/>
      <c r="GD24" s="113"/>
      <c r="GE24" s="113"/>
      <c r="GF24" s="113"/>
      <c r="GG24" s="113"/>
      <c r="GH24" s="113"/>
      <c r="GI24" s="113"/>
      <c r="GJ24" s="113"/>
      <c r="GK24" s="113"/>
      <c r="GL24" s="113"/>
      <c r="GM24" s="113"/>
      <c r="GN24" s="113"/>
      <c r="GO24" s="113"/>
      <c r="GP24" s="113"/>
      <c r="GQ24" s="113"/>
      <c r="GR24" s="113"/>
      <c r="GS24" s="113"/>
      <c r="GT24" s="113"/>
      <c r="GU24" s="113"/>
      <c r="GV24" s="113"/>
      <c r="GW24" s="113"/>
      <c r="GX24" s="113"/>
      <c r="GY24" s="113"/>
      <c r="GZ24" s="113"/>
      <c r="HA24" s="113"/>
      <c r="HB24" s="113"/>
      <c r="HC24" s="113"/>
      <c r="HD24" s="113"/>
      <c r="HE24" s="113"/>
      <c r="HF24" s="113"/>
      <c r="HG24" s="113"/>
      <c r="HH24" s="113"/>
      <c r="HI24" s="113"/>
      <c r="HJ24" s="113"/>
      <c r="HK24" s="113"/>
      <c r="HL24" s="113"/>
      <c r="HM24" s="113"/>
      <c r="HN24" s="113"/>
      <c r="HO24" s="113"/>
      <c r="HP24" s="113"/>
      <c r="HQ24" s="113"/>
      <c r="HR24" s="113"/>
      <c r="HS24" s="113"/>
      <c r="HT24" s="113"/>
      <c r="HU24" s="113"/>
      <c r="HV24" s="113"/>
      <c r="HW24" s="113"/>
      <c r="HX24" s="113"/>
      <c r="HY24" s="113"/>
      <c r="HZ24" s="113"/>
      <c r="IA24" s="113"/>
      <c r="IB24" s="113"/>
      <c r="IC24" s="113"/>
      <c r="ID24" s="113"/>
      <c r="IE24" s="113"/>
      <c r="IF24" s="113"/>
      <c r="IG24" s="113"/>
      <c r="IH24" s="113"/>
      <c r="II24" s="113"/>
      <c r="IJ24" s="113"/>
      <c r="IK24" s="113"/>
      <c r="IL24" s="113"/>
      <c r="IM24" s="113"/>
      <c r="IN24" s="113"/>
      <c r="IO24" s="113"/>
      <c r="IP24" s="113"/>
      <c r="IQ24" s="113"/>
      <c r="IR24" s="113"/>
      <c r="IS24" s="113"/>
      <c r="IT24" s="113"/>
      <c r="IU24" s="113"/>
      <c r="IV24" s="113"/>
      <c r="IW24" s="113"/>
    </row>
    <row r="25" customFormat="false" ht="12.75" hidden="false" customHeight="false" outlineLevel="0" collapsed="false">
      <c r="A25" s="103"/>
      <c r="B25" s="10"/>
      <c r="C25" s="10"/>
      <c r="D25" s="114"/>
      <c r="E25" s="10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5"/>
      <c r="Z25" s="103"/>
      <c r="AA25" s="111"/>
      <c r="AB25" s="112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  <c r="IU25" s="23"/>
      <c r="IV25" s="23"/>
      <c r="IW25" s="23"/>
    </row>
    <row r="26" customFormat="false" ht="12.75" hidden="false" customHeight="false" outlineLevel="0" collapsed="false">
      <c r="A26" s="116" t="s">
        <v>29</v>
      </c>
      <c r="B26" s="117"/>
      <c r="C26" s="117"/>
      <c r="D26" s="117"/>
      <c r="E26" s="118" t="n">
        <f aca="false">+PF1!E26*'Common Assumpt'!$G$59+PF2!E26*'Common Assumpt'!$G$60+PF3!E26*'Common Assumpt'!$G$61</f>
        <v>1811.3062011382</v>
      </c>
      <c r="F26" s="118" t="n">
        <f aca="false">+PF1!F26*'Common Assumpt'!$G$59+PF2!F26*'Common Assumpt'!$G$60+PF3!F26*'Common Assumpt'!$G$61</f>
        <v>5159.37990934849</v>
      </c>
      <c r="G26" s="118" t="n">
        <f aca="false">+PF1!G26*'Common Assumpt'!$G$59+PF2!G26*'Common Assumpt'!$G$60+PF3!G26*'Common Assumpt'!$G$61</f>
        <v>4318.57241860746</v>
      </c>
      <c r="H26" s="118" t="n">
        <f aca="false">+PF1!H26*'Common Assumpt'!$G$59+PF2!H26*'Common Assumpt'!$G$60+PF3!H26*'Common Assumpt'!$G$61</f>
        <v>3347.15383337993</v>
      </c>
      <c r="I26" s="118" t="n">
        <f aca="false">+PF1!I26*'Common Assumpt'!$G$59+PF2!I26*'Common Assumpt'!$G$60+PF3!I26*'Common Assumpt'!$G$61</f>
        <v>2289.73628517302</v>
      </c>
      <c r="J26" s="118" t="n">
        <f aca="false">+PF1!J26*'Common Assumpt'!$G$59+PF2!J26*'Common Assumpt'!$G$60+PF3!J26*'Common Assumpt'!$G$61</f>
        <v>-10490.1286374682</v>
      </c>
      <c r="K26" s="118" t="n">
        <f aca="false">+PF1!K26*'Common Assumpt'!$G$59+PF2!K26*'Common Assumpt'!$G$60+PF3!K26*'Common Assumpt'!$G$61</f>
        <v>3250.15526477884</v>
      </c>
      <c r="L26" s="118" t="n">
        <f aca="false">+PF1!L26*'Common Assumpt'!$G$59+PF2!L26*'Common Assumpt'!$G$60+PF3!L26*'Common Assumpt'!$G$61</f>
        <v>3061.2616215381</v>
      </c>
      <c r="M26" s="118" t="n">
        <f aca="false">+PF1!M26*'Common Assumpt'!$G$59+PF2!M26*'Common Assumpt'!$G$60+PF3!M26*'Common Assumpt'!$G$61</f>
        <v>3198.7176409274</v>
      </c>
      <c r="N26" s="118" t="n">
        <f aca="false">+PF1!N26*'Common Assumpt'!$G$59+PF2!N26*'Common Assumpt'!$G$60+PF3!N26*'Common Assumpt'!$G$61</f>
        <v>3665.83648273736</v>
      </c>
      <c r="O26" s="118" t="n">
        <f aca="false">+PF1!O26*'Common Assumpt'!$G$59+PF2!O26*'Common Assumpt'!$G$60+PF3!O26*'Common Assumpt'!$G$61</f>
        <v>3571.08383709223</v>
      </c>
      <c r="P26" s="118" t="n">
        <f aca="false">+PF1!P26*'Common Assumpt'!$G$59+PF2!P26*'Common Assumpt'!$G$60+PF3!P26*'Common Assumpt'!$G$61</f>
        <v>3835.12160389586</v>
      </c>
      <c r="Q26" s="118" t="n">
        <f aca="false">+PF1!Q26*'Common Assumpt'!$G$59+PF2!Q26*'Common Assumpt'!$G$60+PF3!Q26*'Common Assumpt'!$G$61</f>
        <v>4299.84206948295</v>
      </c>
      <c r="R26" s="118" t="n">
        <f aca="false">+PF1!R26*'Common Assumpt'!$G$59+PF2!R26*'Common Assumpt'!$G$60+PF3!R26*'Common Assumpt'!$G$61</f>
        <v>4184.19087848955</v>
      </c>
      <c r="S26" s="118" t="n">
        <f aca="false">+PF1!S26*'Common Assumpt'!$G$59+PF2!S26*'Common Assumpt'!$G$60+PF3!S26*'Common Assumpt'!$G$61</f>
        <v>4058.00967423097</v>
      </c>
      <c r="T26" s="118" t="n">
        <f aca="false">+PF1!T26*'Common Assumpt'!$G$59+PF2!T26*'Common Assumpt'!$G$60+PF3!T26*'Common Assumpt'!$G$61</f>
        <v>3994.89567896356</v>
      </c>
      <c r="U26" s="118" t="n">
        <f aca="false">+PF1!U26*'Common Assumpt'!$G$59+PF2!U26*'Common Assumpt'!$G$60+PF3!U26*'Common Assumpt'!$G$61</f>
        <v>3903.30830093974</v>
      </c>
      <c r="V26" s="118" t="n">
        <f aca="false">+PF1!V26*'Common Assumpt'!$G$59+PF2!V26*'Common Assumpt'!$G$60+PF3!V26*'Common Assumpt'!$G$61</f>
        <v>2580.41743869266</v>
      </c>
      <c r="W26" s="118" t="n">
        <f aca="false">+PF1!W26*'Common Assumpt'!$G$59+PF2!W26*'Common Assumpt'!$G$60+PF3!W26*'Common Assumpt'!$G$61</f>
        <v>0</v>
      </c>
      <c r="X26" s="118" t="n">
        <f aca="false">+PF1!X26*'Common Assumpt'!$G$59+PF2!X26*'Common Assumpt'!$G$60+PF3!X26*'Common Assumpt'!$G$61</f>
        <v>0</v>
      </c>
      <c r="Y26" s="119" t="n">
        <f aca="false">+PF1!Y26*'Common Assumpt'!$G$59+PF2!Y26*'Common Assumpt'!$G$60+PF3!Y26*'Common Assumpt'!$G$61</f>
        <v>0</v>
      </c>
      <c r="Z26" s="103"/>
      <c r="AA26" s="120" t="n">
        <f aca="false">+AVERAGE(K26:T26)</f>
        <v>3711.91147521368</v>
      </c>
      <c r="AB26" s="121"/>
      <c r="AC26" s="122"/>
      <c r="AD26" s="122"/>
      <c r="AE26" s="122"/>
      <c r="AF26" s="122"/>
      <c r="AG26" s="122"/>
      <c r="AH26" s="122"/>
      <c r="AI26" s="122"/>
      <c r="AJ26" s="122"/>
      <c r="AK26" s="122"/>
      <c r="AL26" s="122"/>
      <c r="AM26" s="122"/>
      <c r="AN26" s="122"/>
      <c r="AO26" s="122"/>
      <c r="AP26" s="122"/>
      <c r="AQ26" s="122"/>
      <c r="AR26" s="122"/>
      <c r="AS26" s="122"/>
      <c r="AT26" s="122"/>
      <c r="AU26" s="122"/>
      <c r="AV26" s="122"/>
      <c r="AW26" s="122"/>
      <c r="AX26" s="122"/>
      <c r="AY26" s="122"/>
      <c r="AZ26" s="122"/>
      <c r="BA26" s="122"/>
      <c r="BB26" s="122"/>
      <c r="BC26" s="122"/>
      <c r="BD26" s="122"/>
      <c r="BE26" s="122"/>
      <c r="BF26" s="122"/>
      <c r="BG26" s="122"/>
      <c r="BH26" s="122"/>
      <c r="BI26" s="122"/>
      <c r="BJ26" s="122"/>
      <c r="BK26" s="122"/>
      <c r="BL26" s="122"/>
      <c r="BM26" s="122"/>
      <c r="BN26" s="122"/>
      <c r="BO26" s="122"/>
      <c r="BP26" s="122"/>
      <c r="BQ26" s="122"/>
      <c r="BR26" s="122"/>
      <c r="BS26" s="122"/>
      <c r="BT26" s="122"/>
      <c r="BU26" s="122"/>
      <c r="BV26" s="122"/>
      <c r="BW26" s="122"/>
      <c r="BX26" s="122"/>
      <c r="BY26" s="122"/>
      <c r="BZ26" s="122"/>
      <c r="CA26" s="122"/>
      <c r="CB26" s="122"/>
      <c r="CC26" s="122"/>
      <c r="CD26" s="122"/>
      <c r="CE26" s="122"/>
      <c r="CF26" s="122"/>
      <c r="CG26" s="122"/>
      <c r="CH26" s="122"/>
      <c r="CI26" s="122"/>
      <c r="CJ26" s="122"/>
      <c r="CK26" s="122"/>
      <c r="CL26" s="122"/>
      <c r="CM26" s="122"/>
      <c r="CN26" s="122"/>
      <c r="CO26" s="122"/>
      <c r="CP26" s="122"/>
      <c r="CQ26" s="122"/>
      <c r="CR26" s="122"/>
      <c r="CS26" s="122"/>
      <c r="CT26" s="122"/>
      <c r="CU26" s="122"/>
      <c r="CV26" s="122"/>
      <c r="CW26" s="122"/>
      <c r="CX26" s="122"/>
      <c r="CY26" s="122"/>
      <c r="CZ26" s="122"/>
      <c r="DA26" s="122"/>
      <c r="DB26" s="122"/>
      <c r="DC26" s="122"/>
      <c r="DD26" s="122"/>
      <c r="DE26" s="122"/>
      <c r="DF26" s="122"/>
      <c r="DG26" s="122"/>
      <c r="DH26" s="122"/>
      <c r="DI26" s="122"/>
      <c r="DJ26" s="122"/>
      <c r="DK26" s="122"/>
      <c r="DL26" s="122"/>
      <c r="DM26" s="122"/>
      <c r="DN26" s="122"/>
      <c r="DO26" s="122"/>
      <c r="DP26" s="122"/>
      <c r="DQ26" s="122"/>
      <c r="DR26" s="122"/>
      <c r="DS26" s="122"/>
      <c r="DT26" s="122"/>
      <c r="DU26" s="122"/>
      <c r="DV26" s="122"/>
      <c r="DW26" s="122"/>
      <c r="DX26" s="122"/>
      <c r="DY26" s="122"/>
      <c r="DZ26" s="122"/>
      <c r="EA26" s="122"/>
      <c r="EB26" s="122"/>
      <c r="EC26" s="122"/>
      <c r="ED26" s="122"/>
      <c r="EE26" s="122"/>
      <c r="EF26" s="122"/>
      <c r="EG26" s="122"/>
      <c r="EH26" s="122"/>
      <c r="EI26" s="122"/>
      <c r="EJ26" s="122"/>
      <c r="EK26" s="122"/>
      <c r="EL26" s="122"/>
      <c r="EM26" s="122"/>
      <c r="EN26" s="122"/>
      <c r="EO26" s="122"/>
      <c r="EP26" s="122"/>
      <c r="EQ26" s="122"/>
      <c r="ER26" s="122"/>
      <c r="ES26" s="122"/>
      <c r="ET26" s="122"/>
      <c r="EU26" s="122"/>
      <c r="EV26" s="122"/>
      <c r="EW26" s="122"/>
      <c r="EX26" s="122"/>
      <c r="EY26" s="122"/>
      <c r="EZ26" s="122"/>
      <c r="FA26" s="122"/>
      <c r="FB26" s="122"/>
      <c r="FC26" s="122"/>
      <c r="FD26" s="122"/>
      <c r="FE26" s="122"/>
      <c r="FF26" s="122"/>
      <c r="FG26" s="122"/>
      <c r="FH26" s="122"/>
      <c r="FI26" s="122"/>
      <c r="FJ26" s="122"/>
      <c r="FK26" s="122"/>
      <c r="FL26" s="122"/>
      <c r="FM26" s="122"/>
      <c r="FN26" s="122"/>
      <c r="FO26" s="122"/>
      <c r="FP26" s="122"/>
      <c r="FQ26" s="122"/>
      <c r="FR26" s="122"/>
      <c r="FS26" s="122"/>
      <c r="FT26" s="122"/>
      <c r="FU26" s="122"/>
      <c r="FV26" s="122"/>
      <c r="FW26" s="122"/>
      <c r="FX26" s="122"/>
      <c r="FY26" s="122"/>
      <c r="FZ26" s="122"/>
      <c r="GA26" s="122"/>
      <c r="GB26" s="122"/>
      <c r="GC26" s="122"/>
      <c r="GD26" s="122"/>
      <c r="GE26" s="122"/>
      <c r="GF26" s="122"/>
      <c r="GG26" s="122"/>
      <c r="GH26" s="122"/>
      <c r="GI26" s="122"/>
      <c r="GJ26" s="122"/>
      <c r="GK26" s="122"/>
      <c r="GL26" s="122"/>
      <c r="GM26" s="122"/>
      <c r="GN26" s="122"/>
      <c r="GO26" s="122"/>
      <c r="GP26" s="122"/>
      <c r="GQ26" s="122"/>
      <c r="GR26" s="122"/>
      <c r="GS26" s="122"/>
      <c r="GT26" s="122"/>
      <c r="GU26" s="122"/>
      <c r="GV26" s="122"/>
      <c r="GW26" s="122"/>
      <c r="GX26" s="122"/>
      <c r="GY26" s="122"/>
      <c r="GZ26" s="122"/>
      <c r="HA26" s="122"/>
      <c r="HB26" s="122"/>
      <c r="HC26" s="122"/>
      <c r="HD26" s="122"/>
      <c r="HE26" s="122"/>
      <c r="HF26" s="122"/>
      <c r="HG26" s="122"/>
      <c r="HH26" s="122"/>
      <c r="HI26" s="122"/>
      <c r="HJ26" s="122"/>
      <c r="HK26" s="122"/>
      <c r="HL26" s="122"/>
      <c r="HM26" s="122"/>
      <c r="HN26" s="122"/>
      <c r="HO26" s="122"/>
      <c r="HP26" s="122"/>
      <c r="HQ26" s="122"/>
      <c r="HR26" s="122"/>
      <c r="HS26" s="122"/>
      <c r="HT26" s="122"/>
      <c r="HU26" s="122"/>
      <c r="HV26" s="122"/>
      <c r="HW26" s="122"/>
      <c r="HX26" s="122"/>
      <c r="HY26" s="122"/>
      <c r="HZ26" s="122"/>
      <c r="IA26" s="122"/>
      <c r="IB26" s="122"/>
      <c r="IC26" s="122"/>
      <c r="ID26" s="122"/>
      <c r="IE26" s="122"/>
      <c r="IF26" s="122"/>
      <c r="IG26" s="122"/>
      <c r="IH26" s="122"/>
      <c r="II26" s="122"/>
      <c r="IJ26" s="122"/>
      <c r="IK26" s="122"/>
      <c r="IL26" s="122"/>
      <c r="IM26" s="122"/>
      <c r="IN26" s="122"/>
      <c r="IO26" s="122"/>
      <c r="IP26" s="122"/>
      <c r="IQ26" s="122"/>
      <c r="IR26" s="122"/>
      <c r="IS26" s="122"/>
      <c r="IT26" s="122"/>
      <c r="IU26" s="122"/>
      <c r="IV26" s="122"/>
      <c r="IW26" s="122"/>
    </row>
    <row r="27" customFormat="false" ht="12.75" hidden="false" customHeight="false" outlineLevel="0" collapsed="false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9"/>
      <c r="AB27" s="10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3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  <c r="IU27" s="23"/>
      <c r="IV27" s="23"/>
      <c r="IW27" s="23"/>
    </row>
    <row r="28" customFormat="false" ht="12.75" hidden="false" customHeight="false" outlineLevel="0" collapsed="false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9"/>
      <c r="AB28" s="10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23"/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  <c r="IU28" s="23"/>
      <c r="IV28" s="23"/>
      <c r="IW28" s="23"/>
    </row>
    <row r="29" customFormat="false" ht="12.75" hidden="false" customHeight="false" outlineLevel="0" collapsed="false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9"/>
      <c r="AB29" s="10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23"/>
      <c r="DB29" s="23"/>
      <c r="DC29" s="23"/>
      <c r="DD29" s="23"/>
      <c r="DE29" s="23"/>
      <c r="DF29" s="23"/>
      <c r="DG29" s="23"/>
      <c r="DH29" s="23"/>
      <c r="DI29" s="23"/>
      <c r="DJ29" s="23"/>
      <c r="DK29" s="23"/>
      <c r="DL29" s="23"/>
      <c r="DM29" s="23"/>
      <c r="DN29" s="23"/>
      <c r="DO29" s="23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  <c r="IU29" s="23"/>
      <c r="IV29" s="23"/>
      <c r="IW29" s="23"/>
    </row>
    <row r="30" customFormat="false" ht="12.75" hidden="false" customHeight="false" outlineLevel="0" collapsed="false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9"/>
      <c r="AB30" s="10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  <c r="IU30" s="23"/>
      <c r="IV30" s="23"/>
      <c r="IW30" s="23"/>
    </row>
    <row r="31" customFormat="false" ht="12.75" hidden="false" customHeight="false" outlineLevel="0" collapsed="false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9"/>
      <c r="AB31" s="10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3"/>
      <c r="CD31" s="23"/>
      <c r="CE31" s="23"/>
      <c r="CF31" s="23"/>
      <c r="CG31" s="23"/>
      <c r="CH31" s="23"/>
      <c r="CI31" s="23"/>
      <c r="CJ31" s="23"/>
      <c r="CK31" s="23"/>
      <c r="CL31" s="23"/>
      <c r="CM31" s="23"/>
      <c r="CN31" s="23"/>
      <c r="CO31" s="23"/>
      <c r="CP31" s="23"/>
      <c r="CQ31" s="23"/>
      <c r="CR31" s="23"/>
      <c r="CS31" s="23"/>
      <c r="CT31" s="23"/>
      <c r="CU31" s="23"/>
      <c r="CV31" s="23"/>
      <c r="CW31" s="23"/>
      <c r="CX31" s="23"/>
      <c r="CY31" s="23"/>
      <c r="CZ31" s="23"/>
      <c r="DA31" s="23"/>
      <c r="DB31" s="23"/>
      <c r="DC31" s="23"/>
      <c r="DD31" s="23"/>
      <c r="DE31" s="23"/>
      <c r="DF31" s="23"/>
      <c r="DG31" s="23"/>
      <c r="DH31" s="23"/>
      <c r="DI31" s="23"/>
      <c r="DJ31" s="23"/>
      <c r="DK31" s="23"/>
      <c r="DL31" s="23"/>
      <c r="DM31" s="23"/>
      <c r="DN31" s="23"/>
      <c r="DO31" s="23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  <c r="IU31" s="23"/>
      <c r="IV31" s="23"/>
      <c r="IW31" s="23"/>
    </row>
    <row r="32" customFormat="false" ht="12.75" hidden="false" customHeight="false" outlineLevel="0" collapsed="false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9"/>
      <c r="AB32" s="10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23"/>
      <c r="DD32" s="23"/>
      <c r="DE32" s="23"/>
      <c r="DF32" s="23"/>
      <c r="DG32" s="23"/>
      <c r="DH32" s="23"/>
      <c r="DI32" s="23"/>
      <c r="DJ32" s="23"/>
      <c r="DK32" s="23"/>
      <c r="DL32" s="23"/>
      <c r="DM32" s="23"/>
      <c r="DN32" s="23"/>
      <c r="DO32" s="23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  <c r="IU32" s="23"/>
      <c r="IV32" s="23"/>
      <c r="IW32" s="23"/>
    </row>
    <row r="33" customFormat="false" ht="12.75" hidden="false" customHeight="false" outlineLevel="0" collapsed="false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9"/>
      <c r="AB33" s="10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3"/>
      <c r="DD33" s="23"/>
      <c r="DE33" s="23"/>
      <c r="DF33" s="23"/>
      <c r="DG33" s="23"/>
      <c r="DH33" s="23"/>
      <c r="DI33" s="23"/>
      <c r="DJ33" s="23"/>
      <c r="DK33" s="23"/>
      <c r="DL33" s="23"/>
      <c r="DM33" s="23"/>
      <c r="DN33" s="23"/>
      <c r="DO33" s="23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  <c r="IU33" s="23"/>
      <c r="IV33" s="23"/>
      <c r="IW33" s="23"/>
    </row>
    <row r="34" customFormat="false" ht="12.75" hidden="false" customHeight="false" outlineLevel="0" collapsed="false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9"/>
      <c r="AB34" s="10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3"/>
      <c r="CD34" s="23"/>
      <c r="CE34" s="23"/>
      <c r="CF34" s="23"/>
      <c r="CG34" s="23"/>
      <c r="CH34" s="23"/>
      <c r="CI34" s="23"/>
      <c r="CJ34" s="23"/>
      <c r="CK34" s="23"/>
      <c r="CL34" s="23"/>
      <c r="CM34" s="23"/>
      <c r="CN34" s="23"/>
      <c r="CO34" s="23"/>
      <c r="CP34" s="23"/>
      <c r="CQ34" s="23"/>
      <c r="CR34" s="23"/>
      <c r="CS34" s="23"/>
      <c r="CT34" s="23"/>
      <c r="CU34" s="23"/>
      <c r="CV34" s="23"/>
      <c r="CW34" s="23"/>
      <c r="CX34" s="23"/>
      <c r="CY34" s="23"/>
      <c r="CZ34" s="23"/>
      <c r="DA34" s="23"/>
      <c r="DB34" s="23"/>
      <c r="DC34" s="23"/>
      <c r="DD34" s="23"/>
      <c r="DE34" s="23"/>
      <c r="DF34" s="23"/>
      <c r="DG34" s="23"/>
      <c r="DH34" s="23"/>
      <c r="DI34" s="23"/>
      <c r="DJ34" s="23"/>
      <c r="DK34" s="23"/>
      <c r="DL34" s="23"/>
      <c r="DM34" s="23"/>
      <c r="DN34" s="23"/>
      <c r="DO34" s="23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  <c r="IU34" s="23"/>
      <c r="IV34" s="23"/>
      <c r="IW34" s="23"/>
    </row>
  </sheetData>
  <printOptions headings="false" gridLines="false" gridLinesSet="true" horizontalCentered="false" verticalCentered="false"/>
  <pageMargins left="0.5" right="0.5" top="0.5" bottom="0.5" header="0.511811023622047" footer="0.5"/>
  <pageSetup paperSize="1" scale="7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 &amp;A&amp;R&amp;D &amp;T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A87"/>
  <sheetViews>
    <sheetView showFormulas="false" showGridLines="true" showRowColHeaders="true" showZeros="true" rightToLeft="false" tabSelected="true" showOutlineSymbols="true" defaultGridColor="true" view="normal" topLeftCell="A1" colorId="64" zoomScale="80" zoomScaleNormal="8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2" style="0" width="8.41"/>
    <col collapsed="false" customWidth="true" hidden="false" outlineLevel="0" max="6" min="6" style="0" width="12.42"/>
    <col collapsed="false" customWidth="true" hidden="false" outlineLevel="0" max="7" min="7" style="0" width="10.99"/>
    <col collapsed="false" customWidth="true" hidden="false" outlineLevel="0" max="8" min="8" style="0" width="10.56"/>
    <col collapsed="false" customWidth="true" hidden="false" outlineLevel="0" max="10" min="10" style="0" width="10.71"/>
    <col collapsed="false" customWidth="true" hidden="false" outlineLevel="0" max="17" min="17" style="0" width="11.13"/>
  </cols>
  <sheetData>
    <row r="1" customFormat="false" ht="18" hidden="false" customHeight="true" outlineLevel="0" collapsed="false">
      <c r="A1" s="130" t="s">
        <v>33</v>
      </c>
      <c r="B1" s="131"/>
    </row>
    <row r="2" customFormat="false" ht="12.75" hidden="false" customHeight="true" outlineLevel="0" collapsed="false">
      <c r="A2" s="132" t="s">
        <v>34</v>
      </c>
      <c r="B2" s="131"/>
    </row>
    <row r="3" customFormat="false" ht="12.75" hidden="false" customHeight="true" outlineLevel="0" collapsed="false">
      <c r="A3" s="131"/>
      <c r="B3" s="131"/>
    </row>
    <row r="4" customFormat="false" ht="12.75" hidden="false" customHeight="true" outlineLevel="0" collapsed="false">
      <c r="A4" s="133" t="s">
        <v>35</v>
      </c>
      <c r="B4" s="134"/>
      <c r="C4" s="135" t="n">
        <v>1999</v>
      </c>
      <c r="D4" s="136" t="n">
        <f aca="false">+C4+1</f>
        <v>2000</v>
      </c>
      <c r="E4" s="136" t="n">
        <f aca="false">+D4+1</f>
        <v>2001</v>
      </c>
      <c r="F4" s="136" t="n">
        <f aca="false">+E4+1</f>
        <v>2002</v>
      </c>
      <c r="G4" s="136" t="n">
        <f aca="false">+F4+1</f>
        <v>2003</v>
      </c>
      <c r="H4" s="136" t="n">
        <f aca="false">+G4+1</f>
        <v>2004</v>
      </c>
      <c r="I4" s="136" t="n">
        <f aca="false">+H4+1</f>
        <v>2005</v>
      </c>
      <c r="J4" s="136" t="n">
        <f aca="false">+I4+1</f>
        <v>2006</v>
      </c>
      <c r="K4" s="136" t="n">
        <f aca="false">+J4+1</f>
        <v>2007</v>
      </c>
      <c r="L4" s="136" t="n">
        <f aca="false">+K4+1</f>
        <v>2008</v>
      </c>
      <c r="M4" s="136" t="n">
        <f aca="false">+L4+1</f>
        <v>2009</v>
      </c>
      <c r="N4" s="136" t="n">
        <f aca="false">+M4+1</f>
        <v>2010</v>
      </c>
      <c r="O4" s="136" t="n">
        <f aca="false">+N4+1</f>
        <v>2011</v>
      </c>
      <c r="P4" s="136" t="n">
        <f aca="false">+O4+1</f>
        <v>2012</v>
      </c>
      <c r="Q4" s="136" t="n">
        <f aca="false">+P4+1</f>
        <v>2013</v>
      </c>
      <c r="R4" s="136" t="n">
        <f aca="false">+Q4+1</f>
        <v>2014</v>
      </c>
      <c r="S4" s="136" t="n">
        <f aca="false">+R4+1</f>
        <v>2015</v>
      </c>
      <c r="T4" s="136" t="n">
        <f aca="false">+S4+1</f>
        <v>2016</v>
      </c>
      <c r="U4" s="136" t="n">
        <f aca="false">+T4+1</f>
        <v>2017</v>
      </c>
      <c r="V4" s="136" t="n">
        <f aca="false">+U4+1</f>
        <v>2018</v>
      </c>
      <c r="W4" s="136" t="n">
        <f aca="false">+V4+1</f>
        <v>2019</v>
      </c>
      <c r="X4" s="136" t="n">
        <f aca="false">+W4+1</f>
        <v>2020</v>
      </c>
      <c r="Y4" s="136" t="n">
        <f aca="false">+X4+1</f>
        <v>2021</v>
      </c>
      <c r="Z4" s="136" t="n">
        <f aca="false">+Y4+1</f>
        <v>2022</v>
      </c>
    </row>
    <row r="5" customFormat="false" ht="12.75" hidden="false" customHeight="true" outlineLevel="0" collapsed="false">
      <c r="A5" s="137" t="s">
        <v>36</v>
      </c>
      <c r="B5" s="138"/>
      <c r="C5" s="139" t="n">
        <f aca="false">IF(switch=0,HLOOKUP(C$4,CURVES!$O$22:$AN$25,4),HLOOKUP(C$4,CURVES!$O$22:$AN$23,2))</f>
        <v>2.27583333333333</v>
      </c>
      <c r="D5" s="139" t="n">
        <f aca="false">IF(switch=0,HLOOKUP(D$4,CURVES!$O$22:$AN$25,4),HLOOKUP(D$4,CURVES!$O$22:$AN$23,2))</f>
        <v>2.82479178810461</v>
      </c>
      <c r="E5" s="139" t="n">
        <f aca="false">IF(switch=0,HLOOKUP(E$4,CURVES!$O$22:$AN$25,4),HLOOKUP(E$4,CURVES!$O$22:$AN$23,2))</f>
        <v>2.8035582543088</v>
      </c>
      <c r="F5" s="139" t="n">
        <f aca="false">IF(switch=0,HLOOKUP(F$4,CURVES!$O$22:$AN$25,4),HLOOKUP(F$4,CURVES!$O$22:$AN$23,2))</f>
        <v>2.74763178574304</v>
      </c>
      <c r="G5" s="139" t="n">
        <f aca="false">IF(switch=0,HLOOKUP(G$4,CURVES!$O$22:$AN$25,4),HLOOKUP(G$4,CURVES!$O$22:$AN$23,2))</f>
        <v>2.76441096627219</v>
      </c>
      <c r="H5" s="139" t="n">
        <f aca="false">IF(switch=0,HLOOKUP(H$4,CURVES!$O$22:$AN$25,4),HLOOKUP(H$4,CURVES!$O$22:$AN$23,2))</f>
        <v>2.78808565800806</v>
      </c>
      <c r="I5" s="139" t="n">
        <f aca="false">IF(switch=0,HLOOKUP(I$4,CURVES!$O$22:$AN$25,4),HLOOKUP(I$4,CURVES!$O$22:$AN$23,2))</f>
        <v>2.83787127895981</v>
      </c>
      <c r="J5" s="139" t="n">
        <f aca="false">IF(switch=0,HLOOKUP(J$4,CURVES!$O$22:$AN$25,4),HLOOKUP(J$4,CURVES!$O$22:$AN$23,2))</f>
        <v>2.91180561777492</v>
      </c>
      <c r="K5" s="139" t="n">
        <f aca="false">IF(switch=0,HLOOKUP(K$4,CURVES!$O$22:$AN$25,4),HLOOKUP(K$4,CURVES!$O$22:$AN$23,2))</f>
        <v>2.95927206338587</v>
      </c>
      <c r="L5" s="139" t="n">
        <f aca="false">IF(switch=0,HLOOKUP(L$4,CURVES!$O$22:$AN$25,4),HLOOKUP(L$4,CURVES!$O$22:$AN$23,2))</f>
        <v>3.04488395037849</v>
      </c>
      <c r="M5" s="139" t="n">
        <f aca="false">IF(switch=0,HLOOKUP(M$4,CURVES!$O$22:$AN$25,4),HLOOKUP(M$4,CURVES!$O$22:$AN$23,2))</f>
        <v>3.078532808518</v>
      </c>
      <c r="N5" s="139" t="n">
        <f aca="false">IF(switch=0,HLOOKUP(N$4,CURVES!$O$22:$AN$25,4),HLOOKUP(N$4,CURVES!$O$22:$AN$23,2))</f>
        <v>3.16349242241368</v>
      </c>
      <c r="O5" s="139" t="n">
        <f aca="false">IF(switch=0,HLOOKUP(O$4,CURVES!$O$22:$AN$25,4),HLOOKUP(O$4,CURVES!$O$22:$AN$23,2))</f>
        <v>3.23799337729906</v>
      </c>
      <c r="P5" s="139" t="n">
        <f aca="false">IF(switch=0,HLOOKUP(P$4,CURVES!$O$22:$AN$25,4),HLOOKUP(P$4,CURVES!$O$22:$AN$23,2))</f>
        <v>3.34108462344798</v>
      </c>
      <c r="Q5" s="139" t="n">
        <f aca="false">IF(switch=0,HLOOKUP(Q$4,CURVES!$O$22:$AN$25,4),HLOOKUP(Q$4,CURVES!$O$22:$AN$23,2))</f>
        <v>3.43109196730199</v>
      </c>
      <c r="R5" s="139" t="n">
        <f aca="false">IF(switch=0,HLOOKUP(R$4,CURVES!$O$22:$AN$25,4),HLOOKUP(R$4,CURVES!$O$22:$AN$23,2))</f>
        <v>3.51883799932318</v>
      </c>
      <c r="S5" s="139" t="n">
        <f aca="false">IF(switch=0,HLOOKUP(S$4,CURVES!$O$22:$AN$25,4),HLOOKUP(S$4,CURVES!$O$22:$AN$23,2))</f>
        <v>3.62274540644442</v>
      </c>
      <c r="T5" s="139" t="n">
        <f aca="false">IF(switch=0,HLOOKUP(T$4,CURVES!$O$22:$AN$25,4),HLOOKUP(T$4,CURVES!$O$22:$AN$23,2))</f>
        <v>3.74817898130504</v>
      </c>
      <c r="U5" s="139" t="n">
        <f aca="false">IF(switch=0,HLOOKUP(U$4,CURVES!$O$22:$AN$25,4),HLOOKUP(U$4,CURVES!$O$22:$AN$23,2))</f>
        <v>3.85198409506929</v>
      </c>
      <c r="V5" s="139" t="n">
        <f aca="false">IF(switch=0,HLOOKUP(V$4,CURVES!$O$22:$AN$25,4),HLOOKUP(V$4,CURVES!$O$22:$AN$23,2))</f>
        <v>3.93782068261288</v>
      </c>
      <c r="W5" s="139" t="n">
        <f aca="false">IF(switch=0,HLOOKUP(W$4,CURVES!$O$22:$AN$25,4),HLOOKUP(W$4,CURVES!$O$22:$AN$23,2))</f>
        <v>4.07697932142449</v>
      </c>
      <c r="X5" s="139" t="n">
        <f aca="false">IF(switch=0,HLOOKUP(X$4,CURVES!$O$22:$AN$25,4),HLOOKUP(X$4,CURVES!$O$22:$AN$23,2))</f>
        <v>4.07697932142449</v>
      </c>
      <c r="Y5" s="139" t="n">
        <f aca="false">IF(switch=0,HLOOKUP(Y$4,CURVES!$O$22:$AN$25,4),HLOOKUP(Y$4,CURVES!$O$22:$AN$23,2))</f>
        <v>4.07697932142449</v>
      </c>
      <c r="Z5" s="139" t="n">
        <f aca="false">IF(switch=0,HLOOKUP(Z$4,CURVES!$O$22:$AN$25,4),HLOOKUP(Z$4,CURVES!$O$22:$AN$23,2))</f>
        <v>4.07697932142449</v>
      </c>
    </row>
    <row r="6" customFormat="false" ht="12.75" hidden="false" customHeight="true" outlineLevel="0" collapsed="false">
      <c r="A6" s="140" t="s">
        <v>37</v>
      </c>
      <c r="B6" s="131"/>
      <c r="C6" s="139" t="n">
        <v>-0.07</v>
      </c>
      <c r="D6" s="139" t="n">
        <v>-0.07</v>
      </c>
      <c r="E6" s="139" t="n">
        <v>-0.07</v>
      </c>
      <c r="F6" s="139" t="n">
        <v>-0.07</v>
      </c>
      <c r="G6" s="139" t="n">
        <v>-0.07</v>
      </c>
      <c r="H6" s="139" t="n">
        <v>-0.07</v>
      </c>
      <c r="I6" s="139" t="n">
        <v>-0.07</v>
      </c>
      <c r="J6" s="139" t="n">
        <v>-0.07</v>
      </c>
      <c r="K6" s="139" t="n">
        <v>-0.07</v>
      </c>
      <c r="L6" s="139" t="n">
        <v>-0.07</v>
      </c>
      <c r="M6" s="139" t="n">
        <v>-0.07</v>
      </c>
      <c r="N6" s="139" t="n">
        <v>-0.07</v>
      </c>
      <c r="O6" s="139" t="n">
        <v>-0.07</v>
      </c>
      <c r="P6" s="139" t="n">
        <v>-0.07</v>
      </c>
      <c r="Q6" s="139" t="n">
        <v>-0.07</v>
      </c>
      <c r="R6" s="139" t="n">
        <v>-0.07</v>
      </c>
      <c r="S6" s="139" t="n">
        <v>-0.07</v>
      </c>
      <c r="T6" s="139" t="n">
        <v>-0.07</v>
      </c>
      <c r="U6" s="139" t="n">
        <v>-0.07</v>
      </c>
      <c r="V6" s="139" t="n">
        <v>-0.07</v>
      </c>
      <c r="W6" s="139" t="n">
        <v>-0.07</v>
      </c>
      <c r="X6" s="139" t="n">
        <v>-0.07</v>
      </c>
      <c r="Y6" s="139" t="n">
        <v>-0.07</v>
      </c>
      <c r="Z6" s="139" t="n">
        <v>-0.07</v>
      </c>
    </row>
    <row r="7" customFormat="false" ht="12.75" hidden="false" customHeight="true" outlineLevel="0" collapsed="false">
      <c r="A7" s="131" t="s">
        <v>38</v>
      </c>
      <c r="B7" s="131"/>
      <c r="C7" s="141" t="n">
        <f aca="false">IF(switch=0,RAROC!D40,RAROC!E40)</f>
        <v>0.016318326471106</v>
      </c>
      <c r="D7" s="139" t="n">
        <f aca="false">C7</f>
        <v>0.016318326471106</v>
      </c>
      <c r="E7" s="139" t="n">
        <f aca="false">D7</f>
        <v>0.016318326471106</v>
      </c>
      <c r="F7" s="139" t="n">
        <f aca="false">E7</f>
        <v>0.016318326471106</v>
      </c>
      <c r="G7" s="139" t="n">
        <f aca="false">F7</f>
        <v>0.016318326471106</v>
      </c>
      <c r="H7" s="139" t="n">
        <f aca="false">G7</f>
        <v>0.016318326471106</v>
      </c>
      <c r="I7" s="139" t="n">
        <f aca="false">H7</f>
        <v>0.016318326471106</v>
      </c>
      <c r="J7" s="139" t="n">
        <f aca="false">I7</f>
        <v>0.016318326471106</v>
      </c>
      <c r="K7" s="139" t="n">
        <f aca="false">J7</f>
        <v>0.016318326471106</v>
      </c>
      <c r="L7" s="139" t="n">
        <f aca="false">K7</f>
        <v>0.016318326471106</v>
      </c>
      <c r="M7" s="139" t="n">
        <f aca="false">L7</f>
        <v>0.016318326471106</v>
      </c>
      <c r="N7" s="139" t="n">
        <f aca="false">M7</f>
        <v>0.016318326471106</v>
      </c>
      <c r="O7" s="139" t="n">
        <f aca="false">N7</f>
        <v>0.016318326471106</v>
      </c>
      <c r="P7" s="139" t="n">
        <f aca="false">O7</f>
        <v>0.016318326471106</v>
      </c>
      <c r="Q7" s="139" t="n">
        <f aca="false">P7</f>
        <v>0.016318326471106</v>
      </c>
      <c r="R7" s="139" t="n">
        <f aca="false">Q7</f>
        <v>0.016318326471106</v>
      </c>
      <c r="S7" s="139" t="n">
        <f aca="false">R7</f>
        <v>0.016318326471106</v>
      </c>
      <c r="T7" s="139" t="n">
        <f aca="false">S7</f>
        <v>0.016318326471106</v>
      </c>
      <c r="U7" s="139" t="n">
        <f aca="false">T7</f>
        <v>0.016318326471106</v>
      </c>
      <c r="V7" s="139" t="n">
        <f aca="false">U7</f>
        <v>0.016318326471106</v>
      </c>
      <c r="W7" s="139" t="n">
        <f aca="false">V7</f>
        <v>0.016318326471106</v>
      </c>
      <c r="X7" s="139" t="n">
        <f aca="false">W7</f>
        <v>0.016318326471106</v>
      </c>
      <c r="Y7" s="139" t="n">
        <f aca="false">X7</f>
        <v>0.016318326471106</v>
      </c>
      <c r="Z7" s="139" t="n">
        <f aca="false">Y7</f>
        <v>0.016318326471106</v>
      </c>
    </row>
    <row r="8" customFormat="false" ht="12.75" hidden="false" customHeight="true" outlineLevel="0" collapsed="false">
      <c r="A8" s="131"/>
      <c r="B8" s="131"/>
      <c r="C8" s="139"/>
      <c r="D8" s="139"/>
      <c r="E8" s="139"/>
      <c r="F8" s="139"/>
      <c r="G8" s="139"/>
      <c r="H8" s="139"/>
      <c r="I8" s="139"/>
      <c r="J8" s="139"/>
      <c r="K8" s="139"/>
      <c r="L8" s="139"/>
      <c r="M8" s="139"/>
      <c r="N8" s="139"/>
      <c r="O8" s="139"/>
      <c r="P8" s="139"/>
      <c r="Q8" s="139"/>
      <c r="R8" s="139"/>
      <c r="S8" s="139"/>
      <c r="T8" s="139"/>
      <c r="U8" s="139"/>
      <c r="V8" s="139"/>
      <c r="W8" s="139"/>
      <c r="X8" s="139"/>
      <c r="Y8" s="139"/>
      <c r="Z8" s="139"/>
    </row>
    <row r="9" customFormat="false" ht="12.75" hidden="false" customHeight="true" outlineLevel="0" collapsed="false">
      <c r="A9" s="140" t="s">
        <v>39</v>
      </c>
      <c r="B9" s="131"/>
      <c r="C9" s="142" t="n">
        <f aca="false">IF(switch=0,RAROC!D19,RAROC!E19)</f>
        <v>1.59329729269876</v>
      </c>
      <c r="D9" s="143" t="n">
        <f aca="false">+D$5/C$5*C$9</f>
        <v>1.97761982061871</v>
      </c>
      <c r="E9" s="143" t="n">
        <f aca="false">+E$5/D$5*D$9</f>
        <v>1.96275435071994</v>
      </c>
      <c r="F9" s="143" t="n">
        <f aca="false">+F$5/E$5*E$9</f>
        <v>1.92360056487328</v>
      </c>
      <c r="G9" s="143" t="n">
        <f aca="false">+G$5/F$5*F$9</f>
        <v>1.93534756871545</v>
      </c>
      <c r="H9" s="143" t="n">
        <f aca="false">+H$5/G$5*G$9</f>
        <v>1.95192207867439</v>
      </c>
      <c r="I9" s="143" t="n">
        <f aca="false">+I$5/H$5*H$9</f>
        <v>1.98677669386784</v>
      </c>
      <c r="J9" s="143" t="n">
        <f aca="false">+J$5/I$5*I$9</f>
        <v>2.0385376818744</v>
      </c>
      <c r="K9" s="143" t="n">
        <f aca="false">+K$5/J$5*J$9</f>
        <v>2.07176865629518</v>
      </c>
      <c r="L9" s="143" t="n">
        <f aca="false">+L$5/K$5*K$9</f>
        <v>2.13170502587475</v>
      </c>
      <c r="M9" s="143" t="n">
        <f aca="false">+M$5/L$5*L$9</f>
        <v>2.15526239002389</v>
      </c>
      <c r="N9" s="143" t="n">
        <f aca="false">+N$5/M$5*M$9</f>
        <v>2.21474210711304</v>
      </c>
      <c r="O9" s="143" t="n">
        <f aca="false">+O$5/N$5*N$9</f>
        <v>2.26689977963842</v>
      </c>
      <c r="P9" s="143" t="n">
        <f aca="false">+P$5/O$5*O$9</f>
        <v>2.3390733439255</v>
      </c>
      <c r="Q9" s="143" t="n">
        <f aca="false">+Q$5/P$5*P$9</f>
        <v>2.40208694654092</v>
      </c>
      <c r="R9" s="143" t="n">
        <f aca="false">+R$5/Q$5*Q$9</f>
        <v>2.46351741827922</v>
      </c>
      <c r="S9" s="143" t="n">
        <f aca="false">+S$5/R$5*R$9</f>
        <v>2.53626237197719</v>
      </c>
      <c r="T9" s="143" t="n">
        <f aca="false">+T$5/S$5*S$9</f>
        <v>2.62407766684601</v>
      </c>
      <c r="U9" s="143" t="n">
        <f aca="false">+U$5/T$5*T$9</f>
        <v>2.69675100557711</v>
      </c>
      <c r="V9" s="143" t="n">
        <f aca="false">+V$5/U$5*U$9</f>
        <v>2.75684468666727</v>
      </c>
      <c r="W9" s="143" t="n">
        <f aca="false">+W$5/V$5*V$9</f>
        <v>2.85426881664495</v>
      </c>
      <c r="X9" s="143" t="n">
        <f aca="false">+X$5/W$5*W$9</f>
        <v>2.85426881664495</v>
      </c>
      <c r="Y9" s="143" t="n">
        <f aca="false">+Y$5/X$5*X$9</f>
        <v>2.85426881664495</v>
      </c>
      <c r="Z9" s="143" t="n">
        <f aca="false">+Z$5/Y$5*Y$9</f>
        <v>2.85426881664495</v>
      </c>
    </row>
    <row r="10" customFormat="false" ht="12.75" hidden="false" customHeight="true" outlineLevel="0" collapsed="false">
      <c r="A10" s="131"/>
      <c r="B10" s="131"/>
      <c r="C10" s="139"/>
      <c r="D10" s="139"/>
      <c r="E10" s="139"/>
      <c r="F10" s="139"/>
      <c r="G10" s="139"/>
      <c r="H10" s="139"/>
      <c r="I10" s="139"/>
      <c r="J10" s="139"/>
      <c r="K10" s="139"/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  <c r="Z10" s="139"/>
      <c r="AA10" s="139"/>
    </row>
    <row r="11" customFormat="false" ht="12.75" hidden="false" customHeight="false" outlineLevel="0" collapsed="false">
      <c r="A11" s="131"/>
      <c r="B11" s="131"/>
      <c r="C11" s="131"/>
      <c r="D11" s="131"/>
      <c r="E11" s="131"/>
      <c r="P11" s="131"/>
      <c r="Q11" s="131"/>
      <c r="Z11" s="139"/>
      <c r="AA11" s="139"/>
    </row>
    <row r="12" customFormat="false" ht="12.75" hidden="false" customHeight="true" outlineLevel="0" collapsed="false">
      <c r="A12" s="131"/>
      <c r="B12" s="144" t="s">
        <v>40</v>
      </c>
      <c r="Z12" s="139"/>
      <c r="AA12" s="139"/>
    </row>
    <row r="13" customFormat="false" ht="12.75" hidden="false" customHeight="true" outlineLevel="0" collapsed="false">
      <c r="A13" s="131"/>
      <c r="B13" s="140" t="s">
        <v>41</v>
      </c>
      <c r="F13" s="145" t="n">
        <f aca="false">+F18*22</f>
        <v>70.0416723743316</v>
      </c>
      <c r="G13" s="146" t="s">
        <v>42</v>
      </c>
      <c r="H13" s="0" t="n">
        <v>62.9</v>
      </c>
      <c r="Z13" s="139"/>
      <c r="AA13" s="139"/>
    </row>
    <row r="14" customFormat="false" ht="12.75" hidden="false" customHeight="true" outlineLevel="0" collapsed="false">
      <c r="A14" s="131"/>
      <c r="B14" s="131"/>
      <c r="F14" s="147" t="n">
        <f aca="false">F13/52.05*47994/1000</f>
        <v>64.5836700083318</v>
      </c>
      <c r="G14" s="146" t="s">
        <v>43</v>
      </c>
      <c r="H14" s="0" t="n">
        <v>58</v>
      </c>
      <c r="Z14" s="139"/>
      <c r="AA14" s="139"/>
    </row>
    <row r="15" customFormat="false" ht="12.75" hidden="false" customHeight="true" outlineLevel="0" collapsed="false">
      <c r="A15" s="131"/>
      <c r="B15" s="131"/>
      <c r="F15" s="147"/>
      <c r="G15" s="146"/>
      <c r="Z15" s="139"/>
      <c r="AA15" s="139"/>
    </row>
    <row r="16" customFormat="false" ht="12.75" hidden="false" customHeight="true" outlineLevel="0" collapsed="false">
      <c r="A16" s="131"/>
      <c r="B16" s="144" t="s">
        <v>44</v>
      </c>
      <c r="C16" s="148"/>
      <c r="D16" s="148"/>
      <c r="M16" s="148"/>
      <c r="Z16" s="139"/>
      <c r="AA16" s="139"/>
    </row>
    <row r="17" customFormat="false" ht="12.75" hidden="false" customHeight="true" outlineLevel="0" collapsed="false">
      <c r="A17" s="131"/>
      <c r="B17" s="140" t="s">
        <v>45</v>
      </c>
      <c r="C17" s="146"/>
      <c r="D17" s="146"/>
      <c r="F17" s="149" t="n">
        <v>2.04798282020881</v>
      </c>
      <c r="G17" s="0" t="s">
        <v>46</v>
      </c>
      <c r="Z17" s="139"/>
      <c r="AA17" s="139"/>
    </row>
    <row r="18" customFormat="false" ht="12.75" hidden="false" customHeight="true" outlineLevel="0" collapsed="false">
      <c r="A18" s="131"/>
      <c r="B18" s="140" t="s">
        <v>47</v>
      </c>
      <c r="C18" s="146"/>
      <c r="D18" s="146"/>
      <c r="F18" s="149" t="n">
        <f aca="false">IF(switch=0,RAROC!D43,RAROC!E43)</f>
        <v>3.18371238065143</v>
      </c>
      <c r="G18" s="0" t="s">
        <v>46</v>
      </c>
      <c r="Z18" s="139"/>
      <c r="AA18" s="139"/>
    </row>
    <row r="19" customFormat="false" ht="12.75" hidden="false" customHeight="true" outlineLevel="0" collapsed="false">
      <c r="A19" s="131"/>
      <c r="B19" s="131"/>
      <c r="Z19" s="139"/>
      <c r="AA19" s="139"/>
    </row>
    <row r="20" customFormat="false" ht="12.75" hidden="false" customHeight="true" outlineLevel="0" collapsed="false">
      <c r="A20" s="131"/>
      <c r="B20" s="144" t="s">
        <v>48</v>
      </c>
      <c r="F20" s="150"/>
      <c r="Z20" s="139"/>
      <c r="AA20" s="139"/>
    </row>
    <row r="21" customFormat="false" ht="12.75" hidden="false" customHeight="true" outlineLevel="0" collapsed="false">
      <c r="A21" s="131"/>
      <c r="B21" s="140" t="s">
        <v>49</v>
      </c>
      <c r="D21" s="151" t="n">
        <f aca="false">IF(switch=0,RAROC!D46,RAROC!E46)</f>
        <v>0.668185305474289</v>
      </c>
      <c r="Z21" s="139"/>
      <c r="AA21" s="139"/>
    </row>
    <row r="22" customFormat="false" ht="12.75" hidden="false" customHeight="true" outlineLevel="0" collapsed="false">
      <c r="A22" s="131"/>
      <c r="B22" s="152" t="s">
        <v>50</v>
      </c>
      <c r="C22" s="153"/>
      <c r="F22" s="154"/>
      <c r="G22" s="155"/>
      <c r="H22" s="155"/>
      <c r="I22" s="155"/>
      <c r="J22" s="156" t="s">
        <v>51</v>
      </c>
      <c r="K22" s="157" t="s">
        <v>52</v>
      </c>
      <c r="Z22" s="139"/>
      <c r="AA22" s="139"/>
    </row>
    <row r="23" customFormat="false" ht="12.75" hidden="false" customHeight="true" outlineLevel="0" collapsed="false">
      <c r="A23" s="131"/>
      <c r="B23" s="131"/>
      <c r="F23" s="158"/>
      <c r="G23" s="159"/>
      <c r="H23" s="159"/>
      <c r="I23" s="159"/>
      <c r="J23" s="159" t="n">
        <f aca="false">2/3</f>
        <v>0.666666666666667</v>
      </c>
      <c r="K23" s="159" t="n">
        <f aca="false">1-J23</f>
        <v>0.333333333333333</v>
      </c>
      <c r="Z23" s="139"/>
      <c r="AA23" s="139"/>
    </row>
    <row r="24" customFormat="false" ht="25.5" hidden="false" customHeight="true" outlineLevel="0" collapsed="false">
      <c r="A24" s="131"/>
      <c r="B24" s="131"/>
      <c r="C24" s="134" t="s">
        <v>53</v>
      </c>
      <c r="D24" s="131"/>
      <c r="E24" s="131"/>
      <c r="F24" s="157" t="s">
        <v>54</v>
      </c>
      <c r="G24" s="160" t="s">
        <v>55</v>
      </c>
      <c r="H24" s="160" t="s">
        <v>56</v>
      </c>
      <c r="I24" s="160" t="s">
        <v>57</v>
      </c>
      <c r="J24" s="160" t="s">
        <v>58</v>
      </c>
      <c r="Q24" s="139"/>
      <c r="R24" s="139"/>
    </row>
    <row r="25" customFormat="false" ht="12.75" hidden="false" customHeight="true" outlineLevel="0" collapsed="false">
      <c r="A25" s="131"/>
      <c r="B25" s="131"/>
      <c r="C25" s="161" t="s">
        <v>59</v>
      </c>
      <c r="D25" s="140"/>
      <c r="E25" s="131"/>
      <c r="F25" s="162" t="s">
        <v>60</v>
      </c>
      <c r="G25" s="141" t="n">
        <f aca="false">IF(switch=1,RAROC!E24,RAROC!D24)</f>
        <v>0.178374099783351</v>
      </c>
      <c r="H25" s="141" t="n">
        <f aca="false">IF(switch=1,RAROC!J24,RAROC!I24)*(1+USInf97!$S$3)</f>
        <v>0.161284371806281</v>
      </c>
      <c r="I25" s="141" t="n">
        <f aca="false">IF(switch=1,RAROC!O24,RAROC!N24)*(1+USInf97!$S$3)</f>
        <v>0.269111553739717</v>
      </c>
      <c r="J25" s="163" t="n">
        <f aca="false">+SUM(G25:I25)</f>
        <v>0.60877002532935</v>
      </c>
      <c r="K25" s="164"/>
      <c r="Q25" s="139"/>
      <c r="R25" s="139"/>
    </row>
    <row r="26" customFormat="false" ht="12.75" hidden="false" customHeight="true" outlineLevel="0" collapsed="false">
      <c r="A26" s="131"/>
      <c r="B26" s="131"/>
      <c r="C26" s="161" t="s">
        <v>61</v>
      </c>
      <c r="D26" s="140"/>
      <c r="E26" s="131"/>
      <c r="F26" s="162" t="s">
        <v>62</v>
      </c>
      <c r="G26" s="141" t="n">
        <f aca="false">IF(switch=1,RAROC!E28,0.769)</f>
        <v>0.774188586338549</v>
      </c>
      <c r="H26" s="141" t="n">
        <f aca="false">IF(switch=1,RAROC!J28,0.213)</f>
        <v>0.21793959743833</v>
      </c>
      <c r="I26" s="141" t="n">
        <f aca="false">IF(switch=1,RAROC!O28,(0.102+0.03+0.165+0.18))</f>
        <v>0.482785674696278</v>
      </c>
      <c r="J26" s="163" t="n">
        <f aca="false">SUM(G26:I26)</f>
        <v>1.47491385847316</v>
      </c>
      <c r="Q26" s="139"/>
      <c r="R26" s="139"/>
    </row>
    <row r="27" customFormat="false" ht="12.75" hidden="false" customHeight="true" outlineLevel="0" collapsed="false">
      <c r="A27" s="131"/>
      <c r="B27" s="131"/>
      <c r="F27" s="162"/>
      <c r="G27" s="162"/>
      <c r="H27" s="162"/>
      <c r="I27" s="162"/>
      <c r="J27" s="162"/>
      <c r="Q27" s="139"/>
      <c r="R27" s="139"/>
    </row>
    <row r="28" customFormat="false" ht="12.75" hidden="false" customHeight="true" outlineLevel="0" collapsed="false">
      <c r="A28" s="131"/>
      <c r="B28" s="131"/>
      <c r="F28" s="165"/>
      <c r="G28" s="166"/>
      <c r="H28" s="166"/>
      <c r="I28" s="166"/>
      <c r="J28" s="162"/>
      <c r="Q28" s="139"/>
      <c r="R28" s="139"/>
    </row>
    <row r="29" customFormat="false" ht="25.5" hidden="false" customHeight="true" outlineLevel="0" collapsed="false">
      <c r="A29" s="131"/>
      <c r="B29" s="131"/>
      <c r="C29" s="134" t="s">
        <v>63</v>
      </c>
      <c r="D29" s="131"/>
      <c r="E29" s="131"/>
      <c r="F29" s="167" t="s">
        <v>54</v>
      </c>
      <c r="G29" s="168" t="s">
        <v>55</v>
      </c>
      <c r="H29" s="168" t="s">
        <v>56</v>
      </c>
      <c r="I29" s="168" t="s">
        <v>57</v>
      </c>
      <c r="J29" s="168" t="s">
        <v>58</v>
      </c>
      <c r="Q29" s="139"/>
      <c r="R29" s="139"/>
    </row>
    <row r="30" customFormat="false" ht="12.75" hidden="false" customHeight="true" outlineLevel="0" collapsed="false">
      <c r="A30" s="131"/>
      <c r="B30" s="131"/>
      <c r="C30" s="161" t="s">
        <v>59</v>
      </c>
      <c r="D30" s="140"/>
      <c r="E30" s="131"/>
      <c r="F30" s="162" t="s">
        <v>62</v>
      </c>
      <c r="G30" s="141" t="n">
        <f aca="false">IF(switch=1,RAROC!E33,0.428)</f>
        <v>0.430512058974553</v>
      </c>
      <c r="H30" s="141" t="n">
        <f aca="false">IF(switch=1,RAROC!J33,0.119)</f>
        <v>0.123982918932957</v>
      </c>
      <c r="I30" s="141" t="n">
        <f aca="false">IF(switch=1,RAROC!O33,0.227)</f>
        <v>0.229445589211366</v>
      </c>
      <c r="J30" s="163" t="n">
        <f aca="false">+SUM(G30:I30)</f>
        <v>0.783940567118876</v>
      </c>
      <c r="Q30" s="139"/>
      <c r="R30" s="139"/>
    </row>
    <row r="31" customFormat="false" ht="12.75" hidden="false" customHeight="true" outlineLevel="0" collapsed="false">
      <c r="A31" s="131"/>
      <c r="B31" s="131"/>
      <c r="C31" s="161" t="s">
        <v>61</v>
      </c>
      <c r="D31" s="140"/>
      <c r="E31" s="131"/>
      <c r="F31" s="162" t="s">
        <v>62</v>
      </c>
      <c r="G31" s="141" t="n">
        <f aca="false">IF(switch=1,RAROC!E37,0.916)</f>
        <v>0.921090216950425</v>
      </c>
      <c r="H31" s="141" t="n">
        <f aca="false">IF(switch=1,RAROC!J37,0.254)</f>
        <v>0.259315012762268</v>
      </c>
      <c r="I31" s="141" t="n">
        <f aca="false">IF(switch=1,RAROC!O37,0.123+0.031+0.166+0.215)</f>
        <v>0.539625302487242</v>
      </c>
      <c r="J31" s="163" t="n">
        <f aca="false">SUM(G31:I31)</f>
        <v>1.72003053219993</v>
      </c>
      <c r="Q31" s="139"/>
      <c r="R31" s="139"/>
    </row>
    <row r="32" customFormat="false" ht="12.75" hidden="false" customHeight="true" outlineLevel="0" collapsed="false">
      <c r="C32" s="161"/>
      <c r="D32" s="140"/>
      <c r="E32" s="131"/>
      <c r="G32" s="169"/>
      <c r="H32" s="169"/>
      <c r="I32" s="169"/>
      <c r="J32" s="170"/>
      <c r="Z32" s="139"/>
      <c r="AA32" s="139"/>
    </row>
    <row r="33" customFormat="false" ht="12.75" hidden="false" customHeight="true" outlineLevel="0" collapsed="false">
      <c r="C33" s="161"/>
      <c r="D33" s="140"/>
      <c r="E33" s="131"/>
      <c r="G33" s="169"/>
      <c r="H33" s="169"/>
      <c r="I33" s="169"/>
      <c r="J33" s="170"/>
      <c r="Z33" s="139"/>
      <c r="AA33" s="139"/>
    </row>
    <row r="34" customFormat="false" ht="12.75" hidden="false" customHeight="true" outlineLevel="0" collapsed="false">
      <c r="B34" s="150" t="s">
        <v>64</v>
      </c>
      <c r="Z34" s="139"/>
      <c r="AA34" s="139"/>
    </row>
    <row r="35" customFormat="false" ht="12.75" hidden="false" customHeight="false" outlineLevel="0" collapsed="false">
      <c r="C35" s="148" t="s">
        <v>65</v>
      </c>
      <c r="F35" s="169" t="n">
        <v>0.02</v>
      </c>
      <c r="H35" s="155"/>
      <c r="Z35" s="139"/>
      <c r="AA35" s="139"/>
    </row>
    <row r="36" customFormat="false" ht="12.75" hidden="false" customHeight="true" outlineLevel="0" collapsed="false">
      <c r="B36" s="150"/>
      <c r="Z36" s="139"/>
      <c r="AA36" s="139"/>
    </row>
    <row r="37" customFormat="false" ht="12.75" hidden="false" customHeight="true" outlineLevel="0" collapsed="false">
      <c r="B37" s="150" t="s">
        <v>66</v>
      </c>
      <c r="Z37" s="139"/>
      <c r="AA37" s="139"/>
    </row>
    <row r="38" customFormat="false" ht="12.75" hidden="false" customHeight="true" outlineLevel="0" collapsed="false">
      <c r="B38" s="146" t="s">
        <v>49</v>
      </c>
      <c r="D38" s="151" t="n">
        <f aca="false">IF(switch=0,RAROC!D51,RAROC!E51)</f>
        <v>0.498820833056037</v>
      </c>
      <c r="Z38" s="139"/>
      <c r="AA38" s="139"/>
    </row>
    <row r="39" customFormat="false" ht="12.75" hidden="false" customHeight="true" outlineLevel="0" collapsed="false">
      <c r="B39" s="154" t="s">
        <v>67</v>
      </c>
      <c r="G39" s="155"/>
      <c r="Z39" s="139"/>
      <c r="AA39" s="139"/>
    </row>
    <row r="40" customFormat="false" ht="12.75" hidden="false" customHeight="false" outlineLevel="0" collapsed="false">
      <c r="C40" s="148" t="s">
        <v>68</v>
      </c>
      <c r="F40" s="171" t="s">
        <v>69</v>
      </c>
      <c r="G40" s="159" t="n">
        <v>1</v>
      </c>
      <c r="H40" s="155"/>
      <c r="J40" s="148" t="s">
        <v>70</v>
      </c>
      <c r="Z40" s="139"/>
      <c r="AA40" s="139"/>
    </row>
    <row r="41" customFormat="false" ht="12.75" hidden="false" customHeight="true" outlineLevel="0" collapsed="false">
      <c r="B41" s="134"/>
      <c r="G41" s="172" t="s">
        <v>71</v>
      </c>
      <c r="N41" s="172" t="s">
        <v>71</v>
      </c>
      <c r="P41" s="131"/>
      <c r="Q41" s="131"/>
      <c r="Z41" s="139"/>
      <c r="AA41" s="139"/>
    </row>
    <row r="42" customFormat="false" ht="12.75" hidden="false" customHeight="true" outlineLevel="0" collapsed="false">
      <c r="C42" s="173" t="s">
        <v>72</v>
      </c>
      <c r="G42" s="174" t="n">
        <f aca="false">IF(switch=0,5.8222388509*(+$G$40),RAROC!E63)</f>
        <v>5.83158812337415</v>
      </c>
      <c r="H42" s="175"/>
      <c r="J42" s="173" t="s">
        <v>73</v>
      </c>
      <c r="N42" s="176" t="n">
        <f aca="false">IF(switch=0,RAROC!D55,RAROC!E55)</f>
        <v>0.250696887314241</v>
      </c>
      <c r="P42" s="175"/>
      <c r="Q42" s="131"/>
      <c r="Z42" s="139"/>
      <c r="AA42" s="139"/>
    </row>
    <row r="43" customFormat="false" ht="12.75" hidden="false" customHeight="true" outlineLevel="0" collapsed="false">
      <c r="C43" s="161" t="s">
        <v>74</v>
      </c>
      <c r="G43" s="174" t="n">
        <f aca="false">IF(switch=0,5.5884170635*(+$G$40),RAROC!E66)</f>
        <v>5.57121260452608</v>
      </c>
      <c r="H43" s="177" t="s">
        <v>75</v>
      </c>
      <c r="J43" s="161" t="s">
        <v>76</v>
      </c>
      <c r="N43" s="178" t="n">
        <f aca="false">IF(switch=0,RAROC!D58,RAROC!E58)</f>
        <v>0.0135196047297869</v>
      </c>
      <c r="P43" s="131"/>
      <c r="Q43" s="131"/>
      <c r="Z43" s="139"/>
      <c r="AA43" s="139"/>
    </row>
    <row r="44" customFormat="false" ht="12.75" hidden="false" customHeight="true" outlineLevel="0" collapsed="false">
      <c r="C44" s="161" t="s">
        <v>77</v>
      </c>
      <c r="G44" s="176" t="n">
        <f aca="false">IF(switch=0,0.0266154761904762,RAROC!E69)</f>
        <v>0.0265196692497692</v>
      </c>
      <c r="H44" s="177" t="s">
        <v>75</v>
      </c>
      <c r="Z44" s="139"/>
      <c r="AA44" s="139"/>
    </row>
    <row r="45" customFormat="false" ht="12.75" hidden="false" customHeight="true" outlineLevel="0" collapsed="false">
      <c r="C45" s="161" t="s">
        <v>76</v>
      </c>
      <c r="G45" s="178" t="n">
        <f aca="false">IF(switch=0,2.5%,RAROC!E72)</f>
        <v>0.0249712316964126</v>
      </c>
      <c r="H45" s="131"/>
      <c r="I45" s="179"/>
      <c r="P45" s="131"/>
      <c r="Q45" s="131"/>
      <c r="R45" s="180"/>
      <c r="S45" s="180"/>
      <c r="T45" s="131"/>
      <c r="U45" s="131"/>
      <c r="V45" s="131"/>
      <c r="W45" s="131"/>
      <c r="X45" s="131"/>
      <c r="Y45" s="131"/>
      <c r="Z45" s="139"/>
      <c r="AA45" s="139"/>
    </row>
    <row r="46" customFormat="false" ht="12.75" hidden="false" customHeight="true" outlineLevel="0" collapsed="false">
      <c r="A46" s="161"/>
      <c r="E46" s="131"/>
      <c r="F46" s="131"/>
      <c r="G46" s="131"/>
      <c r="H46" s="131"/>
      <c r="I46" s="131"/>
      <c r="L46" s="131"/>
      <c r="M46" s="131"/>
      <c r="N46" s="131"/>
      <c r="P46" s="131"/>
      <c r="Q46" s="131"/>
      <c r="R46" s="180"/>
      <c r="S46" s="180"/>
      <c r="T46" s="131"/>
      <c r="U46" s="131"/>
      <c r="V46" s="131"/>
      <c r="W46" s="131"/>
      <c r="X46" s="131"/>
      <c r="Y46" s="131"/>
      <c r="Z46" s="139"/>
      <c r="AA46" s="139"/>
    </row>
    <row r="47" customFormat="false" ht="12.75" hidden="false" customHeight="true" outlineLevel="0" collapsed="false">
      <c r="A47" s="161"/>
      <c r="E47" s="131"/>
      <c r="F47" s="131"/>
      <c r="G47" s="131"/>
      <c r="H47" s="131"/>
      <c r="I47" s="131"/>
      <c r="L47" s="131"/>
      <c r="M47" s="131"/>
      <c r="N47" s="131"/>
      <c r="P47" s="131"/>
      <c r="Q47" s="131"/>
      <c r="R47" s="180"/>
      <c r="S47" s="180"/>
      <c r="T47" s="131"/>
      <c r="U47" s="131"/>
      <c r="V47" s="131"/>
      <c r="W47" s="131"/>
      <c r="X47" s="131"/>
      <c r="Y47" s="131"/>
      <c r="Z47" s="139"/>
      <c r="AA47" s="139"/>
    </row>
    <row r="48" customFormat="false" ht="12.75" hidden="false" customHeight="true" outlineLevel="0" collapsed="false">
      <c r="A48" s="161"/>
      <c r="E48" s="131"/>
      <c r="F48" s="131"/>
      <c r="G48" s="131"/>
      <c r="H48" s="131"/>
      <c r="I48" s="131"/>
      <c r="L48" s="131"/>
      <c r="M48" s="131"/>
      <c r="N48" s="131"/>
      <c r="P48" s="131"/>
      <c r="Q48" s="131"/>
      <c r="R48" s="180"/>
      <c r="S48" s="180"/>
      <c r="T48" s="131"/>
      <c r="U48" s="131"/>
      <c r="V48" s="131"/>
      <c r="W48" s="131"/>
      <c r="X48" s="131"/>
      <c r="Y48" s="131"/>
      <c r="Z48" s="139"/>
      <c r="AA48" s="139"/>
    </row>
    <row r="49" customFormat="false" ht="12.75" hidden="false" customHeight="true" outlineLevel="0" collapsed="false">
      <c r="A49" s="161"/>
      <c r="B49" s="150" t="s">
        <v>78</v>
      </c>
      <c r="E49" s="131"/>
      <c r="F49" s="131"/>
      <c r="G49" s="131"/>
      <c r="H49" s="131"/>
      <c r="I49" s="181" t="n">
        <f aca="false">IF(switch=0,RAROC!D76,RAROC!E76)</f>
        <v>0.749413010253415</v>
      </c>
      <c r="L49" s="131"/>
      <c r="M49" s="131"/>
      <c r="N49" s="131"/>
      <c r="P49" s="131"/>
      <c r="Q49" s="131"/>
      <c r="R49" s="180"/>
      <c r="S49" s="180"/>
      <c r="T49" s="131"/>
      <c r="U49" s="131"/>
      <c r="V49" s="131"/>
      <c r="W49" s="131"/>
      <c r="X49" s="131"/>
      <c r="Y49" s="131"/>
      <c r="Z49" s="139"/>
      <c r="AA49" s="139"/>
    </row>
    <row r="50" customFormat="false" ht="12.75" hidden="false" customHeight="true" outlineLevel="0" collapsed="false">
      <c r="Z50" s="139"/>
      <c r="AA50" s="139"/>
    </row>
    <row r="51" customFormat="false" ht="12.75" hidden="false" customHeight="true" outlineLevel="0" collapsed="false">
      <c r="B51" s="150" t="s">
        <v>79</v>
      </c>
      <c r="C51" s="146"/>
      <c r="H51" s="182" t="n">
        <f aca="false">IF(switch=0,RAROC!D80,RAROC!E80)</f>
        <v>1.00108216154505</v>
      </c>
      <c r="J51" s="183" t="s">
        <v>80</v>
      </c>
      <c r="M51" s="184" t="n">
        <f aca="false">IF(switch=0,RAROC!D83,RAROC!E83)</f>
        <v>0.499205524803104</v>
      </c>
      <c r="Z51" s="139"/>
      <c r="AA51" s="139"/>
    </row>
    <row r="52" customFormat="false" ht="12.75" hidden="false" customHeight="true" outlineLevel="0" collapsed="false">
      <c r="C52" s="146"/>
      <c r="H52" s="185"/>
      <c r="Z52" s="139"/>
      <c r="AA52" s="139"/>
    </row>
    <row r="53" customFormat="false" ht="12.75" hidden="false" customHeight="true" outlineLevel="0" collapsed="false">
      <c r="B53" s="136" t="s">
        <v>81</v>
      </c>
      <c r="Z53" s="139"/>
      <c r="AA53" s="139"/>
    </row>
    <row r="54" customFormat="false" ht="12.75" hidden="false" customHeight="true" outlineLevel="0" collapsed="false">
      <c r="B54" s="0" t="s">
        <v>82</v>
      </c>
      <c r="D54" s="145" t="n">
        <v>1082.9</v>
      </c>
      <c r="Z54" s="139"/>
      <c r="AA54" s="139"/>
    </row>
    <row r="55" customFormat="false" ht="12.75" hidden="false" customHeight="false" outlineLevel="0" collapsed="false">
      <c r="Z55" s="139"/>
      <c r="AA55" s="139"/>
    </row>
    <row r="56" customFormat="false" ht="12.75" hidden="false" customHeight="true" outlineLevel="0" collapsed="false">
      <c r="B56" s="150" t="s">
        <v>83</v>
      </c>
      <c r="F56" s="153" t="n">
        <v>0.17</v>
      </c>
      <c r="Z56" s="139"/>
      <c r="AA56" s="139"/>
    </row>
    <row r="57" customFormat="false" ht="12.75" hidden="false" customHeight="false" outlineLevel="0" collapsed="false">
      <c r="Z57" s="139"/>
      <c r="AA57" s="139"/>
    </row>
    <row r="58" customFormat="false" ht="12.75" hidden="false" customHeight="false" outlineLevel="0" collapsed="false">
      <c r="B58" s="136" t="s">
        <v>84</v>
      </c>
      <c r="Z58" s="139"/>
      <c r="AA58" s="139"/>
    </row>
    <row r="59" customFormat="false" ht="12.75" hidden="false" customHeight="false" outlineLevel="0" collapsed="false">
      <c r="B59" s="0" t="s">
        <v>85</v>
      </c>
      <c r="G59" s="186" t="n">
        <v>0.2</v>
      </c>
      <c r="Z59" s="139"/>
      <c r="AA59" s="139"/>
    </row>
    <row r="60" customFormat="false" ht="12.75" hidden="false" customHeight="false" outlineLevel="0" collapsed="false">
      <c r="B60" s="146" t="s">
        <v>86</v>
      </c>
      <c r="G60" s="186" t="n">
        <v>0.2</v>
      </c>
      <c r="Z60" s="139"/>
      <c r="AA60" s="139"/>
    </row>
    <row r="61" customFormat="false" ht="12.75" hidden="false" customHeight="false" outlineLevel="0" collapsed="false">
      <c r="B61" s="146" t="s">
        <v>87</v>
      </c>
      <c r="G61" s="186" t="n">
        <v>0.6</v>
      </c>
      <c r="Z61" s="139"/>
      <c r="AA61" s="139"/>
    </row>
    <row r="62" customFormat="false" ht="12.75" hidden="false" customHeight="false" outlineLevel="0" collapsed="false">
      <c r="Z62" s="139"/>
      <c r="AA62" s="139"/>
    </row>
    <row r="64" customFormat="false" ht="12.75" hidden="false" customHeight="false" outlineLevel="0" collapsed="false">
      <c r="B64" s="136" t="s">
        <v>88</v>
      </c>
    </row>
    <row r="66" customFormat="false" ht="12.75" hidden="false" customHeight="false" outlineLevel="0" collapsed="false">
      <c r="C66" s="187" t="n">
        <v>1.5</v>
      </c>
      <c r="D66" s="0" t="n">
        <v>0</v>
      </c>
      <c r="E66" s="0" t="n">
        <v>0</v>
      </c>
    </row>
    <row r="67" customFormat="false" ht="12.75" hidden="false" customHeight="false" outlineLevel="0" collapsed="false">
      <c r="C67" s="187" t="n">
        <f aca="false">C66+0.1</f>
        <v>1.6</v>
      </c>
      <c r="D67" s="0" t="n">
        <v>0</v>
      </c>
      <c r="E67" s="0" t="n">
        <v>0</v>
      </c>
      <c r="F67" s="187"/>
    </row>
    <row r="68" customFormat="false" ht="12.75" hidden="false" customHeight="false" outlineLevel="0" collapsed="false">
      <c r="C68" s="187" t="n">
        <f aca="false">C67+0.1</f>
        <v>1.7</v>
      </c>
      <c r="D68" s="0" t="n">
        <v>0</v>
      </c>
      <c r="E68" s="0" t="n">
        <v>0</v>
      </c>
      <c r="F68" s="188"/>
    </row>
    <row r="69" customFormat="false" ht="12.75" hidden="false" customHeight="false" outlineLevel="0" collapsed="false">
      <c r="C69" s="187" t="n">
        <f aca="false">C68+0.1</f>
        <v>1.8</v>
      </c>
      <c r="D69" s="0" t="n">
        <v>0</v>
      </c>
      <c r="E69" s="0" t="n">
        <v>0</v>
      </c>
    </row>
    <row r="70" customFormat="false" ht="12.75" hidden="false" customHeight="false" outlineLevel="0" collapsed="false">
      <c r="C70" s="189" t="n">
        <f aca="false">C69+0.1</f>
        <v>1.9</v>
      </c>
      <c r="D70" s="190" t="n">
        <v>3</v>
      </c>
      <c r="E70" s="190" t="n">
        <v>1</v>
      </c>
    </row>
    <row r="71" customFormat="false" ht="12.75" hidden="false" customHeight="false" outlineLevel="0" collapsed="false">
      <c r="C71" s="187" t="n">
        <f aca="false">C70+0.1</f>
        <v>2</v>
      </c>
      <c r="D71" s="0" t="n">
        <f aca="false">MIN(D70+2,24)</f>
        <v>5</v>
      </c>
      <c r="E71" s="0" t="n">
        <v>1</v>
      </c>
    </row>
    <row r="72" customFormat="false" ht="12.75" hidden="false" customHeight="false" outlineLevel="0" collapsed="false">
      <c r="C72" s="187" t="n">
        <f aca="false">C71+0.1</f>
        <v>2.1</v>
      </c>
      <c r="D72" s="0" t="n">
        <f aca="false">MIN(D71+2,24)</f>
        <v>7</v>
      </c>
      <c r="E72" s="0" t="n">
        <v>1</v>
      </c>
    </row>
    <row r="73" customFormat="false" ht="12.75" hidden="false" customHeight="false" outlineLevel="0" collapsed="false">
      <c r="C73" s="187" t="n">
        <f aca="false">C72+0.1</f>
        <v>2.2</v>
      </c>
      <c r="D73" s="0" t="n">
        <f aca="false">MIN(D72+2,24)</f>
        <v>9</v>
      </c>
      <c r="E73" s="0" t="n">
        <v>2</v>
      </c>
    </row>
    <row r="74" customFormat="false" ht="12.75" hidden="false" customHeight="false" outlineLevel="0" collapsed="false">
      <c r="C74" s="187" t="n">
        <f aca="false">C73+0.1</f>
        <v>2.3</v>
      </c>
      <c r="D74" s="0" t="n">
        <f aca="false">MIN(D73+2,24)</f>
        <v>11</v>
      </c>
      <c r="E74" s="0" t="n">
        <v>2</v>
      </c>
    </row>
    <row r="75" customFormat="false" ht="12.75" hidden="false" customHeight="false" outlineLevel="0" collapsed="false">
      <c r="C75" s="187" t="n">
        <f aca="false">C74+0.1</f>
        <v>2.4</v>
      </c>
      <c r="D75" s="0" t="n">
        <f aca="false">MIN(D74+2,24)</f>
        <v>13</v>
      </c>
      <c r="E75" s="0" t="n">
        <v>2</v>
      </c>
    </row>
    <row r="76" customFormat="false" ht="12.75" hidden="false" customHeight="false" outlineLevel="0" collapsed="false">
      <c r="C76" s="187" t="n">
        <f aca="false">C75+0.1</f>
        <v>2.5</v>
      </c>
      <c r="D76" s="0" t="n">
        <f aca="false">MIN(D75+2,24)</f>
        <v>15</v>
      </c>
      <c r="E76" s="0" t="n">
        <v>3</v>
      </c>
    </row>
    <row r="77" customFormat="false" ht="12.75" hidden="false" customHeight="false" outlineLevel="0" collapsed="false">
      <c r="C77" s="187" t="n">
        <f aca="false">C76+0.1</f>
        <v>2.6</v>
      </c>
      <c r="D77" s="0" t="n">
        <f aca="false">MIN(D76+2,24)</f>
        <v>17</v>
      </c>
      <c r="E77" s="0" t="n">
        <v>3</v>
      </c>
    </row>
    <row r="78" customFormat="false" ht="12.75" hidden="false" customHeight="false" outlineLevel="0" collapsed="false">
      <c r="C78" s="187" t="n">
        <f aca="false">C77+0.1</f>
        <v>2.7</v>
      </c>
      <c r="D78" s="0" t="n">
        <f aca="false">MIN(D77+2,24)</f>
        <v>19</v>
      </c>
      <c r="E78" s="0" t="n">
        <v>3</v>
      </c>
    </row>
    <row r="79" customFormat="false" ht="12.75" hidden="false" customHeight="false" outlineLevel="0" collapsed="false">
      <c r="C79" s="187" t="n">
        <f aca="false">C78+0.1</f>
        <v>2.8</v>
      </c>
      <c r="D79" s="0" t="n">
        <f aca="false">MIN(D78+2,24)</f>
        <v>21</v>
      </c>
      <c r="E79" s="0" t="n">
        <v>4</v>
      </c>
    </row>
    <row r="80" customFormat="false" ht="12.75" hidden="false" customHeight="false" outlineLevel="0" collapsed="false">
      <c r="C80" s="187" t="n">
        <f aca="false">C79+0.1</f>
        <v>2.9</v>
      </c>
      <c r="D80" s="0" t="n">
        <f aca="false">MIN(D79+2,24)</f>
        <v>23</v>
      </c>
      <c r="E80" s="0" t="n">
        <v>4</v>
      </c>
    </row>
    <row r="81" customFormat="false" ht="12.75" hidden="false" customHeight="false" outlineLevel="0" collapsed="false">
      <c r="C81" s="187" t="n">
        <f aca="false">C80+0.1</f>
        <v>3</v>
      </c>
      <c r="D81" s="0" t="n">
        <f aca="false">MIN(D80+2,24)</f>
        <v>24</v>
      </c>
      <c r="E81" s="0" t="n">
        <v>4</v>
      </c>
    </row>
    <row r="82" customFormat="false" ht="12.75" hidden="false" customHeight="false" outlineLevel="0" collapsed="false">
      <c r="C82" s="187" t="n">
        <f aca="false">C81+0.1</f>
        <v>3.1</v>
      </c>
      <c r="D82" s="0" t="n">
        <f aca="false">MIN(D81+2,24)</f>
        <v>24</v>
      </c>
      <c r="E82" s="0" t="n">
        <v>5</v>
      </c>
    </row>
    <row r="83" customFormat="false" ht="12.75" hidden="false" customHeight="false" outlineLevel="0" collapsed="false">
      <c r="C83" s="187" t="n">
        <f aca="false">C82+0.1</f>
        <v>3.2</v>
      </c>
      <c r="D83" s="0" t="n">
        <f aca="false">MIN(D82+2,24)</f>
        <v>24</v>
      </c>
      <c r="E83" s="0" t="n">
        <v>5</v>
      </c>
    </row>
    <row r="84" customFormat="false" ht="12.75" hidden="false" customHeight="false" outlineLevel="0" collapsed="false">
      <c r="C84" s="187" t="n">
        <f aca="false">C83+0.1</f>
        <v>3.3</v>
      </c>
      <c r="D84" s="0" t="n">
        <f aca="false">MIN(D83+2,24)</f>
        <v>24</v>
      </c>
      <c r="E84" s="0" t="n">
        <v>5</v>
      </c>
    </row>
    <row r="85" customFormat="false" ht="12.75" hidden="false" customHeight="false" outlineLevel="0" collapsed="false">
      <c r="C85" s="187" t="n">
        <f aca="false">C84+0.1</f>
        <v>3.4</v>
      </c>
      <c r="D85" s="0" t="n">
        <f aca="false">MIN(D84+2,24)</f>
        <v>24</v>
      </c>
      <c r="E85" s="0" t="n">
        <v>6</v>
      </c>
    </row>
    <row r="86" customFormat="false" ht="12.75" hidden="false" customHeight="false" outlineLevel="0" collapsed="false">
      <c r="C86" s="187" t="n">
        <f aca="false">C85+0.1</f>
        <v>3.5</v>
      </c>
      <c r="D86" s="0" t="n">
        <f aca="false">MIN(D85+2,24)</f>
        <v>24</v>
      </c>
      <c r="E86" s="0" t="n">
        <v>6</v>
      </c>
    </row>
    <row r="87" customFormat="false" ht="12.75" hidden="false" customHeight="false" outlineLevel="0" collapsed="false">
      <c r="C87" s="187"/>
    </row>
  </sheetData>
  <printOptions headings="false" gridLines="false" gridLinesSet="true" horizontalCentered="false" verticalCentered="false"/>
  <pageMargins left="0.5" right="0.5" top="0.5" bottom="0.5" header="0.4" footer="0.4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 &amp;C &amp;R </oddHeader>
    <oddFooter>&amp;L&amp;"Times New Roman,Regular"&amp;F\&amp;A&amp;C&amp;"Times New Roman,Regular"CONFIDENTIAL&amp;R&amp;"Times New Roman,Regular"&amp;P of &amp;N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F92"/>
  <sheetViews>
    <sheetView showFormulas="false" showGridLines="true" showRowColHeaders="true" showZeros="true" rightToLeft="false" tabSelected="false" showOutlineSymbols="true" defaultGridColor="true" view="normal" topLeftCell="F44" colorId="64" zoomScale="75" zoomScaleNormal="75" zoomScalePageLayoutView="100" workbookViewId="0">
      <selection pane="topLeft" activeCell="J64" activeCellId="0" sqref="J6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9.56"/>
    <col collapsed="false" customWidth="true" hidden="false" outlineLevel="0" max="10" min="10" style="0" width="11.99"/>
    <col collapsed="false" customWidth="true" hidden="false" outlineLevel="0" max="11" min="11" style="0" width="13.28"/>
    <col collapsed="false" customWidth="true" hidden="false" outlineLevel="0" max="13" min="12" style="0" width="9.28"/>
    <col collapsed="false" customWidth="true" hidden="false" outlineLevel="0" max="17" min="14" style="0" width="10.71"/>
    <col collapsed="false" customWidth="true" hidden="false" outlineLevel="0" max="21" min="18" style="0" width="11.42"/>
    <col collapsed="false" customWidth="true" hidden="false" outlineLevel="0" max="22" min="22" style="0" width="11.13"/>
    <col collapsed="false" customWidth="true" hidden="false" outlineLevel="0" max="25" min="23" style="0" width="12.14"/>
    <col collapsed="false" customWidth="true" hidden="false" outlineLevel="0" max="26" min="26" style="0" width="11.7"/>
    <col collapsed="false" customWidth="true" hidden="false" outlineLevel="0" max="28" min="27" style="0" width="12.14"/>
    <col collapsed="false" customWidth="true" hidden="false" outlineLevel="0" max="29" min="29" style="0" width="11.7"/>
    <col collapsed="false" customWidth="true" hidden="false" outlineLevel="0" max="32" min="30" style="0" width="12.14"/>
    <col collapsed="false" customWidth="true" hidden="false" outlineLevel="0" max="33" min="33" style="0" width="11.7"/>
    <col collapsed="false" customWidth="true" hidden="false" outlineLevel="0" max="34" min="34" style="0" width="12.14"/>
    <col collapsed="false" customWidth="true" hidden="false" outlineLevel="0" max="37" min="35" style="0" width="11.7"/>
    <col collapsed="false" customWidth="true" hidden="false" outlineLevel="0" max="42" min="38" style="0" width="9.28"/>
  </cols>
  <sheetData>
    <row r="1" customFormat="false" ht="15.75" hidden="false" customHeight="false" outlineLevel="0" collapsed="false">
      <c r="A1" s="191" t="s">
        <v>89</v>
      </c>
    </row>
    <row r="2" customFormat="false" ht="15.75" hidden="false" customHeight="false" outlineLevel="0" collapsed="false">
      <c r="A2" s="191" t="s">
        <v>90</v>
      </c>
      <c r="L2" s="192" t="n">
        <v>2000</v>
      </c>
      <c r="M2" s="192" t="n">
        <v>2001</v>
      </c>
      <c r="N2" s="192" t="n">
        <v>2002</v>
      </c>
      <c r="O2" s="192" t="n">
        <v>2003</v>
      </c>
      <c r="P2" s="192" t="n">
        <v>2004</v>
      </c>
      <c r="Q2" s="192" t="n">
        <v>2005</v>
      </c>
      <c r="R2" s="192" t="n">
        <v>2006</v>
      </c>
      <c r="S2" s="192" t="n">
        <v>2007</v>
      </c>
      <c r="T2" s="192" t="n">
        <v>2008</v>
      </c>
      <c r="U2" s="192" t="n">
        <v>2009</v>
      </c>
      <c r="V2" s="192" t="n">
        <v>2010</v>
      </c>
      <c r="W2" s="192" t="n">
        <v>2011</v>
      </c>
      <c r="X2" s="192" t="n">
        <v>2012</v>
      </c>
      <c r="Y2" s="192" t="n">
        <v>2013</v>
      </c>
      <c r="Z2" s="192" t="n">
        <v>2014</v>
      </c>
      <c r="AA2" s="192" t="n">
        <v>2015</v>
      </c>
      <c r="AB2" s="192" t="n">
        <v>2016</v>
      </c>
      <c r="AC2" s="192" t="n">
        <v>2017</v>
      </c>
      <c r="AD2" s="192" t="n">
        <v>2018</v>
      </c>
    </row>
    <row r="3" customFormat="false" ht="15.75" hidden="false" customHeight="false" outlineLevel="0" collapsed="false">
      <c r="A3" s="191" t="s">
        <v>91</v>
      </c>
      <c r="I3" s="0" t="s">
        <v>92</v>
      </c>
      <c r="L3" s="193" t="n">
        <f aca="false">Elba!E200</f>
        <v>0</v>
      </c>
      <c r="M3" s="193" t="n">
        <f aca="false">Elba!F200</f>
        <v>0</v>
      </c>
      <c r="N3" s="193" t="n">
        <f aca="false">Elba!G200</f>
        <v>22286.6547051426</v>
      </c>
      <c r="O3" s="193" t="n">
        <f aca="false">Elba!H200</f>
        <v>21523.4163245289</v>
      </c>
      <c r="P3" s="193" t="n">
        <f aca="false">Elba!I200</f>
        <v>20765.9867613204</v>
      </c>
      <c r="Q3" s="193" t="n">
        <f aca="false">Elba!J200</f>
        <v>19386.3299722846</v>
      </c>
      <c r="R3" s="193" t="n">
        <f aca="false">Elba!K200</f>
        <v>18648.3603877404</v>
      </c>
      <c r="S3" s="193" t="n">
        <f aca="false">Elba!L200</f>
        <v>22187.9667569459</v>
      </c>
      <c r="T3" s="193" t="n">
        <f aca="false">Elba!M200</f>
        <v>22243.9585876715</v>
      </c>
      <c r="U3" s="193" t="n">
        <f aca="false">Elba!N200</f>
        <v>22271.4898540252</v>
      </c>
      <c r="V3" s="193" t="n">
        <f aca="false">Elba!O200</f>
        <v>23780.9960571819</v>
      </c>
      <c r="W3" s="193" t="n">
        <f aca="false">Elba!P200</f>
        <v>23837.5492783988</v>
      </c>
      <c r="X3" s="193" t="n">
        <f aca="false">Elba!Q200</f>
        <v>23910.7512442889</v>
      </c>
      <c r="Y3" s="193" t="n">
        <f aca="false">Elba!R200</f>
        <v>25452.9949332587</v>
      </c>
      <c r="Z3" s="193" t="n">
        <f aca="false">Elba!S200</f>
        <v>25525.3340977945</v>
      </c>
      <c r="AA3" s="193" t="n">
        <f aca="false">Elba!T200</f>
        <v>25608.1456752926</v>
      </c>
      <c r="AB3" s="193" t="n">
        <f aca="false">Elba!U200</f>
        <v>25704.8376129465</v>
      </c>
      <c r="AC3" s="193" t="n">
        <f aca="false">Elba!V200</f>
        <v>25788.7134608715</v>
      </c>
      <c r="AD3" s="193" t="n">
        <f aca="false">Elba!W200</f>
        <v>25861.9433552364</v>
      </c>
    </row>
    <row r="4" customFormat="false" ht="13.5" hidden="false" customHeight="false" outlineLevel="0" collapsed="false">
      <c r="I4" s="0" t="s">
        <v>93</v>
      </c>
      <c r="L4" s="194" t="n">
        <v>0.0126463598291545</v>
      </c>
      <c r="M4" s="194" t="n">
        <v>0.00923508869256062</v>
      </c>
      <c r="N4" s="194" t="n">
        <v>0.0106916905324406</v>
      </c>
      <c r="O4" s="194" t="n">
        <v>0.014815283896496</v>
      </c>
      <c r="P4" s="194" t="n">
        <v>0.015537764666138</v>
      </c>
      <c r="Q4" s="194" t="n">
        <v>0.0135620648244053</v>
      </c>
      <c r="R4" s="194" t="n">
        <v>0.0136044499763704</v>
      </c>
      <c r="S4" s="194" t="n">
        <v>0.0182931289223772</v>
      </c>
      <c r="T4" s="194" t="n">
        <v>0.0232726177504209</v>
      </c>
      <c r="U4" s="194" t="n">
        <v>0.0260171929581979</v>
      </c>
      <c r="V4" s="194" t="n">
        <v>0.0256359075556885</v>
      </c>
      <c r="W4" s="194" t="n">
        <v>0.0242316478497363</v>
      </c>
      <c r="X4" s="194" t="n">
        <v>0.0225318544593048</v>
      </c>
      <c r="Y4" s="194" t="n">
        <v>0.0208333312774379</v>
      </c>
      <c r="Z4" s="194" t="n">
        <v>0.0191868915262995</v>
      </c>
      <c r="AA4" s="194" t="n">
        <v>0.0191868915262995</v>
      </c>
      <c r="AB4" s="194" t="n">
        <v>0.0191868915262995</v>
      </c>
      <c r="AC4" s="194" t="n">
        <v>0.0191868915262995</v>
      </c>
      <c r="AD4" s="194" t="n">
        <v>0.0191868915262995</v>
      </c>
    </row>
    <row r="5" customFormat="false" ht="13.5" hidden="false" customHeight="false" outlineLevel="0" collapsed="false">
      <c r="A5" s="195" t="s">
        <v>94</v>
      </c>
      <c r="B5" s="195"/>
      <c r="D5" s="196" t="n">
        <v>1</v>
      </c>
      <c r="I5" s="0" t="s">
        <v>95</v>
      </c>
      <c r="L5" s="197" t="n">
        <f aca="false">1-L4</f>
        <v>0.987353640170846</v>
      </c>
      <c r="M5" s="197" t="n">
        <f aca="false">1-M4</f>
        <v>0.990764911307439</v>
      </c>
      <c r="N5" s="197" t="n">
        <f aca="false">1-N4</f>
        <v>0.989308309467559</v>
      </c>
      <c r="O5" s="197" t="n">
        <f aca="false">1-O4</f>
        <v>0.985184716103504</v>
      </c>
      <c r="P5" s="197" t="n">
        <f aca="false">1-P4</f>
        <v>0.984462235333862</v>
      </c>
      <c r="Q5" s="197" t="n">
        <f aca="false">1-Q4</f>
        <v>0.986437935175595</v>
      </c>
      <c r="R5" s="197" t="n">
        <f aca="false">1-R4</f>
        <v>0.98639555002363</v>
      </c>
      <c r="S5" s="197" t="n">
        <f aca="false">1-S4</f>
        <v>0.981706871077623</v>
      </c>
      <c r="T5" s="197" t="n">
        <f aca="false">1-T4</f>
        <v>0.976727382249579</v>
      </c>
      <c r="U5" s="197" t="n">
        <f aca="false">1-U4</f>
        <v>0.973982807041802</v>
      </c>
      <c r="V5" s="197" t="n">
        <f aca="false">1-V4</f>
        <v>0.974364092444312</v>
      </c>
      <c r="W5" s="197" t="n">
        <f aca="false">1-W4</f>
        <v>0.975768352150264</v>
      </c>
      <c r="X5" s="197" t="n">
        <f aca="false">1-X4</f>
        <v>0.977468145540695</v>
      </c>
      <c r="Y5" s="197" t="n">
        <f aca="false">1-Y4</f>
        <v>0.979166668722562</v>
      </c>
      <c r="Z5" s="197" t="n">
        <f aca="false">1-Z4</f>
        <v>0.980813108473701</v>
      </c>
      <c r="AA5" s="197" t="n">
        <f aca="false">1-AA4</f>
        <v>0.980813108473701</v>
      </c>
      <c r="AB5" s="197" t="n">
        <f aca="false">1-AB4</f>
        <v>0.980813108473701</v>
      </c>
      <c r="AC5" s="197" t="n">
        <f aca="false">1-AC4</f>
        <v>0.980813108473701</v>
      </c>
      <c r="AD5" s="197" t="n">
        <f aca="false">1-AD4</f>
        <v>0.980813108473701</v>
      </c>
    </row>
    <row r="6" customFormat="false" ht="12.75" hidden="false" customHeight="false" outlineLevel="0" collapsed="false">
      <c r="I6" s="0" t="s">
        <v>96</v>
      </c>
      <c r="L6" s="190" t="n">
        <v>0.992</v>
      </c>
      <c r="M6" s="190" t="n">
        <v>0.99</v>
      </c>
      <c r="N6" s="190" t="n">
        <v>0.992</v>
      </c>
      <c r="O6" s="190" t="n">
        <v>0.988</v>
      </c>
      <c r="P6" s="190" t="n">
        <v>0.981</v>
      </c>
      <c r="Q6" s="190" t="n">
        <v>0.986</v>
      </c>
      <c r="R6" s="190" t="n">
        <v>0.98</v>
      </c>
      <c r="S6" s="190" t="n">
        <v>0.985</v>
      </c>
      <c r="T6" s="190" t="n">
        <v>0.976</v>
      </c>
      <c r="U6" s="190" t="n">
        <v>0.967</v>
      </c>
      <c r="V6" s="190" t="n">
        <v>0.979</v>
      </c>
      <c r="W6" s="190" t="n">
        <v>0.973</v>
      </c>
      <c r="X6" s="190" t="n">
        <v>0.98</v>
      </c>
      <c r="Y6" s="190" t="n">
        <v>0.988</v>
      </c>
      <c r="Z6" s="190" t="n">
        <v>0.987</v>
      </c>
      <c r="AA6" s="190" t="n">
        <v>0.981</v>
      </c>
      <c r="AB6" s="190" t="n">
        <v>0.984</v>
      </c>
      <c r="AC6" s="190" t="n">
        <v>0.982</v>
      </c>
      <c r="AD6" s="190" t="n">
        <v>0.984</v>
      </c>
    </row>
    <row r="7" customFormat="false" ht="12.75" hidden="false" customHeight="false" outlineLevel="0" collapsed="false">
      <c r="I7" s="0" t="s">
        <v>97</v>
      </c>
      <c r="L7" s="0" t="n">
        <f aca="false">L6</f>
        <v>0.992</v>
      </c>
      <c r="M7" s="0" t="n">
        <f aca="false">M6</f>
        <v>0.99</v>
      </c>
      <c r="N7" s="0" t="n">
        <f aca="false">N6</f>
        <v>0.992</v>
      </c>
      <c r="O7" s="0" t="n">
        <f aca="false">O6</f>
        <v>0.988</v>
      </c>
      <c r="P7" s="0" t="n">
        <f aca="false">P6</f>
        <v>0.981</v>
      </c>
      <c r="Q7" s="0" t="n">
        <f aca="false">Q6</f>
        <v>0.986</v>
      </c>
      <c r="R7" s="0" t="n">
        <f aca="false">R6</f>
        <v>0.98</v>
      </c>
      <c r="S7" s="0" t="n">
        <f aca="false">S6</f>
        <v>0.985</v>
      </c>
      <c r="T7" s="0" t="n">
        <f aca="false">T6</f>
        <v>0.976</v>
      </c>
      <c r="U7" s="0" t="n">
        <f aca="false">U6</f>
        <v>0.967</v>
      </c>
      <c r="V7" s="0" t="n">
        <f aca="false">V6</f>
        <v>0.979</v>
      </c>
      <c r="W7" s="0" t="n">
        <f aca="false">W6</f>
        <v>0.973</v>
      </c>
      <c r="X7" s="0" t="n">
        <f aca="false">X6</f>
        <v>0.98</v>
      </c>
      <c r="Y7" s="0" t="n">
        <f aca="false">Y6</f>
        <v>0.988</v>
      </c>
      <c r="Z7" s="0" t="n">
        <f aca="false">Z6</f>
        <v>0.987</v>
      </c>
      <c r="AA7" s="0" t="n">
        <f aca="false">AA6</f>
        <v>0.981</v>
      </c>
      <c r="AB7" s="0" t="n">
        <f aca="false">AB6</f>
        <v>0.984</v>
      </c>
      <c r="AC7" s="0" t="n">
        <f aca="false">AC6</f>
        <v>0.982</v>
      </c>
      <c r="AD7" s="0" t="n">
        <f aca="false">AD6</f>
        <v>0.984</v>
      </c>
    </row>
    <row r="8" customFormat="false" ht="12.75" hidden="false" customHeight="false" outlineLevel="0" collapsed="false">
      <c r="D8" s="136"/>
      <c r="E8" s="136"/>
      <c r="F8" s="136"/>
      <c r="L8" s="0" t="n">
        <f aca="false">1-L6</f>
        <v>0.00800000000000001</v>
      </c>
      <c r="M8" s="0" t="n">
        <f aca="false">1-M6</f>
        <v>0.01</v>
      </c>
      <c r="N8" s="0" t="n">
        <f aca="false">1-N6</f>
        <v>0.00800000000000001</v>
      </c>
      <c r="O8" s="0" t="n">
        <f aca="false">1-O6</f>
        <v>0.012</v>
      </c>
      <c r="P8" s="0" t="n">
        <f aca="false">1-P6</f>
        <v>0.019</v>
      </c>
      <c r="Q8" s="0" t="n">
        <f aca="false">1-Q6</f>
        <v>0.014</v>
      </c>
      <c r="R8" s="0" t="n">
        <f aca="false">1-R6</f>
        <v>0.02</v>
      </c>
      <c r="S8" s="0" t="n">
        <f aca="false">1-S6</f>
        <v>0.015</v>
      </c>
      <c r="T8" s="0" t="n">
        <f aca="false">1-T6</f>
        <v>0.024</v>
      </c>
      <c r="U8" s="0" t="n">
        <f aca="false">1-U6</f>
        <v>0.033</v>
      </c>
      <c r="V8" s="0" t="n">
        <f aca="false">1-V6</f>
        <v>0.021</v>
      </c>
      <c r="W8" s="0" t="n">
        <f aca="false">1-W6</f>
        <v>0.027</v>
      </c>
      <c r="X8" s="0" t="n">
        <f aca="false">1-X6</f>
        <v>0.02</v>
      </c>
      <c r="Y8" s="0" t="n">
        <f aca="false">1-Y6</f>
        <v>0.012</v>
      </c>
      <c r="Z8" s="0" t="n">
        <f aca="false">1-Z6</f>
        <v>0.013</v>
      </c>
      <c r="AA8" s="0" t="n">
        <f aca="false">1-AA6</f>
        <v>0.019</v>
      </c>
      <c r="AB8" s="0" t="n">
        <f aca="false">1-AB6</f>
        <v>0.016</v>
      </c>
      <c r="AC8" s="0" t="n">
        <f aca="false">1-AC6</f>
        <v>0.018</v>
      </c>
      <c r="AD8" s="0" t="n">
        <f aca="false">1-AD6</f>
        <v>0.016</v>
      </c>
    </row>
    <row r="9" customFormat="false" ht="12.75" hidden="false" customHeight="false" outlineLevel="0" collapsed="false">
      <c r="D9" s="198" t="s">
        <v>98</v>
      </c>
      <c r="E9" s="198" t="s">
        <v>99</v>
      </c>
      <c r="F9" s="198" t="s">
        <v>100</v>
      </c>
      <c r="G9" s="199"/>
      <c r="H9" s="198" t="s">
        <v>101</v>
      </c>
      <c r="I9" s="199"/>
      <c r="J9" s="199"/>
      <c r="K9" s="198" t="s">
        <v>102</v>
      </c>
      <c r="L9" s="199"/>
      <c r="M9" s="199"/>
      <c r="N9" s="198" t="s">
        <v>103</v>
      </c>
      <c r="O9" s="199"/>
      <c r="P9" s="199"/>
      <c r="Q9" s="198" t="s">
        <v>104</v>
      </c>
    </row>
    <row r="10" customFormat="false" ht="12.75" hidden="false" customHeight="false" outlineLevel="0" collapsed="false">
      <c r="A10" s="0" t="s">
        <v>105</v>
      </c>
      <c r="D10" s="0" t="n">
        <v>17</v>
      </c>
      <c r="E10" s="190" t="n">
        <v>16.5004028448551</v>
      </c>
      <c r="F10" s="0" t="s">
        <v>106</v>
      </c>
      <c r="G10" s="0" t="n">
        <v>16.5</v>
      </c>
      <c r="H10" s="190" t="n">
        <v>15.7958795157878</v>
      </c>
      <c r="I10" s="0" t="s">
        <v>106</v>
      </c>
      <c r="J10" s="0" t="n">
        <v>15.8</v>
      </c>
      <c r="K10" s="190" t="n">
        <v>15.184555928153</v>
      </c>
      <c r="L10" s="0" t="s">
        <v>106</v>
      </c>
      <c r="M10" s="0" t="n">
        <v>15.18</v>
      </c>
      <c r="N10" s="190" t="n">
        <v>14.5088088052248</v>
      </c>
      <c r="O10" s="0" t="s">
        <v>106</v>
      </c>
      <c r="P10" s="0" t="n">
        <v>14.52</v>
      </c>
      <c r="Q10" s="190" t="n">
        <v>13.8590437521346</v>
      </c>
      <c r="R10" s="0" t="s">
        <v>106</v>
      </c>
      <c r="S10" s="0" t="n">
        <v>13.86</v>
      </c>
    </row>
    <row r="11" customFormat="false" ht="12.75" hidden="false" customHeight="false" outlineLevel="0" collapsed="false">
      <c r="A11" s="146" t="s">
        <v>14</v>
      </c>
      <c r="F11" s="0" t="s">
        <v>107</v>
      </c>
      <c r="G11" s="0" t="n">
        <v>0.2</v>
      </c>
      <c r="I11" s="0" t="s">
        <v>107</v>
      </c>
      <c r="J11" s="0" t="n">
        <v>0.2</v>
      </c>
      <c r="L11" s="0" t="s">
        <v>107</v>
      </c>
      <c r="M11" s="0" t="n">
        <v>0.2</v>
      </c>
      <c r="O11" s="0" t="s">
        <v>107</v>
      </c>
      <c r="P11" s="0" t="n">
        <v>0.2</v>
      </c>
      <c r="R11" s="0" t="s">
        <v>107</v>
      </c>
      <c r="S11" s="0" t="n">
        <v>0.2</v>
      </c>
    </row>
    <row r="13" customFormat="false" ht="12.75" hidden="false" customHeight="false" outlineLevel="0" collapsed="false">
      <c r="H13" s="198" t="s">
        <v>101</v>
      </c>
      <c r="I13" s="199"/>
      <c r="J13" s="199"/>
      <c r="K13" s="198" t="s">
        <v>102</v>
      </c>
      <c r="L13" s="199"/>
      <c r="M13" s="199"/>
      <c r="N13" s="198" t="s">
        <v>103</v>
      </c>
      <c r="O13" s="199"/>
      <c r="P13" s="199"/>
      <c r="Q13" s="198" t="s">
        <v>104</v>
      </c>
    </row>
    <row r="14" customFormat="false" ht="12.75" hidden="false" customHeight="false" outlineLevel="0" collapsed="false">
      <c r="A14" s="0" t="s">
        <v>108</v>
      </c>
      <c r="D14" s="0" t="n">
        <v>5</v>
      </c>
      <c r="E14" s="190" t="n">
        <v>3.972</v>
      </c>
      <c r="F14" s="0" t="s">
        <v>109</v>
      </c>
      <c r="H14" s="190" t="n">
        <v>3.788</v>
      </c>
      <c r="K14" s="190" t="n">
        <v>3.622</v>
      </c>
      <c r="N14" s="190" t="n">
        <v>3.419</v>
      </c>
      <c r="Q14" s="190" t="n">
        <v>3.377</v>
      </c>
    </row>
    <row r="15" customFormat="false" ht="12.75" hidden="false" customHeight="false" outlineLevel="0" collapsed="false">
      <c r="A15" s="146" t="s">
        <v>14</v>
      </c>
    </row>
    <row r="16" customFormat="false" ht="12.75" hidden="false" customHeight="false" outlineLevel="0" collapsed="false">
      <c r="P16" s="200"/>
    </row>
    <row r="19" customFormat="false" ht="12.75" hidden="false" customHeight="false" outlineLevel="0" collapsed="false">
      <c r="A19" s="134" t="s">
        <v>39</v>
      </c>
      <c r="D19" s="139" t="n">
        <v>1.65</v>
      </c>
      <c r="E19" s="201" t="n">
        <v>1.59329729269876</v>
      </c>
      <c r="F19" s="179" t="s">
        <v>110</v>
      </c>
      <c r="G19" s="0" t="s">
        <v>106</v>
      </c>
      <c r="H19" s="185" t="n">
        <v>1.65</v>
      </c>
    </row>
    <row r="20" customFormat="false" ht="12.75" hidden="false" customHeight="false" outlineLevel="0" collapsed="false">
      <c r="D20" s="186"/>
      <c r="E20" s="186"/>
      <c r="F20" s="179"/>
      <c r="G20" s="161" t="s">
        <v>111</v>
      </c>
      <c r="H20" s="185" t="n">
        <v>0.1</v>
      </c>
    </row>
    <row r="21" customFormat="false" ht="12.75" hidden="false" customHeight="false" outlineLevel="0" collapsed="false">
      <c r="H21" s="186"/>
    </row>
    <row r="22" customFormat="false" ht="12.75" hidden="false" customHeight="false" outlineLevel="0" collapsed="false">
      <c r="A22" s="144" t="s">
        <v>53</v>
      </c>
    </row>
    <row r="23" customFormat="false" ht="12.75" hidden="false" customHeight="false" outlineLevel="0" collapsed="false">
      <c r="D23" s="0" t="s">
        <v>55</v>
      </c>
      <c r="I23" s="0" t="s">
        <v>56</v>
      </c>
      <c r="N23" s="0" t="s">
        <v>57</v>
      </c>
    </row>
    <row r="24" customFormat="false" ht="12.75" hidden="false" customHeight="false" outlineLevel="0" collapsed="false">
      <c r="B24" s="0" t="s">
        <v>16</v>
      </c>
      <c r="D24" s="0" t="n">
        <v>0.174</v>
      </c>
      <c r="E24" s="190" t="n">
        <v>0.178374099783351</v>
      </c>
      <c r="F24" s="0" t="s">
        <v>112</v>
      </c>
      <c r="G24" s="0" t="s">
        <v>113</v>
      </c>
      <c r="H24" s="0" t="n">
        <v>0.174</v>
      </c>
      <c r="I24" s="0" t="n">
        <v>0.154417327663107</v>
      </c>
      <c r="J24" s="190" t="n">
        <v>0.156670602561672</v>
      </c>
      <c r="K24" s="0" t="s">
        <v>112</v>
      </c>
      <c r="L24" s="0" t="s">
        <v>113</v>
      </c>
      <c r="M24" s="0" t="n">
        <v>0.154417327663107</v>
      </c>
      <c r="N24" s="0" t="n">
        <v>0.25942111047402</v>
      </c>
      <c r="O24" s="190" t="n">
        <v>0.261413234329671</v>
      </c>
      <c r="P24" s="0" t="s">
        <v>112</v>
      </c>
      <c r="Q24" s="0" t="s">
        <v>113</v>
      </c>
      <c r="R24" s="0" t="n">
        <v>0.25942111047402</v>
      </c>
    </row>
    <row r="25" customFormat="false" ht="12.75" hidden="false" customHeight="false" outlineLevel="0" collapsed="false">
      <c r="G25" s="0" t="s">
        <v>114</v>
      </c>
      <c r="H25" s="0" t="n">
        <v>0.01</v>
      </c>
      <c r="L25" s="0" t="s">
        <v>114</v>
      </c>
      <c r="M25" s="0" t="n">
        <v>0.005</v>
      </c>
      <c r="Q25" s="0" t="s">
        <v>114</v>
      </c>
      <c r="R25" s="0" t="n">
        <v>0.004</v>
      </c>
    </row>
    <row r="27" customFormat="false" ht="12.75" hidden="false" customHeight="false" outlineLevel="0" collapsed="false">
      <c r="D27" s="0" t="s">
        <v>55</v>
      </c>
      <c r="I27" s="0" t="s">
        <v>56</v>
      </c>
      <c r="N27" s="0" t="s">
        <v>57</v>
      </c>
    </row>
    <row r="28" customFormat="false" ht="12.75" hidden="false" customHeight="false" outlineLevel="0" collapsed="false">
      <c r="B28" s="0" t="s">
        <v>115</v>
      </c>
      <c r="D28" s="0" t="n">
        <v>0.769</v>
      </c>
      <c r="E28" s="190" t="n">
        <v>0.774188586338549</v>
      </c>
      <c r="F28" s="0" t="s">
        <v>112</v>
      </c>
      <c r="G28" s="0" t="s">
        <v>113</v>
      </c>
      <c r="H28" s="0" t="n">
        <v>0.769</v>
      </c>
      <c r="I28" s="0" t="n">
        <v>0.213</v>
      </c>
      <c r="J28" s="190" t="n">
        <v>0.21793959743833</v>
      </c>
      <c r="K28" s="0" t="s">
        <v>112</v>
      </c>
      <c r="L28" s="0" t="s">
        <v>113</v>
      </c>
      <c r="M28" s="0" t="n">
        <v>0.213</v>
      </c>
      <c r="N28" s="0" t="n">
        <v>0.477</v>
      </c>
      <c r="O28" s="190" t="n">
        <v>0.482785674696278</v>
      </c>
      <c r="P28" s="0" t="s">
        <v>112</v>
      </c>
      <c r="Q28" s="0" t="s">
        <v>113</v>
      </c>
      <c r="R28" s="0" t="n">
        <v>0.477</v>
      </c>
    </row>
    <row r="29" customFormat="false" ht="12.75" hidden="false" customHeight="false" outlineLevel="0" collapsed="false">
      <c r="G29" s="0" t="s">
        <v>114</v>
      </c>
      <c r="H29" s="0" t="n">
        <v>0.01</v>
      </c>
      <c r="L29" s="0" t="s">
        <v>114</v>
      </c>
      <c r="M29" s="0" t="n">
        <v>0.01</v>
      </c>
      <c r="Q29" s="0" t="s">
        <v>114</v>
      </c>
      <c r="R29" s="0" t="n">
        <v>0.01</v>
      </c>
    </row>
    <row r="31" customFormat="false" ht="12.75" hidden="false" customHeight="false" outlineLevel="0" collapsed="false">
      <c r="A31" s="144" t="s">
        <v>116</v>
      </c>
    </row>
    <row r="32" customFormat="false" ht="12.75" hidden="false" customHeight="false" outlineLevel="0" collapsed="false">
      <c r="D32" s="0" t="s">
        <v>55</v>
      </c>
      <c r="I32" s="0" t="s">
        <v>56</v>
      </c>
      <c r="N32" s="0" t="s">
        <v>57</v>
      </c>
    </row>
    <row r="33" customFormat="false" ht="12.75" hidden="false" customHeight="false" outlineLevel="0" collapsed="false">
      <c r="B33" s="0" t="s">
        <v>16</v>
      </c>
      <c r="D33" s="0" t="n">
        <v>0.428</v>
      </c>
      <c r="E33" s="190" t="n">
        <v>0.430512058974553</v>
      </c>
      <c r="F33" s="0" t="s">
        <v>112</v>
      </c>
      <c r="G33" s="0" t="s">
        <v>113</v>
      </c>
      <c r="H33" s="0" t="n">
        <v>0.428</v>
      </c>
      <c r="I33" s="0" t="n">
        <v>0.119</v>
      </c>
      <c r="J33" s="190" t="n">
        <v>0.123982918932957</v>
      </c>
      <c r="K33" s="0" t="s">
        <v>112</v>
      </c>
      <c r="L33" s="0" t="s">
        <v>113</v>
      </c>
      <c r="M33" s="0" t="n">
        <v>0.119</v>
      </c>
      <c r="N33" s="0" t="n">
        <v>0.227</v>
      </c>
      <c r="O33" s="190" t="n">
        <v>0.229445589211366</v>
      </c>
      <c r="P33" s="0" t="s">
        <v>112</v>
      </c>
      <c r="Q33" s="0" t="s">
        <v>113</v>
      </c>
      <c r="R33" s="0" t="n">
        <v>0.227</v>
      </c>
    </row>
    <row r="34" customFormat="false" ht="12.75" hidden="false" customHeight="false" outlineLevel="0" collapsed="false">
      <c r="G34" s="0" t="s">
        <v>114</v>
      </c>
      <c r="H34" s="0" t="n">
        <v>0.005</v>
      </c>
      <c r="L34" s="0" t="s">
        <v>114</v>
      </c>
      <c r="M34" s="0" t="n">
        <v>0.01</v>
      </c>
      <c r="Q34" s="0" t="s">
        <v>114</v>
      </c>
      <c r="R34" s="0" t="n">
        <v>0.005</v>
      </c>
    </row>
    <row r="36" customFormat="false" ht="12.75" hidden="false" customHeight="false" outlineLevel="0" collapsed="false">
      <c r="D36" s="0" t="s">
        <v>55</v>
      </c>
      <c r="I36" s="0" t="s">
        <v>56</v>
      </c>
      <c r="N36" s="0" t="s">
        <v>57</v>
      </c>
    </row>
    <row r="37" customFormat="false" ht="12.75" hidden="false" customHeight="false" outlineLevel="0" collapsed="false">
      <c r="B37" s="0" t="s">
        <v>115</v>
      </c>
      <c r="D37" s="0" t="n">
        <v>0.916</v>
      </c>
      <c r="E37" s="190" t="n">
        <v>0.921090216950425</v>
      </c>
      <c r="F37" s="0" t="s">
        <v>112</v>
      </c>
      <c r="G37" s="0" t="s">
        <v>113</v>
      </c>
      <c r="H37" s="0" t="n">
        <v>0.916</v>
      </c>
      <c r="I37" s="0" t="n">
        <v>0.254</v>
      </c>
      <c r="J37" s="190" t="n">
        <v>0.259315012762268</v>
      </c>
      <c r="K37" s="0" t="s">
        <v>112</v>
      </c>
      <c r="L37" s="0" t="s">
        <v>113</v>
      </c>
      <c r="M37" s="0" t="n">
        <v>0.254</v>
      </c>
      <c r="N37" s="0" t="n">
        <v>0.535</v>
      </c>
      <c r="O37" s="190" t="n">
        <v>0.539625302487242</v>
      </c>
      <c r="P37" s="0" t="s">
        <v>112</v>
      </c>
      <c r="Q37" s="0" t="s">
        <v>113</v>
      </c>
      <c r="R37" s="0" t="n">
        <v>0.535</v>
      </c>
    </row>
    <row r="38" customFormat="false" ht="12.75" hidden="false" customHeight="false" outlineLevel="0" collapsed="false">
      <c r="G38" s="0" t="s">
        <v>114</v>
      </c>
      <c r="H38" s="0" t="n">
        <v>0.01</v>
      </c>
      <c r="L38" s="0" t="s">
        <v>114</v>
      </c>
      <c r="M38" s="0" t="n">
        <v>0.01</v>
      </c>
      <c r="Q38" s="0" t="s">
        <v>114</v>
      </c>
      <c r="R38" s="0" t="n">
        <v>0.01</v>
      </c>
    </row>
    <row r="40" customFormat="false" ht="12.75" hidden="false" customHeight="false" outlineLevel="0" collapsed="false">
      <c r="A40" s="131" t="s">
        <v>38</v>
      </c>
      <c r="B40" s="131"/>
      <c r="D40" s="202" t="n">
        <v>0.02</v>
      </c>
      <c r="E40" s="203" t="n">
        <f aca="false">0.016318326471106</f>
        <v>0.016318326471106</v>
      </c>
      <c r="F40" s="0" t="s">
        <v>110</v>
      </c>
      <c r="G40" s="0" t="s">
        <v>106</v>
      </c>
      <c r="H40" s="204" t="n">
        <v>0.02</v>
      </c>
    </row>
    <row r="41" customFormat="false" ht="12.75" hidden="false" customHeight="false" outlineLevel="0" collapsed="false">
      <c r="A41" s="131"/>
      <c r="B41" s="131"/>
      <c r="D41" s="139"/>
      <c r="E41" s="139"/>
      <c r="G41" s="0" t="s">
        <v>111</v>
      </c>
      <c r="H41" s="204" t="n">
        <v>0.005</v>
      </c>
      <c r="I41" s="139"/>
      <c r="J41" s="139"/>
      <c r="K41" s="139"/>
      <c r="L41" s="139"/>
      <c r="M41" s="139"/>
      <c r="N41" s="139"/>
      <c r="O41" s="139"/>
      <c r="P41" s="139"/>
      <c r="Q41" s="139"/>
      <c r="R41" s="139"/>
      <c r="S41" s="139"/>
      <c r="T41" s="139"/>
      <c r="U41" s="139"/>
      <c r="V41" s="139"/>
      <c r="W41" s="139"/>
      <c r="X41" s="139"/>
      <c r="Y41" s="139"/>
      <c r="Z41" s="139"/>
    </row>
    <row r="42" customFormat="false" ht="12.75" hidden="false" customHeight="false" outlineLevel="0" collapsed="false">
      <c r="A42" s="144" t="s">
        <v>44</v>
      </c>
      <c r="B42" s="148"/>
      <c r="C42" s="148"/>
      <c r="L42" s="148"/>
      <c r="Y42" s="139"/>
      <c r="Z42" s="139"/>
    </row>
    <row r="43" customFormat="false" ht="12.75" hidden="false" customHeight="false" outlineLevel="0" collapsed="false">
      <c r="A43" s="140" t="s">
        <v>117</v>
      </c>
      <c r="B43" s="146"/>
      <c r="C43" s="146"/>
      <c r="D43" s="205" t="n">
        <v>3.223</v>
      </c>
      <c r="E43" s="206" t="n">
        <v>3.18371238065143</v>
      </c>
      <c r="F43" s="0" t="s">
        <v>110</v>
      </c>
      <c r="G43" s="0" t="s">
        <v>106</v>
      </c>
      <c r="H43" s="0" t="n">
        <v>3.223</v>
      </c>
      <c r="I43" s="140" t="s">
        <v>118</v>
      </c>
      <c r="J43" s="146"/>
      <c r="K43" s="146"/>
      <c r="L43" s="205" t="n">
        <v>2.046</v>
      </c>
      <c r="M43" s="206" t="n">
        <v>2.05621886945962</v>
      </c>
      <c r="N43" s="0" t="s">
        <v>110</v>
      </c>
      <c r="O43" s="0" t="s">
        <v>106</v>
      </c>
      <c r="P43" s="0" t="n">
        <v>2.046</v>
      </c>
      <c r="Y43" s="139"/>
      <c r="Z43" s="139"/>
    </row>
    <row r="44" customFormat="false" ht="12.75" hidden="false" customHeight="false" outlineLevel="0" collapsed="false">
      <c r="A44" s="131"/>
      <c r="G44" s="0" t="s">
        <v>111</v>
      </c>
      <c r="H44" s="0" t="n">
        <v>0.05</v>
      </c>
      <c r="I44" s="131"/>
      <c r="O44" s="0" t="s">
        <v>111</v>
      </c>
      <c r="P44" s="0" t="n">
        <v>0.15</v>
      </c>
      <c r="Y44" s="139"/>
      <c r="Z44" s="139"/>
    </row>
    <row r="45" customFormat="false" ht="12.75" hidden="false" customHeight="false" outlineLevel="0" collapsed="false">
      <c r="A45" s="144" t="s">
        <v>48</v>
      </c>
      <c r="H45" s="150"/>
      <c r="L45" s="192" t="s">
        <v>119</v>
      </c>
      <c r="M45" s="192" t="s">
        <v>120</v>
      </c>
      <c r="N45" s="192" t="s">
        <v>121</v>
      </c>
      <c r="O45" s="192" t="s">
        <v>122</v>
      </c>
      <c r="P45" s="192" t="s">
        <v>123</v>
      </c>
      <c r="Q45" s="192" t="s">
        <v>124</v>
      </c>
      <c r="R45" s="192" t="s">
        <v>125</v>
      </c>
      <c r="S45" s="192" t="s">
        <v>126</v>
      </c>
      <c r="T45" s="192" t="s">
        <v>127</v>
      </c>
      <c r="U45" s="192" t="s">
        <v>128</v>
      </c>
      <c r="V45" s="192" t="s">
        <v>129</v>
      </c>
      <c r="W45" s="192" t="s">
        <v>130</v>
      </c>
      <c r="X45" s="192" t="s">
        <v>131</v>
      </c>
      <c r="Y45" s="192" t="s">
        <v>132</v>
      </c>
      <c r="Z45" s="192" t="s">
        <v>133</v>
      </c>
      <c r="AA45" s="192" t="s">
        <v>134</v>
      </c>
      <c r="AB45" s="192" t="s">
        <v>135</v>
      </c>
      <c r="AC45" s="192" t="s">
        <v>136</v>
      </c>
      <c r="AD45" s="192" t="s">
        <v>137</v>
      </c>
      <c r="AE45" s="192" t="s">
        <v>138</v>
      </c>
      <c r="AF45" s="192" t="s">
        <v>139</v>
      </c>
    </row>
    <row r="46" customFormat="false" ht="12.75" hidden="false" customHeight="false" outlineLevel="0" collapsed="false">
      <c r="A46" s="140" t="s">
        <v>49</v>
      </c>
      <c r="D46" s="153" t="n">
        <v>0.666666666666667</v>
      </c>
      <c r="E46" s="207" t="n">
        <v>0.668185305474289</v>
      </c>
      <c r="F46" s="0" t="s">
        <v>110</v>
      </c>
      <c r="G46" s="0" t="s">
        <v>106</v>
      </c>
      <c r="H46" s="0" t="n">
        <v>0.666666666666667</v>
      </c>
      <c r="J46" s="195" t="s">
        <v>140</v>
      </c>
      <c r="L46" s="208" t="n">
        <f aca="false">Elba!E201</f>
        <v>0</v>
      </c>
      <c r="M46" s="208" t="n">
        <f aca="false">Elba!F201</f>
        <v>0</v>
      </c>
      <c r="N46" s="208" t="n">
        <f aca="false">Elba!G201</f>
        <v>-16674.4428640869</v>
      </c>
      <c r="O46" s="208" t="n">
        <f aca="false">Elba!H201</f>
        <v>-16654.8328074183</v>
      </c>
      <c r="P46" s="208" t="n">
        <f aca="false">Elba!I201</f>
        <v>-16636.3207994655</v>
      </c>
      <c r="Q46" s="208" t="n">
        <f aca="false">Elba!J201</f>
        <v>-16543.6842793126</v>
      </c>
      <c r="R46" s="208" t="n">
        <f aca="false">Elba!K201</f>
        <v>-16548.6584711867</v>
      </c>
      <c r="S46" s="208" t="n">
        <f aca="false">Elba!L201</f>
        <v>0</v>
      </c>
      <c r="T46" s="208" t="n">
        <f aca="false">Elba!M201</f>
        <v>0</v>
      </c>
      <c r="U46" s="208" t="n">
        <f aca="false">Elba!N201</f>
        <v>0</v>
      </c>
      <c r="V46" s="208" t="n">
        <f aca="false">Elba!O201</f>
        <v>0</v>
      </c>
      <c r="W46" s="208" t="n">
        <f aca="false">Elba!P201</f>
        <v>0</v>
      </c>
      <c r="X46" s="208" t="n">
        <f aca="false">Elba!Q201</f>
        <v>0</v>
      </c>
      <c r="Y46" s="208" t="n">
        <f aca="false">Elba!R201</f>
        <v>0</v>
      </c>
      <c r="Z46" s="208" t="n">
        <f aca="false">Elba!S201</f>
        <v>0</v>
      </c>
      <c r="AA46" s="208" t="n">
        <f aca="false">Elba!T201</f>
        <v>0</v>
      </c>
      <c r="AB46" s="208" t="n">
        <f aca="false">Elba!U201</f>
        <v>0</v>
      </c>
      <c r="AC46" s="208" t="n">
        <f aca="false">Elba!V201</f>
        <v>0</v>
      </c>
      <c r="AD46" s="208" t="n">
        <f aca="false">Elba!W201</f>
        <v>0</v>
      </c>
      <c r="AE46" s="208" t="n">
        <f aca="false">Elba!X201</f>
        <v>0</v>
      </c>
      <c r="AF46" s="208" t="n">
        <f aca="false">Elba!Y201</f>
        <v>0</v>
      </c>
    </row>
    <row r="47" customFormat="false" ht="12.75" hidden="false" customHeight="false" outlineLevel="0" collapsed="false">
      <c r="A47" s="152" t="s">
        <v>50</v>
      </c>
      <c r="B47" s="153"/>
      <c r="G47" s="0" t="s">
        <v>111</v>
      </c>
      <c r="H47" s="0" t="n">
        <v>0.05</v>
      </c>
      <c r="I47" s="155"/>
      <c r="J47" s="195"/>
      <c r="K47" s="200" t="n">
        <f aca="false">+NPV('Common Assumpt'!$F$56,RAROC!L46:AF46)</f>
        <v>-38850.1980397164</v>
      </c>
      <c r="L47" s="192" t="s">
        <v>141</v>
      </c>
      <c r="M47" s="192" t="s">
        <v>142</v>
      </c>
      <c r="N47" s="192" t="s">
        <v>143</v>
      </c>
      <c r="O47" s="192" t="s">
        <v>144</v>
      </c>
      <c r="P47" s="192" t="s">
        <v>145</v>
      </c>
      <c r="Q47" s="192" t="s">
        <v>146</v>
      </c>
      <c r="R47" s="192" t="s">
        <v>147</v>
      </c>
      <c r="S47" s="192" t="s">
        <v>148</v>
      </c>
      <c r="T47" s="192" t="s">
        <v>149</v>
      </c>
      <c r="U47" s="192" t="s">
        <v>150</v>
      </c>
      <c r="V47" s="192" t="s">
        <v>151</v>
      </c>
      <c r="W47" s="192" t="s">
        <v>152</v>
      </c>
      <c r="X47" s="192" t="s">
        <v>153</v>
      </c>
      <c r="Y47" s="192" t="s">
        <v>154</v>
      </c>
      <c r="Z47" s="192" t="s">
        <v>155</v>
      </c>
      <c r="AA47" s="192" t="s">
        <v>156</v>
      </c>
      <c r="AB47" s="192" t="s">
        <v>157</v>
      </c>
      <c r="AC47" s="192" t="s">
        <v>158</v>
      </c>
      <c r="AD47" s="192" t="s">
        <v>159</v>
      </c>
      <c r="AE47" s="192" t="s">
        <v>160</v>
      </c>
      <c r="AF47" s="192" t="s">
        <v>161</v>
      </c>
    </row>
    <row r="48" customFormat="false" ht="12.75" hidden="false" customHeight="false" outlineLevel="0" collapsed="false">
      <c r="A48" s="152"/>
      <c r="B48" s="153"/>
      <c r="H48" s="154"/>
      <c r="I48" s="155"/>
      <c r="J48" s="195" t="s">
        <v>162</v>
      </c>
      <c r="L48" s="208" t="n">
        <f aca="false">L3*L7</f>
        <v>0</v>
      </c>
      <c r="M48" s="208" t="n">
        <f aca="false">M3*M7</f>
        <v>0</v>
      </c>
      <c r="N48" s="208" t="n">
        <f aca="false">N3*N7</f>
        <v>22108.3614675015</v>
      </c>
      <c r="O48" s="208" t="n">
        <f aca="false">O3*O7</f>
        <v>21265.1353286346</v>
      </c>
      <c r="P48" s="208" t="n">
        <f aca="false">P3*P7</f>
        <v>20371.4330128553</v>
      </c>
      <c r="Q48" s="208" t="n">
        <f aca="false">Q3*Q7</f>
        <v>19114.9213526726</v>
      </c>
      <c r="R48" s="208" t="n">
        <f aca="false">R3*R7</f>
        <v>18275.3931799856</v>
      </c>
      <c r="S48" s="208" t="n">
        <f aca="false">S3*S7</f>
        <v>21855.1472555917</v>
      </c>
      <c r="T48" s="208" t="n">
        <f aca="false">T3*T7</f>
        <v>21710.1035815673</v>
      </c>
      <c r="U48" s="208" t="n">
        <f aca="false">U3*U7</f>
        <v>21536.5306888423</v>
      </c>
      <c r="V48" s="208" t="n">
        <f aca="false">V3*V7</f>
        <v>23281.595139981</v>
      </c>
      <c r="W48" s="208" t="n">
        <f aca="false">W3*W7</f>
        <v>23193.935447882</v>
      </c>
      <c r="X48" s="208" t="n">
        <f aca="false">X3*X7</f>
        <v>23432.5362194031</v>
      </c>
      <c r="Y48" s="208" t="n">
        <f aca="false">Y3*Y7</f>
        <v>25147.5589940596</v>
      </c>
      <c r="Z48" s="208" t="n">
        <f aca="false">Z3*Z7</f>
        <v>25193.5047545231</v>
      </c>
      <c r="AA48" s="208" t="n">
        <f aca="false">AA3*AA7</f>
        <v>25121.590907462</v>
      </c>
      <c r="AB48" s="208" t="n">
        <f aca="false">AB3*AB7</f>
        <v>25293.5602111393</v>
      </c>
      <c r="AC48" s="208" t="n">
        <f aca="false">AC3*AC7</f>
        <v>25324.5166185758</v>
      </c>
      <c r="AD48" s="208" t="n">
        <f aca="false">AD3*AD7</f>
        <v>25448.1522615526</v>
      </c>
      <c r="AE48" s="208" t="n">
        <f aca="false">AE3*AE7</f>
        <v>0</v>
      </c>
      <c r="AF48" s="208" t="n">
        <f aca="false">AF3*AF7</f>
        <v>0</v>
      </c>
    </row>
    <row r="49" customFormat="false" ht="12.75" hidden="false" customHeight="false" outlineLevel="0" collapsed="false">
      <c r="A49" s="161"/>
      <c r="B49" s="140"/>
      <c r="C49" s="131"/>
      <c r="E49" s="169"/>
      <c r="F49" s="169"/>
      <c r="G49" s="169"/>
      <c r="H49" s="170"/>
      <c r="K49" s="200" t="n">
        <f aca="false">+NPV('Common Assumpt'!$F$56,RAROC!L48:AF48)</f>
        <v>86443.6337138063</v>
      </c>
      <c r="L49" s="192" t="s">
        <v>163</v>
      </c>
      <c r="M49" s="192" t="s">
        <v>164</v>
      </c>
      <c r="N49" s="192" t="s">
        <v>165</v>
      </c>
      <c r="O49" s="192" t="s">
        <v>166</v>
      </c>
      <c r="P49" s="192" t="s">
        <v>167</v>
      </c>
      <c r="Q49" s="192" t="s">
        <v>168</v>
      </c>
      <c r="R49" s="192" t="s">
        <v>169</v>
      </c>
      <c r="S49" s="192" t="s">
        <v>170</v>
      </c>
      <c r="T49" s="192" t="s">
        <v>171</v>
      </c>
      <c r="U49" s="192" t="s">
        <v>172</v>
      </c>
      <c r="V49" s="192" t="s">
        <v>173</v>
      </c>
      <c r="W49" s="192" t="s">
        <v>174</v>
      </c>
      <c r="X49" s="192" t="s">
        <v>175</v>
      </c>
      <c r="Y49" s="192" t="s">
        <v>176</v>
      </c>
      <c r="Z49" s="192" t="s">
        <v>177</v>
      </c>
      <c r="AA49" s="192" t="s">
        <v>178</v>
      </c>
      <c r="AB49" s="192" t="s">
        <v>179</v>
      </c>
      <c r="AC49" s="192" t="s">
        <v>180</v>
      </c>
      <c r="AD49" s="192" t="s">
        <v>181</v>
      </c>
      <c r="AE49" s="192" t="s">
        <v>182</v>
      </c>
      <c r="AF49" s="192" t="s">
        <v>183</v>
      </c>
    </row>
    <row r="50" customFormat="false" ht="12.75" hidden="false" customHeight="false" outlineLevel="0" collapsed="false">
      <c r="A50" s="150" t="s">
        <v>66</v>
      </c>
      <c r="J50" s="195" t="s">
        <v>184</v>
      </c>
      <c r="L50" s="208" t="n">
        <f aca="false">Elba!E189</f>
        <v>0</v>
      </c>
      <c r="M50" s="208" t="n">
        <f aca="false">Elba!F189</f>
        <v>0</v>
      </c>
      <c r="N50" s="208" t="n">
        <f aca="false">Elba!G189</f>
        <v>22286.6547051426</v>
      </c>
      <c r="O50" s="208" t="n">
        <f aca="false">Elba!H189</f>
        <v>21523.4163245289</v>
      </c>
      <c r="P50" s="208" t="n">
        <f aca="false">Elba!I189</f>
        <v>20765.9867613204</v>
      </c>
      <c r="Q50" s="208" t="n">
        <f aca="false">Elba!J189</f>
        <v>19386.3299722846</v>
      </c>
      <c r="R50" s="208" t="n">
        <f aca="false">Elba!K189</f>
        <v>18648.3603877404</v>
      </c>
      <c r="S50" s="208" t="n">
        <f aca="false">Elba!L189</f>
        <v>0</v>
      </c>
      <c r="T50" s="208" t="n">
        <f aca="false">Elba!M189</f>
        <v>0</v>
      </c>
      <c r="U50" s="208" t="n">
        <f aca="false">Elba!N189</f>
        <v>0</v>
      </c>
      <c r="V50" s="208" t="n">
        <f aca="false">Elba!O189</f>
        <v>0</v>
      </c>
      <c r="W50" s="208" t="n">
        <f aca="false">Elba!P189</f>
        <v>0</v>
      </c>
      <c r="X50" s="208" t="n">
        <f aca="false">Elba!Q189</f>
        <v>0</v>
      </c>
      <c r="Y50" s="208" t="n">
        <f aca="false">Elba!R189</f>
        <v>0</v>
      </c>
      <c r="Z50" s="208" t="n">
        <f aca="false">Elba!S189</f>
        <v>0</v>
      </c>
      <c r="AA50" s="208" t="n">
        <f aca="false">Elba!T189</f>
        <v>0</v>
      </c>
      <c r="AB50" s="208" t="n">
        <f aca="false">Elba!U189</f>
        <v>0</v>
      </c>
      <c r="AC50" s="208" t="n">
        <f aca="false">Elba!V189</f>
        <v>0</v>
      </c>
      <c r="AD50" s="208" t="n">
        <f aca="false">Elba!W189</f>
        <v>0</v>
      </c>
      <c r="AE50" s="208" t="n">
        <f aca="false">Elba!X189</f>
        <v>0</v>
      </c>
      <c r="AF50" s="208" t="n">
        <f aca="false">Elba!Y189</f>
        <v>0</v>
      </c>
    </row>
    <row r="51" customFormat="false" ht="12.75" hidden="false" customHeight="false" outlineLevel="0" collapsed="false">
      <c r="A51" s="146" t="s">
        <v>49</v>
      </c>
      <c r="D51" s="153" t="n">
        <v>0.5</v>
      </c>
      <c r="E51" s="207" t="n">
        <v>0.498820833056037</v>
      </c>
      <c r="F51" s="0" t="s">
        <v>110</v>
      </c>
      <c r="G51" s="0" t="s">
        <v>106</v>
      </c>
      <c r="H51" s="209" t="n">
        <v>0.5</v>
      </c>
      <c r="J51" s="195"/>
      <c r="K51" s="200" t="n">
        <f aca="false">+NPV('Common Assumpt'!$F$56,RAROC!L50:AF50)</f>
        <v>48643.7883656981</v>
      </c>
      <c r="L51" s="192" t="s">
        <v>185</v>
      </c>
      <c r="M51" s="192" t="s">
        <v>186</v>
      </c>
      <c r="N51" s="192" t="s">
        <v>187</v>
      </c>
      <c r="O51" s="192" t="s">
        <v>188</v>
      </c>
      <c r="P51" s="192" t="s">
        <v>189</v>
      </c>
      <c r="Q51" s="192" t="s">
        <v>190</v>
      </c>
      <c r="R51" s="192" t="s">
        <v>191</v>
      </c>
      <c r="S51" s="192" t="s">
        <v>192</v>
      </c>
      <c r="T51" s="192" t="s">
        <v>193</v>
      </c>
      <c r="U51" s="192" t="s">
        <v>194</v>
      </c>
      <c r="V51" s="192" t="s">
        <v>195</v>
      </c>
      <c r="W51" s="192" t="s">
        <v>196</v>
      </c>
      <c r="X51" s="192" t="s">
        <v>197</v>
      </c>
      <c r="Y51" s="192" t="s">
        <v>198</v>
      </c>
      <c r="Z51" s="192" t="s">
        <v>199</v>
      </c>
      <c r="AA51" s="192" t="s">
        <v>200</v>
      </c>
      <c r="AB51" s="192" t="s">
        <v>201</v>
      </c>
      <c r="AC51" s="192" t="s">
        <v>202</v>
      </c>
      <c r="AD51" s="192" t="s">
        <v>203</v>
      </c>
      <c r="AE51" s="192" t="s">
        <v>204</v>
      </c>
      <c r="AF51" s="192" t="s">
        <v>205</v>
      </c>
    </row>
    <row r="52" customFormat="false" ht="12.75" hidden="false" customHeight="false" outlineLevel="0" collapsed="false">
      <c r="E52" s="155"/>
      <c r="G52" s="0" t="s">
        <v>111</v>
      </c>
      <c r="H52" s="210" t="n">
        <v>0.05</v>
      </c>
      <c r="J52" s="195" t="s">
        <v>206</v>
      </c>
      <c r="L52" s="208" t="n">
        <f aca="false">Elba!E190</f>
        <v>-0</v>
      </c>
      <c r="M52" s="208" t="n">
        <f aca="false">Elba!F190</f>
        <v>-0</v>
      </c>
      <c r="N52" s="208" t="n">
        <f aca="false">Elba!G190</f>
        <v>-16674.4428640869</v>
      </c>
      <c r="O52" s="208" t="n">
        <f aca="false">Elba!H190</f>
        <v>-16654.8328074183</v>
      </c>
      <c r="P52" s="208" t="n">
        <f aca="false">Elba!I190</f>
        <v>-16636.3207994655</v>
      </c>
      <c r="Q52" s="208" t="n">
        <f aca="false">Elba!J190</f>
        <v>-16543.6842793126</v>
      </c>
      <c r="R52" s="208" t="n">
        <f aca="false">Elba!K190</f>
        <v>-16548.6584711867</v>
      </c>
      <c r="S52" s="208" t="n">
        <f aca="false">Elba!L190</f>
        <v>-0</v>
      </c>
      <c r="T52" s="208" t="n">
        <f aca="false">Elba!M190</f>
        <v>-0</v>
      </c>
      <c r="U52" s="208" t="n">
        <f aca="false">Elba!N190</f>
        <v>-0</v>
      </c>
      <c r="V52" s="208" t="n">
        <f aca="false">Elba!O190</f>
        <v>-0</v>
      </c>
      <c r="W52" s="208" t="n">
        <f aca="false">Elba!P190</f>
        <v>-0</v>
      </c>
      <c r="X52" s="208" t="n">
        <f aca="false">Elba!Q190</f>
        <v>-0</v>
      </c>
      <c r="Y52" s="208" t="n">
        <f aca="false">Elba!R190</f>
        <v>-0</v>
      </c>
      <c r="Z52" s="208" t="n">
        <f aca="false">Elba!S190</f>
        <v>-0</v>
      </c>
      <c r="AA52" s="208" t="n">
        <f aca="false">Elba!T190</f>
        <v>-0</v>
      </c>
      <c r="AB52" s="208" t="n">
        <f aca="false">Elba!U190</f>
        <v>-0</v>
      </c>
      <c r="AC52" s="208" t="n">
        <f aca="false">Elba!V190</f>
        <v>-0</v>
      </c>
      <c r="AD52" s="208" t="n">
        <f aca="false">Elba!W190</f>
        <v>-0</v>
      </c>
      <c r="AE52" s="208" t="n">
        <f aca="false">Elba!X190</f>
        <v>-0</v>
      </c>
      <c r="AF52" s="208" t="n">
        <f aca="false">Elba!Y190</f>
        <v>-0</v>
      </c>
    </row>
    <row r="53" customFormat="false" ht="12.75" hidden="false" customHeight="false" outlineLevel="0" collapsed="false">
      <c r="E53" s="155"/>
      <c r="H53" s="210"/>
      <c r="J53" s="211" t="n">
        <f aca="false">+K53+K49</f>
        <v>47593.4356740899</v>
      </c>
      <c r="K53" s="200" t="n">
        <f aca="false">+NPV('Common Assumpt'!$F$56,RAROC!L52:AF52)</f>
        <v>-38850.1980397164</v>
      </c>
      <c r="L53" s="192" t="s">
        <v>207</v>
      </c>
      <c r="M53" s="192" t="s">
        <v>208</v>
      </c>
      <c r="N53" s="192" t="s">
        <v>209</v>
      </c>
      <c r="O53" s="192" t="s">
        <v>210</v>
      </c>
      <c r="P53" s="192" t="s">
        <v>211</v>
      </c>
      <c r="Q53" s="192" t="s">
        <v>212</v>
      </c>
      <c r="R53" s="192" t="s">
        <v>213</v>
      </c>
      <c r="S53" s="192" t="s">
        <v>214</v>
      </c>
      <c r="T53" s="192" t="s">
        <v>215</v>
      </c>
      <c r="U53" s="192" t="s">
        <v>216</v>
      </c>
      <c r="V53" s="192" t="s">
        <v>217</v>
      </c>
      <c r="W53" s="192" t="s">
        <v>218</v>
      </c>
      <c r="X53" s="192" t="s">
        <v>219</v>
      </c>
      <c r="Y53" s="192" t="s">
        <v>220</v>
      </c>
      <c r="Z53" s="192" t="s">
        <v>221</v>
      </c>
      <c r="AA53" s="192" t="s">
        <v>222</v>
      </c>
      <c r="AB53" s="192" t="s">
        <v>223</v>
      </c>
      <c r="AC53" s="192" t="s">
        <v>224</v>
      </c>
      <c r="AD53" s="192" t="s">
        <v>225</v>
      </c>
      <c r="AE53" s="192" t="s">
        <v>226</v>
      </c>
      <c r="AF53" s="192" t="s">
        <v>227</v>
      </c>
    </row>
    <row r="54" customFormat="false" ht="12.75" hidden="false" customHeight="false" outlineLevel="0" collapsed="false">
      <c r="A54" s="148" t="s">
        <v>70</v>
      </c>
      <c r="D54" s="172" t="s">
        <v>71</v>
      </c>
      <c r="E54" s="172"/>
      <c r="H54" s="210"/>
      <c r="J54" s="195" t="s">
        <v>228</v>
      </c>
      <c r="L54" s="208" t="n">
        <f aca="false">Elba!E192</f>
        <v>-0</v>
      </c>
      <c r="M54" s="208" t="n">
        <f aca="false">Elba!F192</f>
        <v>-0</v>
      </c>
      <c r="N54" s="208" t="n">
        <f aca="false">Elba!G192</f>
        <v>-0</v>
      </c>
      <c r="O54" s="208" t="n">
        <f aca="false">Elba!H192</f>
        <v>-0</v>
      </c>
      <c r="P54" s="208" t="n">
        <f aca="false">Elba!I192</f>
        <v>-0</v>
      </c>
      <c r="Q54" s="208" t="n">
        <f aca="false">Elba!J192</f>
        <v>-0</v>
      </c>
      <c r="R54" s="208" t="n">
        <f aca="false">Elba!K192</f>
        <v>-0</v>
      </c>
      <c r="S54" s="208" t="n">
        <f aca="false">Elba!L192</f>
        <v>0</v>
      </c>
      <c r="T54" s="208" t="n">
        <f aca="false">Elba!M192</f>
        <v>0</v>
      </c>
      <c r="U54" s="208" t="n">
        <f aca="false">Elba!N192</f>
        <v>0</v>
      </c>
      <c r="V54" s="208" t="n">
        <f aca="false">Elba!O192</f>
        <v>0</v>
      </c>
      <c r="W54" s="208" t="n">
        <f aca="false">Elba!P192</f>
        <v>0</v>
      </c>
      <c r="X54" s="208" t="n">
        <f aca="false">Elba!Q192</f>
        <v>0</v>
      </c>
      <c r="Y54" s="208" t="n">
        <f aca="false">Elba!R192</f>
        <v>0</v>
      </c>
      <c r="Z54" s="208" t="n">
        <f aca="false">Elba!S192</f>
        <v>0</v>
      </c>
      <c r="AA54" s="208" t="n">
        <f aca="false">Elba!T192</f>
        <v>0</v>
      </c>
      <c r="AB54" s="208" t="n">
        <f aca="false">Elba!U192</f>
        <v>0</v>
      </c>
      <c r="AC54" s="208" t="n">
        <f aca="false">Elba!V192</f>
        <v>0</v>
      </c>
      <c r="AD54" s="208" t="n">
        <f aca="false">Elba!W192</f>
        <v>0</v>
      </c>
      <c r="AE54" s="208" t="n">
        <f aca="false">Elba!X192</f>
        <v>0</v>
      </c>
      <c r="AF54" s="208" t="n">
        <f aca="false">Elba!Y192</f>
        <v>0</v>
      </c>
    </row>
    <row r="55" customFormat="false" ht="12.75" hidden="false" customHeight="false" outlineLevel="0" collapsed="false">
      <c r="A55" s="173" t="s">
        <v>73</v>
      </c>
      <c r="D55" s="212" t="n">
        <v>0.25</v>
      </c>
      <c r="E55" s="213" t="n">
        <v>0.250696887314241</v>
      </c>
      <c r="F55" s="0" t="s">
        <v>110</v>
      </c>
      <c r="G55" s="0" t="s">
        <v>106</v>
      </c>
      <c r="H55" s="209" t="n">
        <v>0.25</v>
      </c>
      <c r="J55" s="195"/>
      <c r="K55" s="200" t="n">
        <f aca="false">+NPV('Common Assumpt'!$F$56,RAROC!L54:AF54)</f>
        <v>0</v>
      </c>
      <c r="L55" s="192" t="s">
        <v>229</v>
      </c>
      <c r="M55" s="192" t="s">
        <v>230</v>
      </c>
      <c r="N55" s="192" t="s">
        <v>231</v>
      </c>
      <c r="O55" s="192" t="s">
        <v>232</v>
      </c>
      <c r="P55" s="192" t="s">
        <v>233</v>
      </c>
      <c r="Q55" s="192" t="s">
        <v>234</v>
      </c>
      <c r="R55" s="192" t="s">
        <v>235</v>
      </c>
      <c r="S55" s="192" t="s">
        <v>236</v>
      </c>
      <c r="T55" s="192" t="s">
        <v>237</v>
      </c>
      <c r="U55" s="192" t="s">
        <v>238</v>
      </c>
      <c r="V55" s="192" t="s">
        <v>239</v>
      </c>
      <c r="W55" s="192" t="s">
        <v>240</v>
      </c>
      <c r="X55" s="192" t="s">
        <v>241</v>
      </c>
      <c r="Y55" s="192" t="s">
        <v>242</v>
      </c>
      <c r="Z55" s="192" t="s">
        <v>243</v>
      </c>
      <c r="AA55" s="192" t="s">
        <v>244</v>
      </c>
      <c r="AB55" s="192" t="s">
        <v>245</v>
      </c>
      <c r="AC55" s="192" t="s">
        <v>246</v>
      </c>
      <c r="AD55" s="192" t="s">
        <v>247</v>
      </c>
      <c r="AE55" s="192" t="s">
        <v>248</v>
      </c>
      <c r="AF55" s="192" t="s">
        <v>249</v>
      </c>
    </row>
    <row r="56" customFormat="false" ht="12.75" hidden="false" customHeight="false" outlineLevel="0" collapsed="false">
      <c r="E56" s="155"/>
      <c r="G56" s="0" t="s">
        <v>111</v>
      </c>
      <c r="H56" s="210" t="n">
        <v>0.02</v>
      </c>
      <c r="J56" s="195" t="s">
        <v>250</v>
      </c>
      <c r="L56" s="208" t="n">
        <f aca="false">Elba!E194</f>
        <v>-0</v>
      </c>
      <c r="M56" s="208" t="n">
        <f aca="false">Elba!F194</f>
        <v>-0</v>
      </c>
      <c r="N56" s="208" t="n">
        <f aca="false">Elba!G194</f>
        <v>-0</v>
      </c>
      <c r="O56" s="208" t="n">
        <f aca="false">Elba!H194</f>
        <v>-0</v>
      </c>
      <c r="P56" s="208" t="n">
        <f aca="false">Elba!I194</f>
        <v>-0</v>
      </c>
      <c r="Q56" s="208" t="n">
        <f aca="false">Elba!J194</f>
        <v>-0</v>
      </c>
      <c r="R56" s="208" t="n">
        <f aca="false">Elba!K194</f>
        <v>-63729.9666985554</v>
      </c>
      <c r="S56" s="208" t="n">
        <f aca="false">Elba!L194</f>
        <v>0</v>
      </c>
      <c r="T56" s="208" t="n">
        <f aca="false">Elba!M194</f>
        <v>0</v>
      </c>
      <c r="U56" s="208" t="n">
        <f aca="false">Elba!N194</f>
        <v>0</v>
      </c>
      <c r="V56" s="208" t="n">
        <f aca="false">Elba!O194</f>
        <v>0</v>
      </c>
      <c r="W56" s="208" t="n">
        <f aca="false">Elba!P194</f>
        <v>0</v>
      </c>
      <c r="X56" s="208" t="n">
        <f aca="false">Elba!Q194</f>
        <v>0</v>
      </c>
      <c r="Y56" s="208" t="n">
        <f aca="false">Elba!R194</f>
        <v>0</v>
      </c>
      <c r="Z56" s="208" t="n">
        <f aca="false">Elba!S194</f>
        <v>0</v>
      </c>
      <c r="AA56" s="208" t="n">
        <f aca="false">Elba!T194</f>
        <v>0</v>
      </c>
      <c r="AB56" s="208" t="n">
        <f aca="false">Elba!U194</f>
        <v>0</v>
      </c>
      <c r="AC56" s="208" t="n">
        <f aca="false">Elba!V194</f>
        <v>0</v>
      </c>
      <c r="AD56" s="208" t="n">
        <f aca="false">Elba!W194</f>
        <v>0</v>
      </c>
      <c r="AE56" s="208" t="n">
        <f aca="false">Elba!X194</f>
        <v>0</v>
      </c>
      <c r="AF56" s="208" t="n">
        <f aca="false">Elba!Y194</f>
        <v>0</v>
      </c>
    </row>
    <row r="57" customFormat="false" ht="12.75" hidden="false" customHeight="false" outlineLevel="0" collapsed="false">
      <c r="E57" s="155"/>
      <c r="H57" s="210"/>
      <c r="J57" s="195"/>
      <c r="K57" s="200" t="n">
        <f aca="false">+NPV('Common Assumpt'!$F$56,RAROC!L56:AF56)</f>
        <v>-21234.530315739</v>
      </c>
      <c r="L57" s="192" t="s">
        <v>251</v>
      </c>
      <c r="M57" s="192" t="s">
        <v>252</v>
      </c>
      <c r="N57" s="192" t="s">
        <v>253</v>
      </c>
      <c r="O57" s="192" t="s">
        <v>254</v>
      </c>
      <c r="P57" s="192" t="s">
        <v>255</v>
      </c>
      <c r="Q57" s="192" t="s">
        <v>256</v>
      </c>
      <c r="R57" s="192" t="s">
        <v>257</v>
      </c>
      <c r="S57" s="192" t="s">
        <v>258</v>
      </c>
      <c r="T57" s="192" t="s">
        <v>259</v>
      </c>
      <c r="U57" s="192" t="s">
        <v>260</v>
      </c>
      <c r="V57" s="192" t="s">
        <v>261</v>
      </c>
      <c r="W57" s="192" t="s">
        <v>262</v>
      </c>
      <c r="X57" s="192" t="s">
        <v>263</v>
      </c>
      <c r="Y57" s="192" t="s">
        <v>264</v>
      </c>
      <c r="Z57" s="192" t="s">
        <v>265</v>
      </c>
      <c r="AA57" s="192" t="s">
        <v>266</v>
      </c>
      <c r="AB57" s="192" t="s">
        <v>267</v>
      </c>
      <c r="AC57" s="192" t="s">
        <v>268</v>
      </c>
      <c r="AD57" s="192" t="s">
        <v>269</v>
      </c>
      <c r="AE57" s="192" t="s">
        <v>270</v>
      </c>
      <c r="AF57" s="192" t="s">
        <v>271</v>
      </c>
    </row>
    <row r="58" customFormat="false" ht="12.75" hidden="false" customHeight="false" outlineLevel="0" collapsed="false">
      <c r="A58" s="161" t="s">
        <v>76</v>
      </c>
      <c r="D58" s="214" t="n">
        <v>0.0135</v>
      </c>
      <c r="E58" s="215" t="n">
        <v>0.0135196047297869</v>
      </c>
      <c r="F58" s="0" t="s">
        <v>110</v>
      </c>
      <c r="G58" s="0" t="s">
        <v>106</v>
      </c>
      <c r="H58" s="216" t="n">
        <v>0.0135</v>
      </c>
      <c r="J58" s="195" t="s">
        <v>272</v>
      </c>
      <c r="L58" s="208" t="n">
        <f aca="false">Elba!E196</f>
        <v>0</v>
      </c>
      <c r="M58" s="208" t="n">
        <f aca="false">Elba!F196</f>
        <v>0</v>
      </c>
      <c r="N58" s="208" t="n">
        <f aca="false">Elba!G196</f>
        <v>0</v>
      </c>
      <c r="O58" s="208" t="n">
        <f aca="false">Elba!H196</f>
        <v>0</v>
      </c>
      <c r="P58" s="208" t="n">
        <f aca="false">Elba!I196</f>
        <v>0</v>
      </c>
      <c r="Q58" s="208" t="n">
        <f aca="false">Elba!J196</f>
        <v>0</v>
      </c>
      <c r="R58" s="208" t="n">
        <f aca="false">Elba!K196</f>
        <v>0</v>
      </c>
      <c r="S58" s="208" t="n">
        <f aca="false">Elba!L196</f>
        <v>22187.9667569459</v>
      </c>
      <c r="T58" s="208" t="n">
        <f aca="false">Elba!M196</f>
        <v>22243.9585876715</v>
      </c>
      <c r="U58" s="208" t="n">
        <f aca="false">Elba!N196</f>
        <v>22271.4898540252</v>
      </c>
      <c r="V58" s="208" t="n">
        <f aca="false">Elba!O196</f>
        <v>23780.9960571819</v>
      </c>
      <c r="W58" s="208" t="n">
        <f aca="false">Elba!P196</f>
        <v>23837.5492783988</v>
      </c>
      <c r="X58" s="208" t="n">
        <f aca="false">Elba!Q196</f>
        <v>23910.7512442889</v>
      </c>
      <c r="Y58" s="208" t="n">
        <f aca="false">Elba!R196</f>
        <v>25452.9949332587</v>
      </c>
      <c r="Z58" s="208" t="n">
        <f aca="false">Elba!S196</f>
        <v>25525.3340977945</v>
      </c>
      <c r="AA58" s="208" t="n">
        <f aca="false">Elba!T196</f>
        <v>25608.1456752926</v>
      </c>
      <c r="AB58" s="208" t="n">
        <f aca="false">Elba!U196</f>
        <v>25704.8376129465</v>
      </c>
      <c r="AC58" s="208" t="n">
        <f aca="false">Elba!V196</f>
        <v>25788.7134608715</v>
      </c>
      <c r="AD58" s="208" t="n">
        <f aca="false">Elba!W196</f>
        <v>25861.9433552364</v>
      </c>
      <c r="AE58" s="208" t="n">
        <f aca="false">Elba!X196</f>
        <v>0</v>
      </c>
      <c r="AF58" s="208" t="n">
        <f aca="false">Elba!Y196</f>
        <v>0</v>
      </c>
    </row>
    <row r="59" customFormat="false" ht="12.75" hidden="false" customHeight="false" outlineLevel="0" collapsed="false">
      <c r="A59" s="161"/>
      <c r="E59" s="217"/>
      <c r="G59" s="0" t="s">
        <v>111</v>
      </c>
      <c r="H59" s="210" t="n">
        <v>0.0005</v>
      </c>
      <c r="J59" s="195"/>
      <c r="K59" s="200" t="n">
        <f aca="false">+NPV('Common Assumpt'!$F$56,RAROC!L58:AF58)</f>
        <v>39267.20408499</v>
      </c>
      <c r="L59" s="192" t="s">
        <v>273</v>
      </c>
      <c r="M59" s="192" t="s">
        <v>274</v>
      </c>
      <c r="N59" s="192" t="s">
        <v>275</v>
      </c>
      <c r="O59" s="192" t="s">
        <v>276</v>
      </c>
      <c r="P59" s="192" t="s">
        <v>277</v>
      </c>
      <c r="Q59" s="192" t="s">
        <v>278</v>
      </c>
      <c r="R59" s="192" t="s">
        <v>279</v>
      </c>
      <c r="S59" s="192" t="s">
        <v>280</v>
      </c>
      <c r="T59" s="192" t="s">
        <v>281</v>
      </c>
      <c r="U59" s="192" t="s">
        <v>282</v>
      </c>
      <c r="V59" s="192" t="s">
        <v>283</v>
      </c>
      <c r="W59" s="192" t="s">
        <v>284</v>
      </c>
      <c r="X59" s="192" t="s">
        <v>285</v>
      </c>
      <c r="Y59" s="192" t="s">
        <v>286</v>
      </c>
      <c r="Z59" s="192" t="s">
        <v>287</v>
      </c>
      <c r="AA59" s="192" t="s">
        <v>288</v>
      </c>
      <c r="AB59" s="192" t="s">
        <v>289</v>
      </c>
      <c r="AC59" s="192" t="s">
        <v>290</v>
      </c>
      <c r="AD59" s="192" t="s">
        <v>291</v>
      </c>
      <c r="AE59" s="192" t="s">
        <v>292</v>
      </c>
      <c r="AF59" s="192" t="s">
        <v>293</v>
      </c>
    </row>
    <row r="60" customFormat="false" ht="12.75" hidden="false" customHeight="false" outlineLevel="0" collapsed="false">
      <c r="E60" s="155"/>
      <c r="H60" s="210"/>
      <c r="J60" s="195" t="s">
        <v>294</v>
      </c>
      <c r="L60" s="208" t="n">
        <f aca="false">Elba!E197</f>
        <v>-0</v>
      </c>
      <c r="M60" s="208" t="n">
        <f aca="false">Elba!F197</f>
        <v>-0</v>
      </c>
      <c r="N60" s="208" t="n">
        <f aca="false">Elba!G197</f>
        <v>-0</v>
      </c>
      <c r="O60" s="208" t="n">
        <f aca="false">Elba!H197</f>
        <v>-0</v>
      </c>
      <c r="P60" s="208" t="n">
        <f aca="false">Elba!I197</f>
        <v>-0</v>
      </c>
      <c r="Q60" s="208" t="n">
        <f aca="false">Elba!J197</f>
        <v>-0</v>
      </c>
      <c r="R60" s="208" t="n">
        <f aca="false">Elba!K197</f>
        <v>-0</v>
      </c>
      <c r="S60" s="208" t="n">
        <f aca="false">Elba!L197</f>
        <v>-16331.6061070402</v>
      </c>
      <c r="T60" s="208" t="n">
        <f aca="false">Elba!M197</f>
        <v>-16506.4095547762</v>
      </c>
      <c r="U60" s="208" t="n">
        <f aca="false">Elba!N197</f>
        <v>-16637.6106347342</v>
      </c>
      <c r="V60" s="208" t="n">
        <f aca="false">Elba!O197</f>
        <v>-17085.8470435602</v>
      </c>
      <c r="W60" s="208" t="n">
        <f aca="false">Elba!P197</f>
        <v>-17256.2492270368</v>
      </c>
      <c r="X60" s="208" t="n">
        <f aca="false">Elba!Q197</f>
        <v>-17452.4894756323</v>
      </c>
      <c r="Y60" s="208" t="n">
        <f aca="false">Elba!R197</f>
        <v>-17932.044462122</v>
      </c>
      <c r="Z60" s="208" t="n">
        <f aca="false">Elba!S197</f>
        <v>-18125.3234709837</v>
      </c>
      <c r="AA60" s="208" t="n">
        <f aca="false">Elba!T197</f>
        <v>-18336.9990820932</v>
      </c>
      <c r="AB60" s="208" t="n">
        <f aca="false">Elba!U197</f>
        <v>-18572.6954907222</v>
      </c>
      <c r="AC60" s="208" t="n">
        <f aca="false">Elba!V197</f>
        <v>-18791.7676645923</v>
      </c>
      <c r="AD60" s="208" t="n">
        <f aca="false">Elba!W197</f>
        <v>-18997.1086648209</v>
      </c>
      <c r="AE60" s="208" t="n">
        <f aca="false">Elba!X197</f>
        <v>-0</v>
      </c>
      <c r="AF60" s="208" t="n">
        <f aca="false">Elba!Y197</f>
        <v>-0</v>
      </c>
    </row>
    <row r="61" customFormat="false" ht="12.75" hidden="false" customHeight="false" outlineLevel="0" collapsed="false">
      <c r="A61" s="148" t="s">
        <v>68</v>
      </c>
      <c r="D61" s="171"/>
      <c r="E61" s="159"/>
      <c r="F61" s="155"/>
      <c r="H61" s="210"/>
      <c r="J61" s="211" t="n">
        <f aca="false">+K61+K59</f>
        <v>10649.2874383765</v>
      </c>
      <c r="K61" s="200" t="n">
        <f aca="false">+NPV('Common Assumpt'!$F$56,RAROC!L60:AF60)</f>
        <v>-28617.9166466135</v>
      </c>
      <c r="X61" s="139"/>
      <c r="Y61" s="139"/>
    </row>
    <row r="62" customFormat="false" ht="12.75" hidden="false" customHeight="false" outlineLevel="0" collapsed="false">
      <c r="D62" s="172"/>
      <c r="H62" s="210"/>
      <c r="M62" s="131"/>
      <c r="N62" s="131"/>
      <c r="W62" s="139"/>
      <c r="X62" s="139"/>
    </row>
    <row r="63" customFormat="false" ht="12.75" hidden="false" customHeight="false" outlineLevel="0" collapsed="false">
      <c r="A63" s="173" t="s">
        <v>72</v>
      </c>
      <c r="D63" s="218" t="n">
        <v>5.8222388509</v>
      </c>
      <c r="E63" s="219" t="n">
        <f aca="false">5.83158812337415</f>
        <v>5.83158812337415</v>
      </c>
      <c r="F63" s="0" t="s">
        <v>110</v>
      </c>
      <c r="G63" s="0" t="s">
        <v>106</v>
      </c>
      <c r="H63" s="209" t="n">
        <v>5.8222388509</v>
      </c>
      <c r="K63" s="200" t="n">
        <f aca="false">+NPV(0.17,L62:AF62)</f>
        <v>0</v>
      </c>
      <c r="M63" s="175"/>
      <c r="N63" s="131"/>
      <c r="W63" s="139"/>
      <c r="X63" s="139"/>
    </row>
    <row r="64" customFormat="false" ht="12.75" hidden="false" customHeight="false" outlineLevel="0" collapsed="false">
      <c r="A64" s="173"/>
      <c r="D64" s="218"/>
      <c r="E64" s="220"/>
      <c r="G64" s="0" t="s">
        <v>111</v>
      </c>
      <c r="H64" s="210" t="n">
        <v>0.5</v>
      </c>
      <c r="J64" s="200" t="n">
        <f aca="false">+J53+K55*'Common Assumpt'!G59+RAROC!K57*'Common Assumpt'!G60+RAROC!J61*'Common Assumpt'!G61</f>
        <v>49736.102073968</v>
      </c>
      <c r="K64" s="212"/>
      <c r="M64" s="175"/>
      <c r="N64" s="131"/>
      <c r="W64" s="139"/>
      <c r="X64" s="139"/>
    </row>
    <row r="65" customFormat="false" ht="12.75" hidden="false" customHeight="false" outlineLevel="0" collapsed="false">
      <c r="A65" s="173"/>
      <c r="D65" s="218"/>
      <c r="E65" s="220"/>
      <c r="G65" s="173"/>
      <c r="H65" s="210"/>
      <c r="K65" s="212"/>
      <c r="M65" s="175"/>
      <c r="N65" s="131"/>
      <c r="W65" s="139"/>
      <c r="X65" s="139"/>
    </row>
    <row r="66" customFormat="false" ht="12.75" hidden="false" customHeight="false" outlineLevel="0" collapsed="false">
      <c r="A66" s="161" t="s">
        <v>74</v>
      </c>
      <c r="D66" s="218" t="n">
        <v>5.5884170635</v>
      </c>
      <c r="E66" s="219" t="n">
        <f aca="false">5.57121260452608</f>
        <v>5.57121260452608</v>
      </c>
      <c r="F66" s="0" t="s">
        <v>110</v>
      </c>
      <c r="G66" s="0" t="s">
        <v>106</v>
      </c>
      <c r="H66" s="209" t="n">
        <v>5.5884170635</v>
      </c>
      <c r="J66" s="0" t="s">
        <v>295</v>
      </c>
      <c r="L66" s="221" t="n">
        <f aca="false">+L48</f>
        <v>0</v>
      </c>
      <c r="M66" s="221" t="n">
        <f aca="false">+M48</f>
        <v>0</v>
      </c>
      <c r="N66" s="221" t="n">
        <f aca="false">+N48</f>
        <v>22108.3614675015</v>
      </c>
      <c r="O66" s="221" t="n">
        <f aca="false">+O48</f>
        <v>21265.1353286346</v>
      </c>
      <c r="P66" s="221" t="n">
        <f aca="false">+P48</f>
        <v>20371.4330128553</v>
      </c>
      <c r="Q66" s="221" t="n">
        <f aca="false">+Q48</f>
        <v>19114.9213526726</v>
      </c>
      <c r="R66" s="221" t="n">
        <f aca="false">+R48</f>
        <v>18275.3931799856</v>
      </c>
      <c r="S66" s="221" t="n">
        <v>0</v>
      </c>
      <c r="T66" s="221" t="n">
        <v>0</v>
      </c>
      <c r="U66" s="221" t="n">
        <v>0</v>
      </c>
      <c r="V66" s="221" t="n">
        <v>0</v>
      </c>
      <c r="W66" s="221" t="n">
        <v>0</v>
      </c>
      <c r="X66" s="221" t="n">
        <v>0</v>
      </c>
      <c r="Y66" s="221" t="n">
        <v>0</v>
      </c>
      <c r="Z66" s="221" t="n">
        <v>0</v>
      </c>
      <c r="AA66" s="221" t="n">
        <v>0</v>
      </c>
      <c r="AB66" s="221" t="n">
        <v>0</v>
      </c>
      <c r="AC66" s="221" t="n">
        <v>0</v>
      </c>
      <c r="AD66" s="221" t="n">
        <v>0</v>
      </c>
      <c r="AE66" s="221" t="n">
        <v>0</v>
      </c>
      <c r="AF66" s="221" t="n">
        <v>0</v>
      </c>
    </row>
    <row r="67" customFormat="false" ht="12.75" hidden="false" customHeight="false" outlineLevel="0" collapsed="false">
      <c r="A67" s="161"/>
      <c r="D67" s="218"/>
      <c r="E67" s="222"/>
      <c r="G67" s="0" t="s">
        <v>111</v>
      </c>
      <c r="H67" s="210" t="n">
        <v>0.5</v>
      </c>
      <c r="J67" s="211" t="n">
        <f aca="false">+K47+K67</f>
        <v>9134.40074354036</v>
      </c>
      <c r="K67" s="200" t="n">
        <f aca="false">+NPV('Common Assumpt'!$F$56,RAROC!L66:AF66)</f>
        <v>47984.5987832568</v>
      </c>
      <c r="M67" s="131"/>
      <c r="N67" s="131"/>
      <c r="W67" s="139"/>
      <c r="X67" s="139"/>
    </row>
    <row r="68" customFormat="false" ht="12.75" hidden="false" customHeight="false" outlineLevel="0" collapsed="false">
      <c r="A68" s="161"/>
      <c r="D68" s="218"/>
      <c r="E68" s="222"/>
      <c r="H68" s="210"/>
      <c r="M68" s="131"/>
      <c r="N68" s="131"/>
      <c r="W68" s="139"/>
      <c r="X68" s="139"/>
    </row>
    <row r="69" customFormat="false" ht="12.75" hidden="false" customHeight="false" outlineLevel="0" collapsed="false">
      <c r="A69" s="161" t="s">
        <v>77</v>
      </c>
      <c r="D69" s="212" t="n">
        <v>0.0266154761904762</v>
      </c>
      <c r="E69" s="219" t="n">
        <v>0.0265196692497692</v>
      </c>
      <c r="F69" s="0" t="s">
        <v>110</v>
      </c>
      <c r="G69" s="0" t="s">
        <v>106</v>
      </c>
      <c r="H69" s="209" t="n">
        <v>0.0266154761904762</v>
      </c>
      <c r="J69" s="146" t="s">
        <v>296</v>
      </c>
      <c r="L69" s="0" t="n">
        <v>0</v>
      </c>
      <c r="M69" s="221" t="n">
        <v>0</v>
      </c>
      <c r="N69" s="221" t="n">
        <v>0</v>
      </c>
      <c r="O69" s="221" t="n">
        <v>0</v>
      </c>
      <c r="P69" s="221" t="n">
        <v>0</v>
      </c>
      <c r="Q69" s="221" t="n">
        <v>0</v>
      </c>
      <c r="R69" s="221" t="n">
        <v>0</v>
      </c>
      <c r="S69" s="221" t="n">
        <f aca="false">+S48</f>
        <v>21855.1472555917</v>
      </c>
      <c r="T69" s="221" t="n">
        <f aca="false">+T48</f>
        <v>21710.1035815673</v>
      </c>
      <c r="U69" s="221" t="n">
        <f aca="false">+U48</f>
        <v>21536.5306888423</v>
      </c>
      <c r="V69" s="221" t="n">
        <f aca="false">+V48</f>
        <v>23281.595139981</v>
      </c>
      <c r="W69" s="221" t="n">
        <f aca="false">+W48</f>
        <v>23193.935447882</v>
      </c>
      <c r="X69" s="221" t="n">
        <f aca="false">+X48</f>
        <v>23432.5362194031</v>
      </c>
      <c r="Y69" s="221" t="n">
        <f aca="false">+Y48</f>
        <v>25147.5589940596</v>
      </c>
      <c r="Z69" s="221" t="n">
        <f aca="false">+Z48</f>
        <v>25193.5047545231</v>
      </c>
      <c r="AA69" s="221" t="n">
        <f aca="false">+AA48</f>
        <v>25121.590907462</v>
      </c>
      <c r="AB69" s="221" t="n">
        <f aca="false">+AB48</f>
        <v>25293.5602111393</v>
      </c>
      <c r="AC69" s="221" t="n">
        <f aca="false">+AC48</f>
        <v>25324.5166185758</v>
      </c>
      <c r="AD69" s="221" t="n">
        <f aca="false">+AD48</f>
        <v>25448.1522615526</v>
      </c>
      <c r="AE69" s="221" t="n">
        <f aca="false">+AE48</f>
        <v>0</v>
      </c>
      <c r="AF69" s="221" t="n">
        <f aca="false">+AF48</f>
        <v>0</v>
      </c>
    </row>
    <row r="70" customFormat="false" ht="12.75" hidden="false" customHeight="false" outlineLevel="0" collapsed="false">
      <c r="A70" s="161"/>
      <c r="D70" s="212"/>
      <c r="E70" s="177"/>
      <c r="G70" s="0" t="s">
        <v>111</v>
      </c>
      <c r="H70" s="210" t="n">
        <v>0.004</v>
      </c>
      <c r="K70" s="200" t="n">
        <f aca="false">+NPV('Common Assumpt'!$F$56,RAROC!L69:AF69)</f>
        <v>38459.0349305496</v>
      </c>
      <c r="W70" s="139"/>
      <c r="X70" s="139"/>
    </row>
    <row r="71" customFormat="false" ht="12.75" hidden="false" customHeight="false" outlineLevel="0" collapsed="false">
      <c r="A71" s="161"/>
      <c r="D71" s="212"/>
      <c r="E71" s="177"/>
      <c r="H71" s="210"/>
      <c r="W71" s="139"/>
      <c r="X71" s="139"/>
    </row>
    <row r="72" customFormat="false" ht="12.75" hidden="false" customHeight="false" outlineLevel="0" collapsed="false">
      <c r="A72" s="161" t="s">
        <v>76</v>
      </c>
      <c r="D72" s="217" t="n">
        <v>0.025</v>
      </c>
      <c r="E72" s="207" t="n">
        <f aca="false">2.49712316964126%*IF(arb="y",0,1)</f>
        <v>0.0249712316964126</v>
      </c>
      <c r="F72" s="179" t="s">
        <v>110</v>
      </c>
      <c r="G72" s="0" t="s">
        <v>106</v>
      </c>
      <c r="H72" s="210" t="n">
        <v>0.025</v>
      </c>
      <c r="J72" s="200"/>
      <c r="M72" s="131"/>
      <c r="N72" s="131"/>
      <c r="O72" s="180"/>
      <c r="P72" s="180"/>
      <c r="Q72" s="131"/>
      <c r="R72" s="131"/>
      <c r="S72" s="131"/>
      <c r="T72" s="131"/>
      <c r="U72" s="131"/>
      <c r="V72" s="131"/>
      <c r="W72" s="139"/>
      <c r="X72" s="139"/>
    </row>
    <row r="73" customFormat="false" ht="12.75" hidden="false" customHeight="false" outlineLevel="0" collapsed="false">
      <c r="A73" s="161"/>
      <c r="D73" s="217"/>
      <c r="E73" s="131"/>
      <c r="F73" s="179"/>
      <c r="G73" s="161" t="s">
        <v>111</v>
      </c>
      <c r="H73" s="210" t="n">
        <v>0.001</v>
      </c>
      <c r="K73" s="217"/>
      <c r="M73" s="131"/>
      <c r="N73" s="131"/>
      <c r="O73" s="180"/>
      <c r="P73" s="180"/>
      <c r="Q73" s="131"/>
      <c r="R73" s="131"/>
      <c r="S73" s="131"/>
      <c r="T73" s="131"/>
      <c r="U73" s="131"/>
      <c r="V73" s="131"/>
      <c r="W73" s="139"/>
      <c r="X73" s="139"/>
    </row>
    <row r="74" customFormat="false" ht="12.75" hidden="false" customHeight="false" outlineLevel="0" collapsed="false">
      <c r="C74" s="131"/>
      <c r="D74" s="131"/>
      <c r="E74" s="131"/>
      <c r="F74" s="131"/>
      <c r="G74" s="131"/>
      <c r="J74" s="131"/>
      <c r="K74" s="131"/>
      <c r="L74" s="131"/>
      <c r="N74" s="131"/>
      <c r="O74" s="131"/>
      <c r="P74" s="180"/>
      <c r="Q74" s="180"/>
      <c r="R74" s="131"/>
      <c r="S74" s="131"/>
      <c r="T74" s="131"/>
      <c r="U74" s="131"/>
      <c r="V74" s="131"/>
      <c r="W74" s="131"/>
      <c r="X74" s="139"/>
      <c r="Y74" s="139"/>
    </row>
    <row r="75" customFormat="false" ht="12.75" hidden="false" customHeight="false" outlineLevel="0" collapsed="false">
      <c r="A75" s="150" t="s">
        <v>78</v>
      </c>
      <c r="D75" s="131"/>
      <c r="E75" s="131"/>
      <c r="F75" s="131"/>
      <c r="G75" s="131"/>
      <c r="K75" s="131"/>
      <c r="L75" s="131"/>
      <c r="M75" s="131"/>
      <c r="O75" s="131"/>
      <c r="P75" s="131"/>
      <c r="Q75" s="180"/>
      <c r="R75" s="180"/>
      <c r="S75" s="131"/>
      <c r="T75" s="131"/>
      <c r="U75" s="131"/>
      <c r="V75" s="131"/>
      <c r="W75" s="131"/>
      <c r="X75" s="131"/>
      <c r="Y75" s="139"/>
      <c r="Z75" s="139"/>
    </row>
    <row r="76" customFormat="false" ht="12.75" hidden="false" customHeight="false" outlineLevel="0" collapsed="false">
      <c r="D76" s="223" t="n">
        <v>0.75</v>
      </c>
      <c r="E76" s="207" t="n">
        <f aca="false">74.9413010253415%</f>
        <v>0.749413010253415</v>
      </c>
      <c r="F76" s="179" t="s">
        <v>110</v>
      </c>
      <c r="G76" s="0" t="s">
        <v>106</v>
      </c>
      <c r="H76" s="155" t="n">
        <v>0.75</v>
      </c>
      <c r="Y76" s="139"/>
      <c r="Z76" s="139"/>
    </row>
    <row r="77" customFormat="false" ht="12.75" hidden="false" customHeight="false" outlineLevel="0" collapsed="false">
      <c r="D77" s="223"/>
      <c r="E77" s="131"/>
      <c r="F77" s="179"/>
      <c r="G77" s="161" t="s">
        <v>111</v>
      </c>
      <c r="H77" s="0" t="n">
        <v>0.05</v>
      </c>
      <c r="Y77" s="139"/>
      <c r="Z77" s="139"/>
    </row>
    <row r="78" customFormat="false" ht="12.75" hidden="false" customHeight="false" outlineLevel="0" collapsed="false">
      <c r="D78" s="223"/>
      <c r="E78" s="131"/>
      <c r="F78" s="179"/>
      <c r="G78" s="161"/>
      <c r="Y78" s="139"/>
      <c r="Z78" s="139"/>
    </row>
    <row r="79" customFormat="false" ht="12.75" hidden="false" customHeight="false" outlineLevel="0" collapsed="false">
      <c r="A79" s="150" t="s">
        <v>79</v>
      </c>
      <c r="B79" s="146"/>
      <c r="Y79" s="139"/>
      <c r="Z79" s="139"/>
    </row>
    <row r="80" customFormat="false" ht="12.75" hidden="false" customHeight="false" outlineLevel="0" collapsed="false">
      <c r="B80" s="146"/>
      <c r="D80" s="185" t="n">
        <v>1</v>
      </c>
      <c r="E80" s="224" t="n">
        <v>1.00108216154505</v>
      </c>
      <c r="F80" s="179" t="s">
        <v>110</v>
      </c>
      <c r="G80" s="0" t="s">
        <v>106</v>
      </c>
      <c r="H80" s="185" t="n">
        <v>1</v>
      </c>
      <c r="Y80" s="139"/>
      <c r="Z80" s="139"/>
    </row>
    <row r="81" customFormat="false" ht="12.75" hidden="false" customHeight="false" outlineLevel="0" collapsed="false">
      <c r="B81" s="146"/>
      <c r="D81" s="185"/>
      <c r="E81" s="131"/>
      <c r="F81" s="179"/>
      <c r="G81" s="161" t="s">
        <v>111</v>
      </c>
      <c r="H81" s="185" t="n">
        <v>0.05</v>
      </c>
      <c r="Y81" s="139"/>
      <c r="Z81" s="139"/>
    </row>
    <row r="82" customFormat="false" ht="12.75" hidden="false" customHeight="false" outlineLevel="0" collapsed="false">
      <c r="B82" s="146"/>
      <c r="D82" s="185"/>
      <c r="G82" s="185"/>
      <c r="H82" s="185"/>
      <c r="Y82" s="139"/>
      <c r="Z82" s="139"/>
    </row>
    <row r="83" customFormat="false" ht="12.75" hidden="false" customHeight="false" outlineLevel="0" collapsed="false">
      <c r="A83" s="183" t="s">
        <v>80</v>
      </c>
      <c r="D83" s="225" t="n">
        <v>0.5</v>
      </c>
      <c r="E83" s="226" t="n">
        <v>0.499205524803104</v>
      </c>
      <c r="F83" s="179" t="s">
        <v>110</v>
      </c>
      <c r="G83" s="0" t="s">
        <v>106</v>
      </c>
      <c r="H83" s="185" t="n">
        <v>0.5</v>
      </c>
      <c r="Y83" s="139"/>
      <c r="Z83" s="139"/>
    </row>
    <row r="84" customFormat="false" ht="12.75" hidden="false" customHeight="false" outlineLevel="0" collapsed="false">
      <c r="B84" s="146"/>
      <c r="D84" s="185"/>
      <c r="E84" s="185"/>
      <c r="F84" s="179"/>
      <c r="G84" s="161" t="s">
        <v>111</v>
      </c>
      <c r="H84" s="185" t="n">
        <v>0.05</v>
      </c>
      <c r="Y84" s="139"/>
      <c r="Z84" s="139"/>
    </row>
    <row r="85" customFormat="false" ht="12.75" hidden="false" customHeight="false" outlineLevel="0" collapsed="false">
      <c r="B85" s="146"/>
      <c r="D85" s="185"/>
      <c r="E85" s="185"/>
      <c r="F85" s="179"/>
      <c r="G85" s="161"/>
      <c r="H85" s="185"/>
      <c r="Y85" s="139"/>
      <c r="Z85" s="139"/>
    </row>
    <row r="86" customFormat="false" ht="12.75" hidden="false" customHeight="false" outlineLevel="0" collapsed="false">
      <c r="A86" s="136" t="s">
        <v>84</v>
      </c>
      <c r="Y86" s="139"/>
      <c r="Z86" s="139"/>
    </row>
    <row r="87" customFormat="false" ht="12.75" hidden="false" customHeight="false" outlineLevel="0" collapsed="false">
      <c r="A87" s="0" t="s">
        <v>85</v>
      </c>
      <c r="D87" s="227" t="n">
        <v>3</v>
      </c>
      <c r="E87" s="228" t="n">
        <v>2.389</v>
      </c>
      <c r="F87" s="179" t="s">
        <v>110</v>
      </c>
      <c r="H87" s="186"/>
      <c r="Y87" s="139"/>
      <c r="Z87" s="139"/>
    </row>
    <row r="88" customFormat="false" ht="12.75" hidden="false" customHeight="false" outlineLevel="0" collapsed="false">
      <c r="D88" s="186"/>
      <c r="E88" s="186"/>
      <c r="F88" s="179"/>
      <c r="H88" s="186"/>
      <c r="Y88" s="139"/>
      <c r="Z88" s="139"/>
    </row>
    <row r="89" customFormat="false" ht="12.75" hidden="false" customHeight="false" outlineLevel="0" collapsed="false">
      <c r="H89" s="186"/>
    </row>
    <row r="90" customFormat="false" ht="12.75" hidden="false" customHeight="false" outlineLevel="0" collapsed="false">
      <c r="A90" s="136" t="s">
        <v>297</v>
      </c>
    </row>
    <row r="91" customFormat="false" ht="12.75" hidden="false" customHeight="false" outlineLevel="0" collapsed="false">
      <c r="A91" s="0" t="s">
        <v>298</v>
      </c>
      <c r="D91" s="229" t="n">
        <v>1</v>
      </c>
      <c r="E91" s="201" t="n">
        <v>1.03021041590335</v>
      </c>
      <c r="F91" s="179" t="s">
        <v>112</v>
      </c>
      <c r="G91" s="188" t="s">
        <v>113</v>
      </c>
      <c r="H91" s="188" t="n">
        <v>1</v>
      </c>
    </row>
    <row r="92" customFormat="false" ht="12.75" hidden="false" customHeight="false" outlineLevel="0" collapsed="false">
      <c r="G92" s="188" t="s">
        <v>111</v>
      </c>
      <c r="H92" s="188" t="n">
        <v>0.05</v>
      </c>
    </row>
  </sheetData>
  <printOptions headings="false" gridLines="false" gridLinesSet="true" horizontalCentered="false" verticalCentered="false"/>
  <pageMargins left="0.747916666666667" right="1.64027777777778" top="0.984027777777778" bottom="0.984027777777778" header="0.511811023622047" footer="0.5"/>
  <pageSetup paperSize="1" scale="100" fitToWidth="1" fitToHeight="2" pageOrder="downThenOver" orientation="portrait" blackAndWhite="false" draft="false" cellComments="none" horizontalDpi="300" verticalDpi="300" copies="1"/>
  <headerFooter differentFirst="false" differentOddEven="false">
    <oddHeader/>
    <oddFooter>&amp;L&amp;F\&amp;A&amp;CPage &amp;P of &amp;N&amp;R&amp;D, &amp;T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66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1.56"/>
    <col collapsed="false" customWidth="true" hidden="false" outlineLevel="0" max="3" min="3" style="0" width="11.28"/>
    <col collapsed="false" customWidth="true" hidden="false" outlineLevel="0" max="5" min="5" style="0" width="16.7"/>
  </cols>
  <sheetData>
    <row r="1" customFormat="false" ht="12.75" hidden="false" customHeight="false" outlineLevel="0" collapsed="false">
      <c r="A1" s="195" t="s">
        <v>299</v>
      </c>
    </row>
    <row r="2" customFormat="false" ht="12.75" hidden="false" customHeight="false" outlineLevel="0" collapsed="false">
      <c r="A2" s="230" t="s">
        <v>300</v>
      </c>
    </row>
    <row r="3" customFormat="false" ht="12.75" hidden="false" customHeight="false" outlineLevel="0" collapsed="false">
      <c r="A3" s="146"/>
    </row>
    <row r="5" customFormat="false" ht="12.75" hidden="false" customHeight="false" outlineLevel="0" collapsed="false">
      <c r="B5" s="195" t="s">
        <v>301</v>
      </c>
      <c r="C5" s="171"/>
      <c r="D5" s="171"/>
      <c r="E5" s="171"/>
      <c r="F5" s="192" t="s">
        <v>302</v>
      </c>
    </row>
    <row r="6" customFormat="false" ht="12.75" hidden="false" customHeight="false" outlineLevel="0" collapsed="false">
      <c r="B6" s="171" t="s">
        <v>14</v>
      </c>
      <c r="C6" s="231" t="n">
        <v>9134.40074354037</v>
      </c>
      <c r="D6" s="171"/>
      <c r="E6" s="171"/>
      <c r="F6" s="171"/>
    </row>
    <row r="7" customFormat="false" ht="12.75" hidden="false" customHeight="false" outlineLevel="0" collapsed="false">
      <c r="B7" s="232" t="s">
        <v>303</v>
      </c>
      <c r="C7" s="231" t="n">
        <v>0</v>
      </c>
      <c r="D7" s="233" t="n">
        <v>0.2</v>
      </c>
      <c r="E7" s="171"/>
      <c r="F7" s="171"/>
    </row>
    <row r="8" customFormat="false" ht="12.75" hidden="false" customHeight="false" outlineLevel="0" collapsed="false">
      <c r="B8" s="232" t="s">
        <v>304</v>
      </c>
      <c r="C8" s="231" t="n">
        <v>-21234.530315739</v>
      </c>
      <c r="D8" s="233" t="n">
        <v>0.2</v>
      </c>
      <c r="E8" s="171"/>
      <c r="F8" s="171"/>
    </row>
    <row r="9" customFormat="false" ht="12.75" hidden="false" customHeight="false" outlineLevel="0" collapsed="false">
      <c r="B9" s="157" t="s">
        <v>305</v>
      </c>
      <c r="C9" s="234" t="n">
        <v>9841.11828393603</v>
      </c>
      <c r="D9" s="235" t="n">
        <v>0.6</v>
      </c>
      <c r="E9" s="171"/>
      <c r="F9" s="171"/>
    </row>
    <row r="10" customFormat="false" ht="12.75" hidden="false" customHeight="false" outlineLevel="0" collapsed="false">
      <c r="B10" s="171" t="s">
        <v>306</v>
      </c>
      <c r="C10" s="236" t="n">
        <v>10792.1656507542</v>
      </c>
      <c r="D10" s="171"/>
      <c r="E10" s="171"/>
      <c r="F10" s="171"/>
    </row>
    <row r="11" customFormat="false" ht="12.75" hidden="false" customHeight="false" outlineLevel="0" collapsed="false">
      <c r="B11" s="171"/>
      <c r="C11" s="171"/>
      <c r="D11" s="171"/>
      <c r="E11" s="171"/>
      <c r="F11" s="171"/>
    </row>
    <row r="12" customFormat="false" ht="12.75" hidden="false" customHeight="false" outlineLevel="0" collapsed="false">
      <c r="A12" s="237"/>
      <c r="B12" s="238" t="s">
        <v>307</v>
      </c>
      <c r="C12" s="239"/>
      <c r="D12" s="239"/>
      <c r="E12" s="239"/>
      <c r="F12" s="239"/>
      <c r="G12" s="237"/>
      <c r="H12" s="237"/>
      <c r="I12" s="237"/>
    </row>
    <row r="13" customFormat="false" ht="12.75" hidden="false" customHeight="false" outlineLevel="0" collapsed="false">
      <c r="A13" s="237"/>
      <c r="B13" s="239" t="s">
        <v>14</v>
      </c>
      <c r="C13" s="240" t="n">
        <v>9826.61629095909</v>
      </c>
      <c r="D13" s="239"/>
      <c r="E13" s="239"/>
      <c r="F13" s="239"/>
      <c r="G13" s="237"/>
      <c r="H13" s="237"/>
      <c r="I13" s="237"/>
    </row>
    <row r="14" customFormat="false" ht="12.75" hidden="false" customHeight="false" outlineLevel="0" collapsed="false">
      <c r="A14" s="237"/>
      <c r="B14" s="241" t="s">
        <v>303</v>
      </c>
      <c r="C14" s="240" t="n">
        <v>0</v>
      </c>
      <c r="D14" s="242" t="n">
        <v>0.2</v>
      </c>
      <c r="E14" s="239"/>
      <c r="F14" s="239"/>
      <c r="G14" s="237"/>
      <c r="H14" s="237"/>
      <c r="I14" s="237"/>
    </row>
    <row r="15" customFormat="false" ht="12.75" hidden="false" customHeight="false" outlineLevel="0" collapsed="false">
      <c r="A15" s="237"/>
      <c r="B15" s="241" t="s">
        <v>304</v>
      </c>
      <c r="C15" s="240" t="n">
        <v>-26065.7919937923</v>
      </c>
      <c r="D15" s="242" t="n">
        <v>0.2</v>
      </c>
      <c r="E15" s="239"/>
      <c r="F15" s="239"/>
      <c r="G15" s="237"/>
      <c r="H15" s="237"/>
      <c r="I15" s="237"/>
    </row>
    <row r="16" customFormat="false" ht="12.75" hidden="false" customHeight="false" outlineLevel="0" collapsed="false">
      <c r="A16" s="237"/>
      <c r="B16" s="243" t="s">
        <v>305</v>
      </c>
      <c r="C16" s="244" t="n">
        <v>12128.4028264978</v>
      </c>
      <c r="D16" s="245" t="n">
        <v>0.6</v>
      </c>
      <c r="E16" s="239"/>
      <c r="F16" s="239"/>
      <c r="G16" s="237"/>
      <c r="H16" s="237"/>
      <c r="I16" s="237"/>
    </row>
    <row r="17" customFormat="false" ht="12.75" hidden="false" customHeight="false" outlineLevel="0" collapsed="false">
      <c r="A17" s="237"/>
      <c r="B17" s="239" t="s">
        <v>306</v>
      </c>
      <c r="C17" s="246" t="n">
        <v>11890.4995880993</v>
      </c>
      <c r="D17" s="239"/>
      <c r="E17" s="239"/>
      <c r="F17" s="246" t="n">
        <f aca="false">+C17-$C$10</f>
        <v>1098.33393734515</v>
      </c>
      <c r="G17" s="237"/>
      <c r="H17" s="237"/>
      <c r="I17" s="237"/>
    </row>
    <row r="18" customFormat="false" ht="12.75" hidden="false" customHeight="false" outlineLevel="0" collapsed="false">
      <c r="B18" s="171"/>
      <c r="C18" s="171"/>
      <c r="D18" s="171"/>
      <c r="E18" s="171"/>
      <c r="F18" s="171"/>
    </row>
    <row r="19" customFormat="false" ht="12.75" hidden="false" customHeight="false" outlineLevel="0" collapsed="false">
      <c r="B19" s="148" t="s">
        <v>308</v>
      </c>
      <c r="C19" s="171"/>
      <c r="D19" s="171"/>
      <c r="E19" s="171"/>
      <c r="F19" s="171"/>
    </row>
    <row r="20" customFormat="false" ht="12.75" hidden="false" customHeight="false" outlineLevel="0" collapsed="false">
      <c r="B20" s="171" t="s">
        <v>14</v>
      </c>
      <c r="C20" s="231" t="n">
        <v>10747.1772046545</v>
      </c>
      <c r="D20" s="171"/>
      <c r="E20" s="171"/>
      <c r="F20" s="171"/>
    </row>
    <row r="21" customFormat="false" ht="12.75" hidden="false" customHeight="false" outlineLevel="0" collapsed="false">
      <c r="B21" s="232" t="s">
        <v>303</v>
      </c>
      <c r="C21" s="231" t="n">
        <v>0</v>
      </c>
      <c r="D21" s="233" t="n">
        <v>0.2</v>
      </c>
      <c r="E21" s="171"/>
      <c r="F21" s="171"/>
    </row>
    <row r="22" customFormat="false" ht="12.75" hidden="false" customHeight="false" outlineLevel="0" collapsed="false">
      <c r="B22" s="232" t="s">
        <v>304</v>
      </c>
      <c r="C22" s="231" t="n">
        <v>-21234.530315739</v>
      </c>
      <c r="D22" s="233" t="n">
        <v>0.2</v>
      </c>
      <c r="E22" s="171"/>
      <c r="F22" s="171"/>
    </row>
    <row r="23" customFormat="false" ht="12.75" hidden="false" customHeight="false" outlineLevel="0" collapsed="false">
      <c r="B23" s="157" t="s">
        <v>305</v>
      </c>
      <c r="C23" s="234" t="n">
        <v>11581.1480678057</v>
      </c>
      <c r="D23" s="235" t="n">
        <v>0.6</v>
      </c>
      <c r="E23" s="171"/>
      <c r="F23" s="171"/>
    </row>
    <row r="24" customFormat="false" ht="12.75" hidden="false" customHeight="false" outlineLevel="0" collapsed="false">
      <c r="B24" s="171" t="s">
        <v>306</v>
      </c>
      <c r="C24" s="236" t="n">
        <v>13448.9599821902</v>
      </c>
      <c r="D24" s="171"/>
      <c r="E24" s="171"/>
      <c r="F24" s="236" t="n">
        <f aca="false">+C24-$C$10</f>
        <v>2656.79433143599</v>
      </c>
    </row>
    <row r="25" customFormat="false" ht="12.75" hidden="false" customHeight="false" outlineLevel="0" collapsed="false">
      <c r="B25" s="171"/>
      <c r="C25" s="171"/>
      <c r="D25" s="171"/>
      <c r="E25" s="171"/>
      <c r="F25" s="171"/>
    </row>
    <row r="26" customFormat="false" ht="12.75" hidden="false" customHeight="false" outlineLevel="0" collapsed="false">
      <c r="A26" s="237"/>
      <c r="B26" s="238" t="s">
        <v>309</v>
      </c>
      <c r="C26" s="239"/>
      <c r="D26" s="239"/>
      <c r="E26" s="239"/>
      <c r="F26" s="239"/>
      <c r="G26" s="237"/>
      <c r="H26" s="237"/>
      <c r="I26" s="237"/>
    </row>
    <row r="27" customFormat="false" ht="12.75" hidden="false" customHeight="false" outlineLevel="0" collapsed="false">
      <c r="A27" s="237"/>
      <c r="B27" s="239" t="s">
        <v>14</v>
      </c>
      <c r="C27" s="240" t="n">
        <v>3399.02059982446</v>
      </c>
      <c r="D27" s="239"/>
      <c r="E27" s="239"/>
      <c r="F27" s="239"/>
      <c r="G27" s="237"/>
      <c r="H27" s="237"/>
      <c r="I27" s="237"/>
    </row>
    <row r="28" customFormat="false" ht="12.75" hidden="false" customHeight="false" outlineLevel="0" collapsed="false">
      <c r="A28" s="237"/>
      <c r="B28" s="241" t="s">
        <v>303</v>
      </c>
      <c r="C28" s="240" t="n">
        <v>0</v>
      </c>
      <c r="D28" s="242" t="n">
        <v>0.2</v>
      </c>
      <c r="E28" s="239"/>
      <c r="F28" s="239"/>
      <c r="G28" s="237"/>
      <c r="H28" s="237"/>
      <c r="I28" s="237"/>
    </row>
    <row r="29" customFormat="false" ht="12.75" hidden="false" customHeight="false" outlineLevel="0" collapsed="false">
      <c r="A29" s="237"/>
      <c r="B29" s="241" t="s">
        <v>304</v>
      </c>
      <c r="C29" s="240" t="n">
        <v>-26831.7006508866</v>
      </c>
      <c r="D29" s="242" t="n">
        <v>0.2</v>
      </c>
      <c r="E29" s="239"/>
      <c r="F29" s="239"/>
      <c r="G29" s="237"/>
      <c r="H29" s="237"/>
      <c r="I29" s="237"/>
    </row>
    <row r="30" customFormat="false" ht="12.75" hidden="false" customHeight="false" outlineLevel="0" collapsed="false">
      <c r="A30" s="237"/>
      <c r="B30" s="243" t="s">
        <v>305</v>
      </c>
      <c r="C30" s="244" t="n">
        <v>5617.46745080871</v>
      </c>
      <c r="D30" s="245" t="n">
        <v>0.6</v>
      </c>
      <c r="E30" s="239"/>
      <c r="F30" s="239"/>
      <c r="G30" s="237"/>
      <c r="H30" s="237"/>
      <c r="I30" s="237"/>
    </row>
    <row r="31" customFormat="false" ht="12.75" hidden="false" customHeight="false" outlineLevel="0" collapsed="false">
      <c r="A31" s="237"/>
      <c r="B31" s="239" t="s">
        <v>306</v>
      </c>
      <c r="C31" s="246" t="n">
        <v>1403.16094013237</v>
      </c>
      <c r="D31" s="239"/>
      <c r="E31" s="239"/>
      <c r="F31" s="246" t="n">
        <f aca="false">+C31-$C$10</f>
        <v>-9389.00471062181</v>
      </c>
      <c r="G31" s="237"/>
      <c r="H31" s="237"/>
      <c r="I31" s="237"/>
    </row>
    <row r="32" customFormat="false" ht="12.75" hidden="false" customHeight="false" outlineLevel="0" collapsed="false">
      <c r="B32" s="171"/>
      <c r="C32" s="171"/>
      <c r="D32" s="171"/>
      <c r="E32" s="171"/>
      <c r="F32" s="171"/>
    </row>
    <row r="33" customFormat="false" ht="12.75" hidden="false" customHeight="false" outlineLevel="0" collapsed="false">
      <c r="B33" s="148" t="s">
        <v>310</v>
      </c>
      <c r="C33" s="247"/>
      <c r="D33" s="171"/>
      <c r="E33" s="171"/>
      <c r="F33" s="171"/>
    </row>
    <row r="34" customFormat="false" ht="12.75" hidden="false" customHeight="false" outlineLevel="0" collapsed="false">
      <c r="B34" s="171" t="s">
        <v>14</v>
      </c>
      <c r="C34" s="231" t="n">
        <v>9412.64597350283</v>
      </c>
      <c r="D34" s="171"/>
      <c r="E34" s="171"/>
      <c r="F34" s="171"/>
    </row>
    <row r="35" customFormat="false" ht="12.75" hidden="false" customHeight="false" outlineLevel="0" collapsed="false">
      <c r="B35" s="232" t="s">
        <v>303</v>
      </c>
      <c r="C35" s="231" t="n">
        <v>0</v>
      </c>
      <c r="D35" s="233" t="n">
        <v>0.2</v>
      </c>
      <c r="E35" s="171"/>
      <c r="F35" s="171"/>
    </row>
    <row r="36" customFormat="false" ht="12.75" hidden="false" customHeight="false" outlineLevel="0" collapsed="false">
      <c r="B36" s="232" t="s">
        <v>304</v>
      </c>
      <c r="C36" s="231" t="n">
        <v>-21234.530315739</v>
      </c>
      <c r="D36" s="233" t="n">
        <v>0.2</v>
      </c>
      <c r="E36" s="171"/>
      <c r="F36" s="171"/>
    </row>
    <row r="37" customFormat="false" ht="12.75" hidden="false" customHeight="false" outlineLevel="0" collapsed="false">
      <c r="B37" s="157" t="s">
        <v>305</v>
      </c>
      <c r="C37" s="234" t="n">
        <v>10066.6659298914</v>
      </c>
      <c r="D37" s="235" t="n">
        <v>0.6</v>
      </c>
      <c r="E37" s="171"/>
      <c r="F37" s="171"/>
    </row>
    <row r="38" customFormat="false" ht="12.75" hidden="false" customHeight="false" outlineLevel="0" collapsed="false">
      <c r="B38" s="171" t="s">
        <v>306</v>
      </c>
      <c r="C38" s="236" t="n">
        <v>11205.7394682898</v>
      </c>
      <c r="D38" s="171"/>
      <c r="E38" s="171"/>
      <c r="F38" s="171"/>
    </row>
    <row r="39" customFormat="false" ht="12.75" hidden="false" customHeight="false" outlineLevel="0" collapsed="false">
      <c r="B39" s="171"/>
      <c r="C39" s="171"/>
      <c r="D39" s="171"/>
      <c r="E39" s="171"/>
      <c r="F39" s="171"/>
    </row>
    <row r="40" customFormat="false" ht="12.75" hidden="false" customHeight="false" outlineLevel="0" collapsed="false">
      <c r="B40" s="148" t="s">
        <v>311</v>
      </c>
      <c r="C40" s="171"/>
      <c r="D40" s="171"/>
      <c r="E40" s="171"/>
      <c r="F40" s="171"/>
    </row>
    <row r="41" customFormat="false" ht="12.75" hidden="false" customHeight="false" outlineLevel="0" collapsed="false">
      <c r="B41" s="171" t="s">
        <v>14</v>
      </c>
      <c r="C41" s="231" t="n">
        <v>16970.2207497229</v>
      </c>
      <c r="D41" s="171"/>
      <c r="E41" s="171"/>
      <c r="F41" s="171"/>
    </row>
    <row r="42" customFormat="false" ht="12.75" hidden="false" customHeight="false" outlineLevel="0" collapsed="false">
      <c r="B42" s="232" t="s">
        <v>303</v>
      </c>
      <c r="C42" s="231" t="n">
        <v>0</v>
      </c>
      <c r="D42" s="233" t="n">
        <v>0.2</v>
      </c>
      <c r="E42" s="171"/>
      <c r="F42" s="171"/>
    </row>
    <row r="43" customFormat="false" ht="12.75" hidden="false" customHeight="false" outlineLevel="0" collapsed="false">
      <c r="B43" s="232" t="s">
        <v>304</v>
      </c>
      <c r="C43" s="231" t="n">
        <v>-21234.530315739</v>
      </c>
      <c r="D43" s="233" t="n">
        <v>0.2</v>
      </c>
      <c r="E43" s="171"/>
      <c r="F43" s="171"/>
    </row>
    <row r="44" customFormat="false" ht="12.75" hidden="false" customHeight="false" outlineLevel="0" collapsed="false">
      <c r="B44" s="157" t="s">
        <v>305</v>
      </c>
      <c r="C44" s="234" t="n">
        <v>16192.8920655122</v>
      </c>
      <c r="D44" s="235" t="n">
        <v>0.6</v>
      </c>
      <c r="E44" s="171"/>
      <c r="F44" s="171"/>
    </row>
    <row r="45" customFormat="false" ht="12.75" hidden="false" customHeight="false" outlineLevel="0" collapsed="false">
      <c r="B45" s="171" t="s">
        <v>306</v>
      </c>
      <c r="C45" s="236" t="n">
        <v>22439.0499258823</v>
      </c>
      <c r="D45" s="171"/>
      <c r="E45" s="171"/>
      <c r="F45" s="236" t="n">
        <f aca="false">+C45-C38</f>
        <v>11233.3104575925</v>
      </c>
    </row>
    <row r="46" customFormat="false" ht="12.75" hidden="false" customHeight="false" outlineLevel="0" collapsed="false">
      <c r="B46" s="171"/>
      <c r="C46" s="171"/>
      <c r="D46" s="171"/>
      <c r="E46" s="171"/>
      <c r="F46" s="171"/>
    </row>
    <row r="47" customFormat="false" ht="12.75" hidden="false" customHeight="false" outlineLevel="0" collapsed="false">
      <c r="A47" s="237"/>
      <c r="B47" s="238" t="s">
        <v>312</v>
      </c>
      <c r="C47" s="239"/>
      <c r="D47" s="239"/>
      <c r="E47" s="239"/>
      <c r="F47" s="239"/>
      <c r="G47" s="237"/>
      <c r="H47" s="237"/>
      <c r="I47" s="237"/>
    </row>
    <row r="48" customFormat="false" ht="12.75" hidden="false" customHeight="false" outlineLevel="0" collapsed="false">
      <c r="A48" s="237"/>
      <c r="B48" s="239" t="s">
        <v>14</v>
      </c>
      <c r="C48" s="240" t="n">
        <v>12769.0733176404</v>
      </c>
      <c r="D48" s="239"/>
      <c r="E48" s="239"/>
      <c r="F48" s="239"/>
      <c r="G48" s="237"/>
      <c r="H48" s="237"/>
      <c r="I48" s="237"/>
    </row>
    <row r="49" customFormat="false" ht="12.75" hidden="false" customHeight="false" outlineLevel="0" collapsed="false">
      <c r="A49" s="237"/>
      <c r="B49" s="241" t="s">
        <v>303</v>
      </c>
      <c r="C49" s="240" t="n">
        <v>0</v>
      </c>
      <c r="D49" s="242" t="n">
        <v>0</v>
      </c>
      <c r="E49" s="239"/>
      <c r="F49" s="239"/>
      <c r="G49" s="237"/>
      <c r="H49" s="237"/>
      <c r="I49" s="237"/>
    </row>
    <row r="50" customFormat="false" ht="12.75" hidden="false" customHeight="false" outlineLevel="0" collapsed="false">
      <c r="A50" s="237"/>
      <c r="B50" s="241" t="s">
        <v>304</v>
      </c>
      <c r="C50" s="240" t="n">
        <v>-21234.530315739</v>
      </c>
      <c r="D50" s="242" t="n">
        <v>0</v>
      </c>
      <c r="E50" s="239"/>
      <c r="F50" s="239"/>
      <c r="G50" s="237"/>
      <c r="H50" s="237"/>
      <c r="I50" s="237"/>
    </row>
    <row r="51" customFormat="false" ht="12.75" hidden="false" customHeight="false" outlineLevel="0" collapsed="false">
      <c r="A51" s="237"/>
      <c r="B51" s="243" t="s">
        <v>305</v>
      </c>
      <c r="C51" s="244" t="n">
        <v>8853.92492571005</v>
      </c>
      <c r="D51" s="245" t="n">
        <v>1</v>
      </c>
      <c r="E51" s="239"/>
      <c r="F51" s="239"/>
      <c r="G51" s="237"/>
      <c r="H51" s="237"/>
      <c r="I51" s="237"/>
    </row>
    <row r="52" customFormat="false" ht="12.75" hidden="false" customHeight="false" outlineLevel="0" collapsed="false">
      <c r="A52" s="237"/>
      <c r="B52" s="239" t="s">
        <v>306</v>
      </c>
      <c r="C52" s="246" t="n">
        <v>21622.9982433505</v>
      </c>
      <c r="D52" s="239"/>
      <c r="E52" s="239"/>
      <c r="F52" s="246" t="n">
        <f aca="false">+C52-$C$10</f>
        <v>10830.8325925963</v>
      </c>
      <c r="G52" s="237"/>
      <c r="H52" s="237"/>
      <c r="I52" s="237"/>
    </row>
    <row r="53" customFormat="false" ht="12.75" hidden="false" customHeight="false" outlineLevel="0" collapsed="false">
      <c r="B53" s="171"/>
      <c r="C53" s="171"/>
      <c r="D53" s="171"/>
      <c r="E53" s="171"/>
      <c r="F53" s="171"/>
    </row>
    <row r="54" customFormat="false" ht="12.75" hidden="false" customHeight="false" outlineLevel="0" collapsed="false">
      <c r="B54" s="148" t="s">
        <v>313</v>
      </c>
      <c r="C54" s="171"/>
      <c r="D54" s="171"/>
      <c r="E54" s="171"/>
      <c r="F54" s="171"/>
    </row>
    <row r="55" customFormat="false" ht="12.75" hidden="false" customHeight="false" outlineLevel="0" collapsed="false">
      <c r="B55" s="171" t="s">
        <v>14</v>
      </c>
      <c r="C55" s="231" t="n">
        <v>15688.2467159774</v>
      </c>
      <c r="D55" s="171"/>
      <c r="E55" s="171"/>
      <c r="F55" s="171"/>
    </row>
    <row r="56" customFormat="false" ht="12.75" hidden="false" customHeight="false" outlineLevel="0" collapsed="false">
      <c r="B56" s="232" t="s">
        <v>303</v>
      </c>
      <c r="C56" s="231" t="n">
        <v>0</v>
      </c>
      <c r="D56" s="233" t="n">
        <v>0</v>
      </c>
      <c r="E56" s="171"/>
      <c r="F56" s="171"/>
    </row>
    <row r="57" customFormat="false" ht="12.75" hidden="false" customHeight="false" outlineLevel="0" collapsed="false">
      <c r="B57" s="232" t="s">
        <v>304</v>
      </c>
      <c r="C57" s="231" t="n">
        <v>-35909.8450132911</v>
      </c>
      <c r="D57" s="233" t="n">
        <v>0</v>
      </c>
      <c r="E57" s="171"/>
      <c r="F57" s="171"/>
    </row>
    <row r="58" customFormat="false" ht="12.75" hidden="false" customHeight="false" outlineLevel="0" collapsed="false">
      <c r="B58" s="157" t="s">
        <v>305</v>
      </c>
      <c r="C58" s="234" t="n">
        <v>14939.4129279109</v>
      </c>
      <c r="D58" s="235" t="n">
        <v>1</v>
      </c>
      <c r="E58" s="171"/>
      <c r="F58" s="171"/>
    </row>
    <row r="59" customFormat="false" ht="12.75" hidden="false" customHeight="false" outlineLevel="0" collapsed="false">
      <c r="B59" s="171" t="s">
        <v>306</v>
      </c>
      <c r="C59" s="236" t="n">
        <v>30627.6596438883</v>
      </c>
      <c r="D59" s="171"/>
      <c r="E59" s="171"/>
      <c r="F59" s="236" t="n">
        <f aca="false">+C59-$C$10</f>
        <v>19835.4939931341</v>
      </c>
    </row>
    <row r="60" customFormat="false" ht="12.75" hidden="false" customHeight="false" outlineLevel="0" collapsed="false">
      <c r="B60" s="171"/>
      <c r="C60" s="171"/>
      <c r="D60" s="171"/>
      <c r="E60" s="171"/>
      <c r="F60" s="171"/>
    </row>
    <row r="61" customFormat="false" ht="12.75" hidden="false" customHeight="false" outlineLevel="0" collapsed="false">
      <c r="B61" s="148" t="s">
        <v>314</v>
      </c>
    </row>
    <row r="62" customFormat="false" ht="12.75" hidden="false" customHeight="false" outlineLevel="0" collapsed="false">
      <c r="B62" s="171" t="s">
        <v>14</v>
      </c>
      <c r="C62" s="231" t="n">
        <v>23778.0268855959</v>
      </c>
      <c r="D62" s="171"/>
    </row>
    <row r="63" customFormat="false" ht="12.75" hidden="false" customHeight="false" outlineLevel="0" collapsed="false">
      <c r="B63" s="232" t="s">
        <v>303</v>
      </c>
      <c r="C63" s="231" t="n">
        <v>0</v>
      </c>
      <c r="D63" s="233" t="n">
        <v>0</v>
      </c>
    </row>
    <row r="64" customFormat="false" ht="12.75" hidden="false" customHeight="false" outlineLevel="0" collapsed="false">
      <c r="B64" s="232" t="s">
        <v>304</v>
      </c>
      <c r="C64" s="231" t="n">
        <v>-35909.8450132911</v>
      </c>
      <c r="D64" s="233" t="n">
        <v>0</v>
      </c>
    </row>
    <row r="65" customFormat="false" ht="12.75" hidden="false" customHeight="false" outlineLevel="0" collapsed="false">
      <c r="B65" s="157" t="s">
        <v>305</v>
      </c>
      <c r="C65" s="234" t="n">
        <v>22775.6871109656</v>
      </c>
      <c r="D65" s="235" t="n">
        <v>1</v>
      </c>
    </row>
    <row r="66" customFormat="false" ht="12.75" hidden="false" customHeight="false" outlineLevel="0" collapsed="false">
      <c r="B66" s="171" t="s">
        <v>306</v>
      </c>
      <c r="C66" s="236" t="n">
        <v>46553.7139965615</v>
      </c>
      <c r="D66" s="171"/>
      <c r="F66" s="236" t="n">
        <f aca="false">+C66-$C$10</f>
        <v>35761.5483458074</v>
      </c>
      <c r="G66" s="248" t="n">
        <f aca="false">+F66-F59</f>
        <v>15926.0543526732</v>
      </c>
    </row>
  </sheetData>
  <printOptions headings="false" gridLines="false" gridLinesSet="true" horizontalCentered="false" verticalCentered="false"/>
  <pageMargins left="0.5" right="0.5" top="0.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&amp;L&amp;F &amp;A&amp;R&amp;D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214"/>
  <sheetViews>
    <sheetView showFormulas="false" showGridLines="true" showRowColHeaders="true" showZeros="true" rightToLeft="false" tabSelected="false" showOutlineSymbols="true" defaultGridColor="true" view="normal" topLeftCell="A197" colorId="64" zoomScale="80" zoomScaleNormal="80" zoomScalePageLayoutView="100" workbookViewId="0">
      <selection pane="topLeft" activeCell="B215" activeCellId="0" sqref="B21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9.41"/>
    <col collapsed="false" customWidth="true" hidden="false" outlineLevel="0" max="3" min="2" style="0" width="10.99"/>
    <col collapsed="false" customWidth="true" hidden="false" outlineLevel="0" max="4" min="4" style="0" width="10.28"/>
    <col collapsed="false" customWidth="true" hidden="false" outlineLevel="0" max="5" min="5" style="0" width="9.7"/>
    <col collapsed="false" customWidth="true" hidden="false" outlineLevel="0" max="6" min="6" style="0" width="11.28"/>
    <col collapsed="false" customWidth="true" hidden="false" outlineLevel="0" max="7" min="7" style="0" width="10.71"/>
    <col collapsed="false" customWidth="true" hidden="false" outlineLevel="0" max="9" min="8" style="0" width="9.7"/>
    <col collapsed="false" customWidth="true" hidden="false" outlineLevel="0" max="10" min="10" style="0" width="11.56"/>
    <col collapsed="false" customWidth="true" hidden="false" outlineLevel="0" max="11" min="11" style="0" width="12.42"/>
    <col collapsed="false" customWidth="true" hidden="false" outlineLevel="0" max="12" min="12" style="0" width="9.7"/>
    <col collapsed="false" customWidth="true" hidden="false" outlineLevel="0" max="13" min="13" style="0" width="10.85"/>
    <col collapsed="false" customWidth="true" hidden="false" outlineLevel="0" max="15" min="14" style="0" width="9.7"/>
    <col collapsed="false" customWidth="true" hidden="false" outlineLevel="0" max="17" min="16" style="0" width="10.71"/>
    <col collapsed="false" customWidth="true" hidden="false" outlineLevel="0" max="19" min="18" style="0" width="9.99"/>
    <col collapsed="false" customWidth="true" hidden="false" outlineLevel="0" max="26" min="20" style="0" width="10.71"/>
    <col collapsed="false" customWidth="true" hidden="false" outlineLevel="0" max="27" min="27" style="0" width="11.28"/>
  </cols>
  <sheetData>
    <row r="1" customFormat="false" ht="18" hidden="false" customHeight="true" outlineLevel="0" collapsed="false">
      <c r="A1" s="249" t="s">
        <v>315</v>
      </c>
      <c r="B1" s="250"/>
      <c r="C1" s="250"/>
      <c r="E1" s="251"/>
    </row>
    <row r="2" customFormat="false" ht="12.75" hidden="false" customHeight="true" outlineLevel="0" collapsed="false">
      <c r="A2" s="252" t="s">
        <v>34</v>
      </c>
      <c r="E2" s="251"/>
    </row>
    <row r="3" customFormat="false" ht="13.5" hidden="false" customHeight="true" outlineLevel="0" collapsed="false">
      <c r="A3" s="252"/>
      <c r="E3" s="251"/>
    </row>
    <row r="4" customFormat="false" ht="12.75" hidden="false" customHeight="true" outlineLevel="0" collapsed="false">
      <c r="A4" s="253" t="s">
        <v>20</v>
      </c>
      <c r="B4" s="254"/>
      <c r="C4" s="254"/>
      <c r="D4" s="255" t="n">
        <f aca="false">+D27</f>
        <v>1999</v>
      </c>
      <c r="E4" s="255" t="n">
        <f aca="false">+E27</f>
        <v>2000</v>
      </c>
      <c r="F4" s="255" t="n">
        <f aca="false">+F27</f>
        <v>2001</v>
      </c>
      <c r="G4" s="255" t="n">
        <f aca="false">+G27</f>
        <v>2002</v>
      </c>
      <c r="H4" s="255" t="n">
        <f aca="false">+H27</f>
        <v>2003</v>
      </c>
      <c r="I4" s="255" t="n">
        <f aca="false">+I27</f>
        <v>2004</v>
      </c>
      <c r="J4" s="255" t="n">
        <f aca="false">+J27</f>
        <v>2005</v>
      </c>
      <c r="K4" s="255" t="n">
        <f aca="false">+K27</f>
        <v>2006</v>
      </c>
      <c r="L4" s="255" t="n">
        <f aca="false">+L27</f>
        <v>2007</v>
      </c>
      <c r="M4" s="255" t="n">
        <f aca="false">+M27</f>
        <v>2008</v>
      </c>
      <c r="N4" s="255" t="n">
        <f aca="false">+N27</f>
        <v>2009</v>
      </c>
      <c r="O4" s="255" t="n">
        <f aca="false">+O27</f>
        <v>2010</v>
      </c>
      <c r="P4" s="255" t="n">
        <f aca="false">+P27</f>
        <v>2011</v>
      </c>
      <c r="Q4" s="255" t="n">
        <f aca="false">+Q27</f>
        <v>2012</v>
      </c>
      <c r="R4" s="255" t="n">
        <f aca="false">+R27</f>
        <v>2013</v>
      </c>
      <c r="S4" s="255" t="n">
        <f aca="false">+S27</f>
        <v>2014</v>
      </c>
      <c r="T4" s="255" t="n">
        <f aca="false">+T27</f>
        <v>2015</v>
      </c>
      <c r="U4" s="255" t="n">
        <f aca="false">+U27</f>
        <v>2016</v>
      </c>
      <c r="V4" s="255" t="n">
        <f aca="false">+V27</f>
        <v>2017</v>
      </c>
      <c r="W4" s="255" t="n">
        <f aca="false">+W27</f>
        <v>2018</v>
      </c>
      <c r="X4" s="255" t="n">
        <f aca="false">+X27</f>
        <v>2019</v>
      </c>
      <c r="Y4" s="255" t="n">
        <f aca="false">+Y27</f>
        <v>2020</v>
      </c>
      <c r="Z4" s="255" t="n">
        <f aca="false">+Z27</f>
        <v>2021</v>
      </c>
      <c r="AA4" s="256" t="n">
        <f aca="false">+AA27</f>
        <v>2022</v>
      </c>
    </row>
    <row r="5" customFormat="false" ht="12.75" hidden="false" customHeight="true" outlineLevel="0" collapsed="false">
      <c r="A5" s="257" t="s">
        <v>316</v>
      </c>
      <c r="B5" s="258"/>
      <c r="C5" s="258"/>
      <c r="D5" s="259"/>
      <c r="E5" s="259"/>
      <c r="F5" s="260" t="n">
        <v>0</v>
      </c>
      <c r="G5" s="260" t="n">
        <f aca="false">MIN(F5+1,17)</f>
        <v>1</v>
      </c>
      <c r="H5" s="260" t="n">
        <f aca="false">MIN(G5+1,17)</f>
        <v>2</v>
      </c>
      <c r="I5" s="260" t="n">
        <f aca="false">MIN(H5+1,17)</f>
        <v>3</v>
      </c>
      <c r="J5" s="260" t="n">
        <f aca="false">MIN(I5+1,17)</f>
        <v>4</v>
      </c>
      <c r="K5" s="260" t="n">
        <f aca="false">MIN(J5+1,17)</f>
        <v>5</v>
      </c>
      <c r="L5" s="260" t="n">
        <f aca="false">MIN(K5+1,17)</f>
        <v>6</v>
      </c>
      <c r="M5" s="260" t="n">
        <f aca="false">MIN(L5+1,17)</f>
        <v>7</v>
      </c>
      <c r="N5" s="260" t="n">
        <f aca="false">MIN(M5+1,17)</f>
        <v>8</v>
      </c>
      <c r="O5" s="260" t="n">
        <f aca="false">MIN(N5+1,17)</f>
        <v>9</v>
      </c>
      <c r="P5" s="260" t="n">
        <f aca="false">MIN(O5+1,17)</f>
        <v>10</v>
      </c>
      <c r="Q5" s="260" t="n">
        <f aca="false">MIN(P5+1,17)</f>
        <v>11</v>
      </c>
      <c r="R5" s="260" t="n">
        <f aca="false">MIN(Q5+1,17)</f>
        <v>12</v>
      </c>
      <c r="S5" s="260" t="n">
        <f aca="false">MIN(R5+1,17)</f>
        <v>13</v>
      </c>
      <c r="T5" s="260" t="n">
        <f aca="false">MIN(S5+1,17)</f>
        <v>14</v>
      </c>
      <c r="U5" s="260" t="n">
        <f aca="false">MIN(T5+1,17)</f>
        <v>15</v>
      </c>
      <c r="V5" s="260" t="n">
        <f aca="false">MIN(U5+1,17)</f>
        <v>16</v>
      </c>
      <c r="W5" s="260" t="n">
        <f aca="false">MIN(V5+1,17)</f>
        <v>17</v>
      </c>
      <c r="X5" s="260" t="n">
        <f aca="false">MIN(W5+1,17)</f>
        <v>17</v>
      </c>
      <c r="Y5" s="260" t="n">
        <f aca="false">MIN(X5+1,17)</f>
        <v>17</v>
      </c>
      <c r="Z5" s="260" t="n">
        <f aca="false">MIN(Y5+1,17)</f>
        <v>17</v>
      </c>
      <c r="AA5" s="261"/>
    </row>
    <row r="6" customFormat="false" ht="12.75" hidden="false" customHeight="true" outlineLevel="0" collapsed="false">
      <c r="A6" s="257" t="s">
        <v>317</v>
      </c>
      <c r="B6" s="258"/>
      <c r="C6" s="258"/>
      <c r="D6" s="259"/>
      <c r="E6" s="259"/>
      <c r="F6" s="262" t="n">
        <f aca="false">+(F5-E5)*12</f>
        <v>0</v>
      </c>
      <c r="G6" s="262" t="n">
        <f aca="false">+(G5-F5)*12</f>
        <v>12</v>
      </c>
      <c r="H6" s="262" t="n">
        <f aca="false">+(H5-G5)*12</f>
        <v>12</v>
      </c>
      <c r="I6" s="262" t="n">
        <f aca="false">+(I5-H5)*12</f>
        <v>12</v>
      </c>
      <c r="J6" s="262" t="n">
        <f aca="false">+(J5-I5)*12</f>
        <v>12</v>
      </c>
      <c r="K6" s="262" t="n">
        <f aca="false">+(K5-J5)*12</f>
        <v>12</v>
      </c>
      <c r="L6" s="262" t="n">
        <f aca="false">+(L5-K5)*12</f>
        <v>12</v>
      </c>
      <c r="M6" s="262" t="n">
        <f aca="false">+(M5-L5)*12</f>
        <v>12</v>
      </c>
      <c r="N6" s="262" t="n">
        <f aca="false">+(N5-M5)*12</f>
        <v>12</v>
      </c>
      <c r="O6" s="262" t="n">
        <f aca="false">+(O5-N5)*12</f>
        <v>12</v>
      </c>
      <c r="P6" s="262" t="n">
        <f aca="false">+(P5-O5)*12</f>
        <v>12</v>
      </c>
      <c r="Q6" s="262" t="n">
        <f aca="false">+(Q5-P5)*12</f>
        <v>12</v>
      </c>
      <c r="R6" s="262" t="n">
        <f aca="false">+(R5-Q5)*12</f>
        <v>12</v>
      </c>
      <c r="S6" s="262" t="n">
        <f aca="false">+(S5-R5)*12</f>
        <v>12</v>
      </c>
      <c r="T6" s="262" t="n">
        <f aca="false">+(T5-S5)*12</f>
        <v>12</v>
      </c>
      <c r="U6" s="262" t="n">
        <f aca="false">+(U5-T5)*12</f>
        <v>12</v>
      </c>
      <c r="V6" s="262" t="n">
        <f aca="false">+(V5-U5)*12</f>
        <v>12</v>
      </c>
      <c r="W6" s="262" t="n">
        <f aca="false">+(W5-V5)*12</f>
        <v>12</v>
      </c>
      <c r="X6" s="262" t="n">
        <f aca="false">+(X5-W5)*12</f>
        <v>0</v>
      </c>
      <c r="Y6" s="262" t="n">
        <f aca="false">+(Y5-X5)*12</f>
        <v>0</v>
      </c>
      <c r="Z6" s="262" t="n">
        <f aca="false">+(Z5-Y5)*12</f>
        <v>0</v>
      </c>
      <c r="AA6" s="261"/>
    </row>
    <row r="7" customFormat="false" ht="12.75" hidden="false" customHeight="true" outlineLevel="0" collapsed="false">
      <c r="A7" s="263" t="s">
        <v>318</v>
      </c>
      <c r="B7" s="264"/>
      <c r="C7" s="264"/>
      <c r="D7" s="265" t="n">
        <v>0</v>
      </c>
      <c r="E7" s="265" t="n">
        <v>0</v>
      </c>
      <c r="F7" s="266" t="n">
        <f aca="false">+Elba!F$6/12</f>
        <v>0</v>
      </c>
      <c r="G7" s="266" t="n">
        <f aca="false">+Elba!G$6/12</f>
        <v>1</v>
      </c>
      <c r="H7" s="266" t="n">
        <f aca="false">+Elba!H$6/12</f>
        <v>1</v>
      </c>
      <c r="I7" s="266" t="n">
        <f aca="false">+Elba!I$6/12</f>
        <v>1</v>
      </c>
      <c r="J7" s="266" t="n">
        <f aca="false">+Elba!J$6/12</f>
        <v>1</v>
      </c>
      <c r="K7" s="266" t="n">
        <f aca="false">+Elba!K$6/12</f>
        <v>1</v>
      </c>
      <c r="L7" s="266" t="n">
        <f aca="false">+Elba!L$6/12</f>
        <v>1</v>
      </c>
      <c r="M7" s="266" t="n">
        <f aca="false">+Elba!M$6/12</f>
        <v>1</v>
      </c>
      <c r="N7" s="266" t="n">
        <f aca="false">+Elba!N$6/12</f>
        <v>1</v>
      </c>
      <c r="O7" s="266" t="n">
        <f aca="false">+Elba!O$6/12</f>
        <v>1</v>
      </c>
      <c r="P7" s="266" t="n">
        <f aca="false">+Elba!P$6/12</f>
        <v>1</v>
      </c>
      <c r="Q7" s="266" t="n">
        <f aca="false">+Elba!Q$6/12</f>
        <v>1</v>
      </c>
      <c r="R7" s="266" t="n">
        <f aca="false">+Elba!R$6/12</f>
        <v>1</v>
      </c>
      <c r="S7" s="266" t="n">
        <f aca="false">+Elba!S$6/12</f>
        <v>1</v>
      </c>
      <c r="T7" s="266" t="n">
        <f aca="false">+Elba!T$6/12</f>
        <v>1</v>
      </c>
      <c r="U7" s="266" t="n">
        <f aca="false">+Elba!U$6/12</f>
        <v>1</v>
      </c>
      <c r="V7" s="266" t="n">
        <f aca="false">+Elba!V$6/12</f>
        <v>1</v>
      </c>
      <c r="W7" s="266" t="n">
        <f aca="false">+Elba!W$6/12</f>
        <v>1</v>
      </c>
      <c r="X7" s="266" t="n">
        <f aca="false">+Elba!X$6/12</f>
        <v>0</v>
      </c>
      <c r="Y7" s="266" t="n">
        <f aca="false">+Elba!Y$6/12</f>
        <v>0</v>
      </c>
      <c r="Z7" s="266" t="n">
        <f aca="false">+Elba!Z$6/12</f>
        <v>0</v>
      </c>
      <c r="AA7" s="267" t="n">
        <v>0</v>
      </c>
    </row>
    <row r="8" customFormat="false" ht="12.75" hidden="false" customHeight="true" outlineLevel="0" collapsed="false">
      <c r="A8" s="263" t="s">
        <v>319</v>
      </c>
      <c r="B8" s="264"/>
      <c r="C8" s="264"/>
      <c r="D8" s="265" t="n">
        <v>0</v>
      </c>
      <c r="E8" s="265" t="n">
        <v>0</v>
      </c>
      <c r="F8" s="266" t="n">
        <f aca="false">IF(SUM(F11:F12)=0,0,1)*$F$7</f>
        <v>0</v>
      </c>
      <c r="G8" s="266" t="n">
        <f aca="false">(IF(SUM(G11:G12)=0,0,1)*(1-$F$7)+IF(SUM(F11:F12)=0,0,1)*$F$7)</f>
        <v>1</v>
      </c>
      <c r="H8" s="266" t="n">
        <f aca="false">(IF(SUM(H11:H12)=0,0,1)*(1-$F$7)+IF(SUM(G11:G12)=0,0,1)*$F$7)</f>
        <v>1</v>
      </c>
      <c r="I8" s="266" t="n">
        <f aca="false">(IF(SUM(I11:I12)=0,0,1)*(1-$F$7)+IF(SUM(H11:H12)=0,0,1)*$F$7)</f>
        <v>1</v>
      </c>
      <c r="J8" s="266" t="n">
        <f aca="false">(IF(SUM(J11:J12)=0,0,1)*(1-$F$7)+IF(SUM(I11:I12)=0,0,1)*$F$7)</f>
        <v>1</v>
      </c>
      <c r="K8" s="268" t="n">
        <f aca="false">IF(SUM(RAROC!$I$12,RAROC!$I$16)&gt;0,(IF(SUM(K11:K12)=0,0,1)*(1-$F$7)+IF(SUM(J11:J12)=0,0,1)*$F$7),1-(IF(SUM(K11:K12)=0,0,1)*(1-$F$7)+IF(SUM(J11:J12)=0,0,1)*$F$7))</f>
        <v>1</v>
      </c>
      <c r="L8" s="266" t="n">
        <f aca="false">(IF(SUM(L11:L12)=0,0,1)*(1-$F$7)+IF(SUM(K11:K12)=0,0,1)*$F$7)</f>
        <v>0</v>
      </c>
      <c r="M8" s="266" t="n">
        <f aca="false">(IF(SUM(M11:M12)=0,0,1)*(1-$F$7)+IF(SUM(L11:L12)=0,0,1)*$F$7)</f>
        <v>0</v>
      </c>
      <c r="N8" s="266" t="n">
        <f aca="false">(IF(SUM(N11:N12)=0,0,1)*(1-$F$7)+IF(SUM(M11:M12)=0,0,1)*$F$7)</f>
        <v>0</v>
      </c>
      <c r="O8" s="266" t="n">
        <f aca="false">(IF(SUM(O11:O12)=0,0,1)*(1-$F$7)+IF(SUM(N11:N12)=0,0,1)*$F$7)</f>
        <v>0</v>
      </c>
      <c r="P8" s="266" t="n">
        <f aca="false">(IF(SUM(P11:P12)=0,0,1)*(1-$F$7)+IF(SUM(O11:O12)=0,0,1)*$F$7)</f>
        <v>0</v>
      </c>
      <c r="Q8" s="266" t="n">
        <f aca="false">(IF(SUM(Q11:Q12)=0,0,1)*(1-$F$7)+IF(SUM(P11:P12)=0,0,1)*$F$7)</f>
        <v>0</v>
      </c>
      <c r="R8" s="266" t="n">
        <f aca="false">(IF(SUM(R11:R12)=0,0,1)*(1-$F$7)+IF(SUM(Q11:Q12)=0,0,1)*$F$7)</f>
        <v>0</v>
      </c>
      <c r="S8" s="266" t="n">
        <f aca="false">(IF(SUM(S11:S12)=0,0,1)*(1-$F$7)+IF(SUM(R11:R12)=0,0,1)*$F$7)</f>
        <v>0</v>
      </c>
      <c r="T8" s="266" t="n">
        <f aca="false">(IF(SUM(T11:T12)=0,0,1)*(1-$F$7)+IF(SUM(S11:S12)=0,0,1)*$F$7)</f>
        <v>0</v>
      </c>
      <c r="U8" s="266" t="n">
        <f aca="false">(IF(SUM(U11:U12)=0,0,1)*(1-$F$7)+IF(SUM(T11:T12)=0,0,1)*$F$7)</f>
        <v>0</v>
      </c>
      <c r="V8" s="266" t="n">
        <f aca="false">(IF(SUM(V11:V12)=0,0,1)*(1-$F$7)+IF(SUM(U11:U12)=0,0,1)*$F$7)</f>
        <v>0</v>
      </c>
      <c r="W8" s="266" t="n">
        <f aca="false">(IF(SUM(W11:W12)=0,0,1)*(1-$F$7)+IF(SUM(V11:V12)=0,0,1)*$F$7)</f>
        <v>0</v>
      </c>
      <c r="X8" s="266" t="n">
        <f aca="false">(IF(SUM(X11:X12)=0,0,1)*(1-$F$7)+IF(SUM(W11:W12)=0,0,1)*$F$7)</f>
        <v>0</v>
      </c>
      <c r="Y8" s="266" t="n">
        <f aca="false">(IF(SUM(Y11:Y12)=0,0,1)*(1-$F$7)+IF(SUM(X11:X12)=0,0,1)*$F$7)</f>
        <v>0</v>
      </c>
      <c r="Z8" s="266" t="n">
        <f aca="false">(IF(SUM(Z11:Z12)=0,0,1)*(1-$F$7)+IF(SUM(Y11:Y12)=0,0,1)*$F$7)</f>
        <v>0</v>
      </c>
      <c r="AA8" s="267" t="n">
        <v>0</v>
      </c>
    </row>
    <row r="9" customFormat="false" ht="12.75" hidden="false" customHeight="true" outlineLevel="0" collapsed="false">
      <c r="A9" s="263"/>
      <c r="B9" s="264"/>
      <c r="C9" s="264"/>
      <c r="D9" s="266"/>
      <c r="E9" s="266"/>
      <c r="F9" s="266"/>
      <c r="G9" s="266"/>
      <c r="H9" s="266"/>
      <c r="I9" s="266"/>
      <c r="J9" s="266"/>
      <c r="K9" s="266"/>
      <c r="L9" s="266"/>
      <c r="M9" s="266"/>
      <c r="N9" s="266"/>
      <c r="O9" s="266"/>
      <c r="P9" s="266"/>
      <c r="Q9" s="266"/>
      <c r="R9" s="266"/>
      <c r="S9" s="266"/>
      <c r="T9" s="266"/>
      <c r="U9" s="266"/>
      <c r="V9" s="266"/>
      <c r="W9" s="266"/>
      <c r="X9" s="266"/>
      <c r="Y9" s="266"/>
      <c r="Z9" s="266"/>
      <c r="AA9" s="269"/>
    </row>
    <row r="10" customFormat="false" ht="12.75" hidden="false" customHeight="true" outlineLevel="0" collapsed="false">
      <c r="A10" s="270" t="s">
        <v>320</v>
      </c>
      <c r="B10" s="271"/>
      <c r="C10" s="271"/>
      <c r="D10" s="131"/>
      <c r="E10" s="272" t="s">
        <v>321</v>
      </c>
      <c r="F10" s="273" t="n">
        <v>1</v>
      </c>
      <c r="G10" s="273" t="n">
        <f aca="false">+F10+1</f>
        <v>2</v>
      </c>
      <c r="H10" s="273" t="n">
        <f aca="false">+G10+1</f>
        <v>3</v>
      </c>
      <c r="I10" s="273" t="n">
        <f aca="false">+H10+1</f>
        <v>4</v>
      </c>
      <c r="J10" s="273" t="n">
        <f aca="false">+I10+1</f>
        <v>5</v>
      </c>
      <c r="K10" s="273" t="n">
        <f aca="false">+J10+1</f>
        <v>6</v>
      </c>
      <c r="L10" s="273" t="n">
        <f aca="false">+K10+1</f>
        <v>7</v>
      </c>
      <c r="M10" s="273" t="n">
        <f aca="false">+L10+1</f>
        <v>8</v>
      </c>
      <c r="N10" s="273" t="n">
        <f aca="false">+M10+1</f>
        <v>9</v>
      </c>
      <c r="O10" s="273" t="n">
        <f aca="false">+N10+1</f>
        <v>10</v>
      </c>
      <c r="P10" s="273" t="n">
        <f aca="false">+O10+1</f>
        <v>11</v>
      </c>
      <c r="Q10" s="273" t="n">
        <f aca="false">+P10+1</f>
        <v>12</v>
      </c>
      <c r="R10" s="273" t="n">
        <f aca="false">+Q10+1</f>
        <v>13</v>
      </c>
      <c r="S10" s="273" t="n">
        <f aca="false">+R10+1</f>
        <v>14</v>
      </c>
      <c r="T10" s="273" t="n">
        <f aca="false">+S10+1</f>
        <v>15</v>
      </c>
      <c r="U10" s="273" t="n">
        <f aca="false">+T10+1</f>
        <v>16</v>
      </c>
      <c r="V10" s="273" t="n">
        <f aca="false">+U10+1</f>
        <v>17</v>
      </c>
      <c r="W10" s="273" t="n">
        <f aca="false">+V10+1</f>
        <v>18</v>
      </c>
      <c r="X10" s="273" t="n">
        <f aca="false">+W10+1</f>
        <v>19</v>
      </c>
      <c r="Y10" s="273" t="n">
        <f aca="false">+X10+1</f>
        <v>20</v>
      </c>
      <c r="Z10" s="273" t="n">
        <f aca="false">+Y10+1</f>
        <v>21</v>
      </c>
      <c r="AA10" s="274"/>
    </row>
    <row r="11" customFormat="false" ht="12.75" hidden="false" customHeight="true" outlineLevel="0" collapsed="false">
      <c r="A11" s="275" t="s">
        <v>322</v>
      </c>
      <c r="B11" s="276"/>
      <c r="C11" s="276"/>
      <c r="D11" s="131"/>
      <c r="E11" s="131" t="s">
        <v>323</v>
      </c>
      <c r="F11" s="277" t="n">
        <f aca="false">IF(switch=0,ROUND(RAROC!$D10,),ROUND(RAROC!$E10,))</f>
        <v>17</v>
      </c>
      <c r="G11" s="277" t="n">
        <f aca="false">IF(switch=0,ROUND(RAROC!$D10,),ROUND(RAROC!$H10,))</f>
        <v>16</v>
      </c>
      <c r="H11" s="277" t="n">
        <f aca="false">IF(switch=0,ROUND(RAROC!$D10,),ROUND(RAROC!$K10,))</f>
        <v>15</v>
      </c>
      <c r="I11" s="277" t="n">
        <f aca="false">IF(switch=0,ROUND(RAROC!$D10,),ROUND(RAROC!$N10,))</f>
        <v>15</v>
      </c>
      <c r="J11" s="277" t="n">
        <f aca="false">IF(switch=0,ROUND(RAROC!$D10,),ROUND(RAROC!$Q10,))</f>
        <v>14</v>
      </c>
      <c r="K11" s="277" t="n">
        <f aca="false">RAROC!$I$12</f>
        <v>0</v>
      </c>
      <c r="L11" s="277" t="n">
        <f aca="false">RAROC!$I$12</f>
        <v>0</v>
      </c>
      <c r="M11" s="277" t="n">
        <f aca="false">RAROC!$I$12</f>
        <v>0</v>
      </c>
      <c r="N11" s="277" t="n">
        <f aca="false">RAROC!$I$12</f>
        <v>0</v>
      </c>
      <c r="O11" s="277" t="n">
        <f aca="false">RAROC!$I$12</f>
        <v>0</v>
      </c>
      <c r="P11" s="277" t="n">
        <f aca="false">RAROC!$I$12</f>
        <v>0</v>
      </c>
      <c r="Q11" s="277" t="n">
        <f aca="false">RAROC!$I$12</f>
        <v>0</v>
      </c>
      <c r="R11" s="277" t="n">
        <f aca="false">RAROC!$I$12</f>
        <v>0</v>
      </c>
      <c r="S11" s="277" t="n">
        <f aca="false">RAROC!$I$12</f>
        <v>0</v>
      </c>
      <c r="T11" s="277" t="n">
        <f aca="false">RAROC!$I$12</f>
        <v>0</v>
      </c>
      <c r="U11" s="277" t="n">
        <f aca="false">RAROC!$I$12</f>
        <v>0</v>
      </c>
      <c r="V11" s="277" t="n">
        <f aca="false">RAROC!$I$12</f>
        <v>0</v>
      </c>
      <c r="W11" s="277" t="n">
        <f aca="false">RAROC!$I$12</f>
        <v>0</v>
      </c>
      <c r="X11" s="277" t="n">
        <f aca="false">RAROC!$I$12</f>
        <v>0</v>
      </c>
      <c r="Y11" s="277" t="n">
        <f aca="false">RAROC!$I$12</f>
        <v>0</v>
      </c>
      <c r="Z11" s="277" t="n">
        <v>0</v>
      </c>
      <c r="AA11" s="278"/>
    </row>
    <row r="12" customFormat="false" ht="12.75" hidden="false" customHeight="true" outlineLevel="0" collapsed="false">
      <c r="A12" s="275" t="s">
        <v>324</v>
      </c>
      <c r="B12" s="276"/>
      <c r="C12" s="276"/>
      <c r="D12" s="131"/>
      <c r="E12" s="131" t="s">
        <v>323</v>
      </c>
      <c r="F12" s="277" t="n">
        <f aca="false">IF(switch=0,ROUND(RAROC!$D14,),ROUND(RAROC!$E14,))</f>
        <v>4</v>
      </c>
      <c r="G12" s="277" t="n">
        <f aca="false">IF(switch=0,ROUND(RAROC!$D14,),ROUND(RAROC!$H14,))</f>
        <v>4</v>
      </c>
      <c r="H12" s="277" t="n">
        <f aca="false">IF(switch=0,ROUND(RAROC!$D14,),ROUND(RAROC!$K14,))</f>
        <v>4</v>
      </c>
      <c r="I12" s="277" t="n">
        <f aca="false">IF(switch=0,ROUND(RAROC!$D14,),ROUND(RAROC!$N14,))</f>
        <v>3</v>
      </c>
      <c r="J12" s="277" t="n">
        <f aca="false">IF(switch=0,ROUND(RAROC!$D14,),ROUND(RAROC!$Q14,))</f>
        <v>3</v>
      </c>
      <c r="K12" s="277" t="n">
        <f aca="false">RAROC!$I$16</f>
        <v>0</v>
      </c>
      <c r="L12" s="277" t="n">
        <f aca="false">RAROC!$I$16</f>
        <v>0</v>
      </c>
      <c r="M12" s="277" t="n">
        <f aca="false">RAROC!$I$16</f>
        <v>0</v>
      </c>
      <c r="N12" s="277" t="n">
        <f aca="false">RAROC!$I$16</f>
        <v>0</v>
      </c>
      <c r="O12" s="277" t="n">
        <f aca="false">RAROC!$I$16</f>
        <v>0</v>
      </c>
      <c r="P12" s="277" t="n">
        <f aca="false">RAROC!$I$16</f>
        <v>0</v>
      </c>
      <c r="Q12" s="277" t="n">
        <f aca="false">RAROC!$I$16</f>
        <v>0</v>
      </c>
      <c r="R12" s="277" t="n">
        <f aca="false">RAROC!$I$16</f>
        <v>0</v>
      </c>
      <c r="S12" s="277" t="n">
        <f aca="false">RAROC!$I$16</f>
        <v>0</v>
      </c>
      <c r="T12" s="277" t="n">
        <f aca="false">RAROC!$I$16</f>
        <v>0</v>
      </c>
      <c r="U12" s="277" t="n">
        <f aca="false">RAROC!$I$16</f>
        <v>0</v>
      </c>
      <c r="V12" s="277" t="n">
        <f aca="false">RAROC!$I$16</f>
        <v>0</v>
      </c>
      <c r="W12" s="277" t="n">
        <f aca="false">RAROC!$I$16</f>
        <v>0</v>
      </c>
      <c r="X12" s="277" t="n">
        <f aca="false">RAROC!$I$16</f>
        <v>0</v>
      </c>
      <c r="Y12" s="277" t="n">
        <f aca="false">RAROC!$I$16</f>
        <v>0</v>
      </c>
      <c r="Z12" s="277" t="n">
        <v>0</v>
      </c>
      <c r="AA12" s="278"/>
    </row>
    <row r="13" customFormat="false" ht="12.75" hidden="false" customHeight="true" outlineLevel="0" collapsed="false">
      <c r="A13" s="275"/>
      <c r="B13" s="276"/>
      <c r="C13" s="276"/>
      <c r="D13" s="131"/>
      <c r="E13" s="131"/>
      <c r="F13" s="279"/>
      <c r="G13" s="279"/>
      <c r="H13" s="279"/>
      <c r="I13" s="279"/>
      <c r="J13" s="279"/>
      <c r="K13" s="279"/>
      <c r="L13" s="279"/>
      <c r="M13" s="279"/>
      <c r="N13" s="279"/>
      <c r="O13" s="279"/>
      <c r="P13" s="279"/>
      <c r="Q13" s="279"/>
      <c r="R13" s="279"/>
      <c r="S13" s="279"/>
      <c r="T13" s="279"/>
      <c r="U13" s="279"/>
      <c r="V13" s="279"/>
      <c r="W13" s="279"/>
      <c r="X13" s="279"/>
      <c r="Y13" s="279"/>
      <c r="Z13" s="279"/>
      <c r="AA13" s="278"/>
    </row>
    <row r="14" customFormat="false" ht="12.75" hidden="false" customHeight="true" outlineLevel="0" collapsed="false">
      <c r="A14" s="275"/>
      <c r="B14" s="276"/>
      <c r="C14" s="276"/>
      <c r="D14" s="131"/>
      <c r="E14" s="272" t="s">
        <v>325</v>
      </c>
      <c r="F14" s="273" t="n">
        <f aca="false">+F10</f>
        <v>1</v>
      </c>
      <c r="G14" s="273" t="n">
        <f aca="false">+G10</f>
        <v>2</v>
      </c>
      <c r="H14" s="273" t="n">
        <f aca="false">+H10</f>
        <v>3</v>
      </c>
      <c r="I14" s="273" t="n">
        <f aca="false">+I10</f>
        <v>4</v>
      </c>
      <c r="J14" s="273" t="n">
        <f aca="false">+J10</f>
        <v>5</v>
      </c>
      <c r="K14" s="273" t="n">
        <f aca="false">+K10</f>
        <v>6</v>
      </c>
      <c r="L14" s="273" t="n">
        <f aca="false">+L10</f>
        <v>7</v>
      </c>
      <c r="M14" s="273" t="n">
        <f aca="false">+M10</f>
        <v>8</v>
      </c>
      <c r="N14" s="273" t="n">
        <f aca="false">+N10</f>
        <v>9</v>
      </c>
      <c r="O14" s="273" t="n">
        <f aca="false">+O10</f>
        <v>10</v>
      </c>
      <c r="P14" s="273" t="n">
        <f aca="false">+P10</f>
        <v>11</v>
      </c>
      <c r="Q14" s="273" t="n">
        <f aca="false">+Q10</f>
        <v>12</v>
      </c>
      <c r="R14" s="273" t="n">
        <f aca="false">+R10</f>
        <v>13</v>
      </c>
      <c r="S14" s="273" t="n">
        <f aca="false">+S10</f>
        <v>14</v>
      </c>
      <c r="T14" s="273" t="n">
        <f aca="false">+T10</f>
        <v>15</v>
      </c>
      <c r="U14" s="273" t="n">
        <f aca="false">+U10</f>
        <v>16</v>
      </c>
      <c r="V14" s="273" t="n">
        <f aca="false">+V10</f>
        <v>17</v>
      </c>
      <c r="W14" s="273" t="n">
        <f aca="false">+W10</f>
        <v>18</v>
      </c>
      <c r="X14" s="273" t="n">
        <f aca="false">+X10</f>
        <v>19</v>
      </c>
      <c r="Y14" s="273" t="n">
        <f aca="false">+Y10</f>
        <v>20</v>
      </c>
      <c r="Z14" s="273" t="n">
        <f aca="false">+Z10</f>
        <v>21</v>
      </c>
      <c r="AA14" s="278"/>
    </row>
    <row r="15" customFormat="false" ht="12.75" hidden="false" customHeight="true" outlineLevel="0" collapsed="false">
      <c r="A15" s="275" t="s">
        <v>322</v>
      </c>
      <c r="B15" s="271"/>
      <c r="C15" s="271"/>
      <c r="D15" s="280"/>
      <c r="E15" s="280" t="s">
        <v>323</v>
      </c>
      <c r="F15" s="147" t="n">
        <f aca="false">+F11*Elba!F$7</f>
        <v>0</v>
      </c>
      <c r="G15" s="147" t="n">
        <f aca="false">IF(arb="Y",17,G11*Elba!$F$7+F11*(1-Elba!$F$7))</f>
        <v>17</v>
      </c>
      <c r="H15" s="147" t="n">
        <f aca="false">IF(arb="Y",17,H11*Elba!$F$7+G11*(1-Elba!$F$7))</f>
        <v>16</v>
      </c>
      <c r="I15" s="147" t="n">
        <f aca="false">IF(arb="Y",17,I11*Elba!$F$7+H11*(1-Elba!$F$7))</f>
        <v>15</v>
      </c>
      <c r="J15" s="147" t="n">
        <f aca="false">IF(arb="Y",17,J11*Elba!$F$7+I11*(1-Elba!$F$7))</f>
        <v>15</v>
      </c>
      <c r="K15" s="147" t="n">
        <f aca="false">IF(arb="Y",17,K11*Elba!$F$7+J11*(1-Elba!$F$7))</f>
        <v>14</v>
      </c>
      <c r="L15" s="147" t="n">
        <f aca="false">+L11*Elba!$F$7+K11*(1-Elba!$F$7)</f>
        <v>0</v>
      </c>
      <c r="M15" s="147" t="n">
        <f aca="false">+M11*Elba!$F$7+L11*(1-Elba!$F$7)</f>
        <v>0</v>
      </c>
      <c r="N15" s="147" t="n">
        <f aca="false">+N11*Elba!$F$7+M11*(1-Elba!$F$7)</f>
        <v>0</v>
      </c>
      <c r="O15" s="147" t="n">
        <f aca="false">+O11*Elba!$F$7+N11*(1-Elba!$F$7)</f>
        <v>0</v>
      </c>
      <c r="P15" s="147" t="n">
        <f aca="false">+P11*Elba!$F$7+O11*(1-Elba!$F$7)</f>
        <v>0</v>
      </c>
      <c r="Q15" s="147" t="n">
        <f aca="false">+Q11*Elba!$F$7+P11*(1-Elba!$F$7)</f>
        <v>0</v>
      </c>
      <c r="R15" s="147" t="n">
        <f aca="false">+R11*Elba!$F$7+Q11*(1-Elba!$F$7)</f>
        <v>0</v>
      </c>
      <c r="S15" s="147" t="n">
        <f aca="false">+S11*Elba!$F$7+R11*(1-Elba!$F$7)</f>
        <v>0</v>
      </c>
      <c r="T15" s="147" t="n">
        <f aca="false">+T11*Elba!$F$7+S11*(1-Elba!$F$7)</f>
        <v>0</v>
      </c>
      <c r="U15" s="147" t="n">
        <f aca="false">+U11*Elba!$F$7+T11*(1-Elba!$F$7)</f>
        <v>0</v>
      </c>
      <c r="V15" s="147" t="n">
        <f aca="false">+V11*Elba!$F$7+U11*(1-Elba!$F$7)</f>
        <v>0</v>
      </c>
      <c r="W15" s="147" t="n">
        <f aca="false">+W11*Elba!$F$7+V11*(1-Elba!$F$7)</f>
        <v>0</v>
      </c>
      <c r="X15" s="147" t="n">
        <f aca="false">+X11*Elba!$F$7+W11*(1-Elba!$F$7)</f>
        <v>0</v>
      </c>
      <c r="Y15" s="147" t="n">
        <f aca="false">+Y11*Elba!$F$7+X11*(1-Elba!$F$7)</f>
        <v>0</v>
      </c>
      <c r="Z15" s="147" t="n">
        <f aca="false">+Z11*Elba!$F$7+Y11*(1-Elba!$F$7)</f>
        <v>0</v>
      </c>
      <c r="AA15" s="281"/>
    </row>
    <row r="16" customFormat="false" ht="12.75" hidden="false" customHeight="true" outlineLevel="0" collapsed="false">
      <c r="A16" s="282" t="s">
        <v>324</v>
      </c>
      <c r="B16" s="283"/>
      <c r="C16" s="283"/>
      <c r="D16" s="283"/>
      <c r="E16" s="283" t="s">
        <v>323</v>
      </c>
      <c r="F16" s="284" t="n">
        <f aca="false">+F12*Elba!F$7</f>
        <v>0</v>
      </c>
      <c r="G16" s="284" t="n">
        <f aca="false">IF(arb="Y",7,G12*Elba!$F$7+F12*(1-Elba!$F$7))</f>
        <v>4</v>
      </c>
      <c r="H16" s="284" t="n">
        <f aca="false">IF(arb="Y",7,H12*Elba!$F$7+G12*(1-Elba!$F$7))</f>
        <v>4</v>
      </c>
      <c r="I16" s="284" t="n">
        <f aca="false">IF(arb="Y",7,I12*Elba!$F$7+H12*(1-Elba!$F$7))</f>
        <v>4</v>
      </c>
      <c r="J16" s="284" t="n">
        <f aca="false">IF(arb="Y",7,J12*Elba!$F$7+I12*(1-Elba!$F$7))</f>
        <v>3</v>
      </c>
      <c r="K16" s="284" t="n">
        <f aca="false">IF(arb="Y",7,K12*Elba!$F$7+J12*(1-Elba!$F$7))</f>
        <v>3</v>
      </c>
      <c r="L16" s="284" t="n">
        <f aca="false">+L12*Elba!$F$7+K12*(1-Elba!$F$7)</f>
        <v>0</v>
      </c>
      <c r="M16" s="284" t="n">
        <f aca="false">+M12*Elba!$F$7+L12*(1-Elba!$F$7)</f>
        <v>0</v>
      </c>
      <c r="N16" s="284" t="n">
        <f aca="false">+N12*Elba!$F$7+M12*(1-Elba!$F$7)</f>
        <v>0</v>
      </c>
      <c r="O16" s="284" t="n">
        <f aca="false">+O12*Elba!$F$7+N12*(1-Elba!$F$7)</f>
        <v>0</v>
      </c>
      <c r="P16" s="284" t="n">
        <f aca="false">+P12*Elba!$F$7+O12*(1-Elba!$F$7)</f>
        <v>0</v>
      </c>
      <c r="Q16" s="284" t="n">
        <f aca="false">+Q12*Elba!$F$7+P12*(1-Elba!$F$7)</f>
        <v>0</v>
      </c>
      <c r="R16" s="284" t="n">
        <f aca="false">+R12*Elba!$F$7+Q12*(1-Elba!$F$7)</f>
        <v>0</v>
      </c>
      <c r="S16" s="284" t="n">
        <f aca="false">+S12*Elba!$F$7+R12*(1-Elba!$F$7)</f>
        <v>0</v>
      </c>
      <c r="T16" s="284" t="n">
        <f aca="false">+T12*Elba!$F$7+S12*(1-Elba!$F$7)</f>
        <v>0</v>
      </c>
      <c r="U16" s="284" t="n">
        <f aca="false">+U12*Elba!$F$7+T12*(1-Elba!$F$7)</f>
        <v>0</v>
      </c>
      <c r="V16" s="284" t="n">
        <f aca="false">+V12*Elba!$F$7+U12*(1-Elba!$F$7)</f>
        <v>0</v>
      </c>
      <c r="W16" s="284" t="n">
        <f aca="false">+W12*Elba!$F$7+V12*(1-Elba!$F$7)</f>
        <v>0</v>
      </c>
      <c r="X16" s="284" t="n">
        <f aca="false">+X12*Elba!$F$7+W12*(1-Elba!$F$7)</f>
        <v>0</v>
      </c>
      <c r="Y16" s="284" t="n">
        <f aca="false">+Y12*Elba!$F$7+X12*(1-Elba!$F$7)</f>
        <v>0</v>
      </c>
      <c r="Z16" s="284" t="n">
        <f aca="false">+Z12*Elba!$F$7+Y12*(1-Elba!$F$7)</f>
        <v>0</v>
      </c>
      <c r="AA16" s="285"/>
    </row>
    <row r="17" customFormat="false" ht="12.75" hidden="false" customHeight="true" outlineLevel="0" collapsed="false">
      <c r="A17" s="286" t="s">
        <v>326</v>
      </c>
      <c r="B17" s="271"/>
      <c r="C17" s="271"/>
      <c r="D17" s="280"/>
      <c r="E17" s="280" t="s">
        <v>323</v>
      </c>
      <c r="F17" s="147" t="n">
        <f aca="false">SUM(F15:F16)</f>
        <v>0</v>
      </c>
      <c r="G17" s="147" t="n">
        <f aca="false">SUM(G15:G16)</f>
        <v>21</v>
      </c>
      <c r="H17" s="147" t="n">
        <f aca="false">SUM(H15:H16)</f>
        <v>20</v>
      </c>
      <c r="I17" s="147" t="n">
        <f aca="false">SUM(I15:I16)</f>
        <v>19</v>
      </c>
      <c r="J17" s="147" t="n">
        <f aca="false">SUM(J15:J16)</f>
        <v>18</v>
      </c>
      <c r="K17" s="147" t="n">
        <f aca="false">SUM(K15:K16)</f>
        <v>17</v>
      </c>
      <c r="L17" s="147" t="n">
        <f aca="false">SUM(L15:L16)</f>
        <v>0</v>
      </c>
      <c r="M17" s="147" t="n">
        <f aca="false">SUM(M15:M16)</f>
        <v>0</v>
      </c>
      <c r="N17" s="147" t="n">
        <f aca="false">SUM(N15:N16)</f>
        <v>0</v>
      </c>
      <c r="O17" s="147" t="n">
        <f aca="false">SUM(O15:O16)</f>
        <v>0</v>
      </c>
      <c r="P17" s="147" t="n">
        <f aca="false">SUM(P15:P16)</f>
        <v>0</v>
      </c>
      <c r="Q17" s="147" t="n">
        <f aca="false">SUM(Q15:Q16)</f>
        <v>0</v>
      </c>
      <c r="R17" s="147" t="n">
        <f aca="false">SUM(R15:R16)</f>
        <v>0</v>
      </c>
      <c r="S17" s="147" t="n">
        <f aca="false">SUM(S15:S16)</f>
        <v>0</v>
      </c>
      <c r="T17" s="147" t="n">
        <f aca="false">SUM(T15:T16)</f>
        <v>0</v>
      </c>
      <c r="U17" s="147" t="n">
        <f aca="false">SUM(U15:U16)</f>
        <v>0</v>
      </c>
      <c r="V17" s="147" t="n">
        <f aca="false">SUM(V15:V16)</f>
        <v>0</v>
      </c>
      <c r="W17" s="147" t="n">
        <f aca="false">SUM(W15:W16)</f>
        <v>0</v>
      </c>
      <c r="X17" s="147" t="n">
        <f aca="false">SUM(X15:X16)</f>
        <v>0</v>
      </c>
      <c r="Y17" s="147" t="n">
        <f aca="false">SUM(Y15:Y16)</f>
        <v>0</v>
      </c>
      <c r="Z17" s="147" t="n">
        <f aca="false">SUM(Z15:Z16)</f>
        <v>0</v>
      </c>
      <c r="AA17" s="281"/>
    </row>
    <row r="18" customFormat="false" ht="12.75" hidden="false" customHeight="true" outlineLevel="0" collapsed="false">
      <c r="A18" s="286" t="s">
        <v>327</v>
      </c>
      <c r="B18" s="271"/>
      <c r="C18" s="271"/>
      <c r="D18" s="280"/>
      <c r="E18" s="280" t="s">
        <v>328</v>
      </c>
      <c r="F18" s="147" t="n">
        <f aca="false">+F15*ML+F16*NB</f>
        <v>0</v>
      </c>
      <c r="G18" s="147" t="n">
        <f aca="false">+G15*ML+G16*NB</f>
        <v>47.5505574661556</v>
      </c>
      <c r="H18" s="147" t="n">
        <f aca="false">+H15*ML+H16*NB</f>
        <v>45.5025746459468</v>
      </c>
      <c r="I18" s="147" t="n">
        <f aca="false">+I15*ML+I16*NB</f>
        <v>43.4545918257379</v>
      </c>
      <c r="J18" s="147" t="n">
        <f aca="false">+J15*ML+J16*NB</f>
        <v>40.2708794450865</v>
      </c>
      <c r="K18" s="147" t="n">
        <f aca="false">+K15*ML+K16*NB</f>
        <v>38.2228966248777</v>
      </c>
      <c r="L18" s="147" t="n">
        <f aca="false">+L15*ML+L16*NB</f>
        <v>0</v>
      </c>
      <c r="M18" s="147" t="n">
        <f aca="false">+M15*ML+M16*NB</f>
        <v>0</v>
      </c>
      <c r="N18" s="147" t="n">
        <f aca="false">+N15*ML+N16*NB</f>
        <v>0</v>
      </c>
      <c r="O18" s="147" t="n">
        <f aca="false">+O15*ML+O16*NB</f>
        <v>0</v>
      </c>
      <c r="P18" s="147" t="n">
        <f aca="false">+P15*ML+P16*NB</f>
        <v>0</v>
      </c>
      <c r="Q18" s="147" t="n">
        <f aca="false">+Q15*ML+Q16*NB</f>
        <v>0</v>
      </c>
      <c r="R18" s="147" t="n">
        <f aca="false">+R15*ML+R16*NB</f>
        <v>0</v>
      </c>
      <c r="S18" s="147" t="n">
        <f aca="false">+S15*ML+S16*NB</f>
        <v>0</v>
      </c>
      <c r="T18" s="147" t="n">
        <f aca="false">+T15*ML+T16*NB</f>
        <v>0</v>
      </c>
      <c r="U18" s="147" t="n">
        <f aca="false">+U15*ML+U16*NB</f>
        <v>0</v>
      </c>
      <c r="V18" s="147" t="n">
        <f aca="false">+V15*ML+V16*NB</f>
        <v>0</v>
      </c>
      <c r="W18" s="147" t="n">
        <f aca="false">+W15*ML+W16*NB</f>
        <v>0</v>
      </c>
      <c r="X18" s="147" t="n">
        <f aca="false">+X15*ML+X16*NB</f>
        <v>0</v>
      </c>
      <c r="Y18" s="147" t="n">
        <f aca="false">+Y15*ML+Y16*NB</f>
        <v>0</v>
      </c>
      <c r="Z18" s="147" t="n">
        <f aca="false">+Z15*ML+Z16*NB</f>
        <v>0</v>
      </c>
      <c r="AA18" s="281"/>
    </row>
    <row r="19" customFormat="false" ht="12.75" hidden="false" customHeight="true" outlineLevel="0" collapsed="false">
      <c r="A19" s="287"/>
      <c r="B19" s="131"/>
      <c r="C19" s="131"/>
      <c r="D19" s="131"/>
      <c r="E19" s="251"/>
      <c r="F19" s="131"/>
      <c r="G19" s="131"/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131"/>
      <c r="Y19" s="131"/>
      <c r="Z19" s="131"/>
      <c r="AA19" s="288"/>
    </row>
    <row r="20" customFormat="false" ht="12.75" hidden="false" customHeight="true" outlineLevel="0" collapsed="false">
      <c r="A20" s="270" t="s">
        <v>329</v>
      </c>
      <c r="B20" s="271"/>
      <c r="C20" s="271"/>
      <c r="D20" s="131"/>
      <c r="E20" s="272" t="s">
        <v>325</v>
      </c>
      <c r="F20" s="273" t="n">
        <v>1</v>
      </c>
      <c r="G20" s="273" t="n">
        <f aca="false">+F20+1</f>
        <v>2</v>
      </c>
      <c r="H20" s="273" t="n">
        <f aca="false">+G20+1</f>
        <v>3</v>
      </c>
      <c r="I20" s="273" t="n">
        <f aca="false">+H20+1</f>
        <v>4</v>
      </c>
      <c r="J20" s="273" t="n">
        <f aca="false">+I20+1</f>
        <v>5</v>
      </c>
      <c r="K20" s="273" t="n">
        <f aca="false">+J20+1</f>
        <v>6</v>
      </c>
      <c r="L20" s="273" t="n">
        <f aca="false">+K20+1</f>
        <v>7</v>
      </c>
      <c r="M20" s="273" t="n">
        <f aca="false">+L20+1</f>
        <v>8</v>
      </c>
      <c r="N20" s="273" t="n">
        <f aca="false">+M20+1</f>
        <v>9</v>
      </c>
      <c r="O20" s="273" t="n">
        <f aca="false">+N20+1</f>
        <v>10</v>
      </c>
      <c r="P20" s="273" t="n">
        <f aca="false">+O20+1</f>
        <v>11</v>
      </c>
      <c r="Q20" s="273" t="n">
        <f aca="false">+P20+1</f>
        <v>12</v>
      </c>
      <c r="R20" s="273" t="n">
        <f aca="false">+Q20+1</f>
        <v>13</v>
      </c>
      <c r="S20" s="273" t="n">
        <f aca="false">+R20+1</f>
        <v>14</v>
      </c>
      <c r="T20" s="273" t="n">
        <f aca="false">+S20+1</f>
        <v>15</v>
      </c>
      <c r="U20" s="273" t="n">
        <f aca="false">+T20+1</f>
        <v>16</v>
      </c>
      <c r="V20" s="273" t="n">
        <f aca="false">+U20+1</f>
        <v>17</v>
      </c>
      <c r="W20" s="273" t="n">
        <f aca="false">+V20+1</f>
        <v>18</v>
      </c>
      <c r="X20" s="273" t="n">
        <f aca="false">+W20+1</f>
        <v>19</v>
      </c>
      <c r="Y20" s="273" t="n">
        <f aca="false">+X20+1</f>
        <v>20</v>
      </c>
      <c r="Z20" s="273" t="n">
        <f aca="false">+Y20+1</f>
        <v>21</v>
      </c>
      <c r="AA20" s="274"/>
    </row>
    <row r="21" customFormat="false" ht="12.75" hidden="false" customHeight="true" outlineLevel="0" collapsed="false">
      <c r="A21" s="275" t="s">
        <v>322</v>
      </c>
      <c r="B21" s="276"/>
      <c r="C21" s="276"/>
      <c r="D21" s="131"/>
      <c r="E21" s="131" t="s">
        <v>323</v>
      </c>
      <c r="F21" s="277" t="n">
        <v>0</v>
      </c>
      <c r="G21" s="277" t="n">
        <v>0</v>
      </c>
      <c r="H21" s="277" t="n">
        <v>0</v>
      </c>
      <c r="I21" s="277" t="n">
        <v>0</v>
      </c>
      <c r="J21" s="277" t="n">
        <v>0</v>
      </c>
      <c r="K21" s="277" t="n">
        <v>0</v>
      </c>
      <c r="L21" s="277" t="n">
        <f aca="false">IF(arb="Y",17,IF(switch=0,RAROC!$D10,ROUND(RAROC!$E10,)))</f>
        <v>17</v>
      </c>
      <c r="M21" s="277" t="n">
        <f aca="false">IF(arb="Y",17,IF(switch=0,RAROC!$D10,ROUND(RAROC!$E10,)))</f>
        <v>17</v>
      </c>
      <c r="N21" s="277" t="n">
        <f aca="false">IF(arb="Y",17,IF(switch=0,RAROC!$D10,ROUND(RAROC!$E10,)))</f>
        <v>17</v>
      </c>
      <c r="O21" s="277" t="n">
        <f aca="false">IF(arb="Y",17,IF(switch=0,RAROC!$D10,ROUND(RAROC!$E10,)))</f>
        <v>17</v>
      </c>
      <c r="P21" s="277" t="n">
        <f aca="false">IF(arb="Y",17,IF(switch=0,RAROC!$D10,ROUND(RAROC!$E10,)))</f>
        <v>17</v>
      </c>
      <c r="Q21" s="277" t="n">
        <f aca="false">IF(arb="Y",17,IF(switch=0,RAROC!$D10,ROUND(RAROC!$E10,)))</f>
        <v>17</v>
      </c>
      <c r="R21" s="277" t="n">
        <f aca="false">IF(arb="Y",17,IF(switch=0,RAROC!$D10,ROUND(RAROC!$E10,)))</f>
        <v>17</v>
      </c>
      <c r="S21" s="277" t="n">
        <f aca="false">IF(arb="Y",17,IF(switch=0,RAROC!$D10,ROUND(RAROC!$E10,)))</f>
        <v>17</v>
      </c>
      <c r="T21" s="277" t="n">
        <f aca="false">IF(arb="Y",17,IF(switch=0,RAROC!$D10,ROUND(RAROC!$E10,)))</f>
        <v>17</v>
      </c>
      <c r="U21" s="277" t="n">
        <f aca="false">IF(arb="Y",17,IF(switch=0,RAROC!$D10,ROUND(RAROC!$E10,)))</f>
        <v>17</v>
      </c>
      <c r="V21" s="277" t="n">
        <f aca="false">IF(arb="Y",17,IF(switch=0,RAROC!$D10,ROUND(RAROC!$E10,)))</f>
        <v>17</v>
      </c>
      <c r="W21" s="277" t="n">
        <f aca="false">IF(arb="Y",17,IF(switch=0,RAROC!$D10,ROUND(RAROC!$E10,)))</f>
        <v>17</v>
      </c>
      <c r="X21" s="277" t="n">
        <f aca="false">ROUND(RAROC!$D$10/SUM(RAROC!$D$10,RAROC!$D$14)*Elba!X$23,)</f>
        <v>0</v>
      </c>
      <c r="Y21" s="277" t="n">
        <f aca="false">ROUND(RAROC!$D$10/SUM(RAROC!$D$10,RAROC!$D$14)*Elba!Y$23,)</f>
        <v>0</v>
      </c>
      <c r="Z21" s="277" t="n">
        <f aca="false">ROUND(RAROC!$D$10/SUM(RAROC!$D$10,RAROC!$D$14)*Elba!Z$23,)</f>
        <v>0</v>
      </c>
      <c r="AA21" s="278"/>
    </row>
    <row r="22" customFormat="false" ht="12.75" hidden="false" customHeight="true" outlineLevel="0" collapsed="false">
      <c r="A22" s="282" t="s">
        <v>324</v>
      </c>
      <c r="B22" s="289"/>
      <c r="C22" s="289"/>
      <c r="D22" s="283"/>
      <c r="E22" s="283" t="s">
        <v>323</v>
      </c>
      <c r="F22" s="290" t="n">
        <v>0</v>
      </c>
      <c r="G22" s="290" t="n">
        <v>0</v>
      </c>
      <c r="H22" s="290" t="n">
        <v>0</v>
      </c>
      <c r="I22" s="290" t="n">
        <v>0</v>
      </c>
      <c r="J22" s="290" t="n">
        <v>0</v>
      </c>
      <c r="K22" s="290" t="n">
        <v>0</v>
      </c>
      <c r="L22" s="290" t="n">
        <f aca="false">IF(arb="Y",7,IF(ISERROR(VLOOKUP(L$28,'Common Assumpt'!$C$66:$E$86,3)),0,VLOOKUP(L$28,'Common Assumpt'!$C$66:$E$86,3))*L$7)</f>
        <v>4</v>
      </c>
      <c r="M22" s="290" t="n">
        <f aca="false">IF(arb="Y",7,IF(ISERROR(VLOOKUP(M$28,'Common Assumpt'!$C$66:$E$86,3)),0,VLOOKUP(M$28,'Common Assumpt'!$C$66:$E$86,3))*M$7)</f>
        <v>4</v>
      </c>
      <c r="N22" s="290" t="n">
        <f aca="false">IF(arb="Y",7,IF(ISERROR(VLOOKUP(N$28,'Common Assumpt'!$C$66:$E$86,3)),0,VLOOKUP(N$28,'Common Assumpt'!$C$66:$E$86,3))*N$7)</f>
        <v>4</v>
      </c>
      <c r="O22" s="290" t="n">
        <f aca="false">IF(arb="Y",7,IF(ISERROR(VLOOKUP(O$28,'Common Assumpt'!$C$66:$E$86,3)),0,VLOOKUP(O$28,'Common Assumpt'!$C$66:$E$86,3))*O$7)</f>
        <v>5</v>
      </c>
      <c r="P22" s="290" t="n">
        <f aca="false">IF(arb="Y",7,IF(ISERROR(VLOOKUP(P$28,'Common Assumpt'!$C$66:$E$86,3)),0,VLOOKUP(P$28,'Common Assumpt'!$C$66:$E$86,3))*P$7)</f>
        <v>5</v>
      </c>
      <c r="Q22" s="290" t="n">
        <f aca="false">IF(arb="Y",7,IF(ISERROR(VLOOKUP(Q$28,'Common Assumpt'!$C$66:$E$86,3)),0,VLOOKUP(Q$28,'Common Assumpt'!$C$66:$E$86,3))*Q$7)</f>
        <v>5</v>
      </c>
      <c r="R22" s="290" t="n">
        <f aca="false">IF(arb="Y",7,IF(ISERROR(VLOOKUP(R$28,'Common Assumpt'!$C$66:$E$86,3)),0,VLOOKUP(R$28,'Common Assumpt'!$C$66:$E$86,3))*R$7)</f>
        <v>6</v>
      </c>
      <c r="S22" s="290" t="n">
        <f aca="false">IF(arb="Y",7,IF(ISERROR(VLOOKUP(S$28,'Common Assumpt'!$C$66:$E$86,3)),0,VLOOKUP(S$28,'Common Assumpt'!$C$66:$E$86,3))*S$7)</f>
        <v>6</v>
      </c>
      <c r="T22" s="290" t="n">
        <f aca="false">IF(arb="Y",7,IF(ISERROR(VLOOKUP(T$28,'Common Assumpt'!$C$66:$E$86,3)),0,VLOOKUP(T$28,'Common Assumpt'!$C$66:$E$86,3))*T$7)</f>
        <v>6</v>
      </c>
      <c r="U22" s="290" t="n">
        <f aca="false">IF(arb="Y",7,IF(ISERROR(VLOOKUP(U$28,'Common Assumpt'!$C$66:$E$86,3)),0,VLOOKUP(U$28,'Common Assumpt'!$C$66:$E$86,3))*U$7)</f>
        <v>6</v>
      </c>
      <c r="V22" s="290" t="n">
        <f aca="false">IF(arb="Y",7,IF(ISERROR(VLOOKUP(V$28,'Common Assumpt'!$C$66:$E$86,3)),0,VLOOKUP(V$28,'Common Assumpt'!$C$66:$E$86,3))*V$7)</f>
        <v>6</v>
      </c>
      <c r="W22" s="290" t="n">
        <f aca="false">IF(arb="Y",7,IF(ISERROR(VLOOKUP(W$28,'Common Assumpt'!$C$66:$E$86,3)),0,VLOOKUP(W$28,'Common Assumpt'!$C$66:$E$86,3))*W$7)</f>
        <v>6</v>
      </c>
      <c r="X22" s="290" t="n">
        <f aca="false">ROUND(RAROC!$D$14/SUM(RAROC!$D$10,RAROC!$D$14)*Elba!X$23,)</f>
        <v>0</v>
      </c>
      <c r="Y22" s="290" t="n">
        <f aca="false">ROUND(RAROC!$D$14/SUM(RAROC!$D$10,RAROC!$D$14)*Elba!Y$23,)</f>
        <v>0</v>
      </c>
      <c r="Z22" s="290" t="n">
        <f aca="false">ROUND(RAROC!$D$14/SUM(RAROC!$D$10,RAROC!$D$14)*Elba!Z$23,)</f>
        <v>0</v>
      </c>
      <c r="AA22" s="291"/>
    </row>
    <row r="23" customFormat="false" ht="12.75" hidden="false" customHeight="true" outlineLevel="0" collapsed="false">
      <c r="A23" s="275" t="s">
        <v>326</v>
      </c>
      <c r="B23" s="276"/>
      <c r="C23" s="276"/>
      <c r="D23" s="131"/>
      <c r="E23" s="131" t="s">
        <v>323</v>
      </c>
      <c r="F23" s="279" t="n">
        <v>0</v>
      </c>
      <c r="G23" s="279" t="n">
        <v>0</v>
      </c>
      <c r="H23" s="279" t="n">
        <v>0</v>
      </c>
      <c r="I23" s="279" t="n">
        <v>0</v>
      </c>
      <c r="J23" s="279" t="n">
        <v>0</v>
      </c>
      <c r="K23" s="279" t="n">
        <v>0</v>
      </c>
      <c r="L23" s="292"/>
      <c r="M23" s="292"/>
      <c r="N23" s="292"/>
      <c r="O23" s="292"/>
      <c r="P23" s="292"/>
      <c r="Q23" s="292"/>
      <c r="R23" s="292"/>
      <c r="S23" s="292"/>
      <c r="T23" s="292"/>
      <c r="U23" s="292"/>
      <c r="V23" s="292"/>
      <c r="W23" s="292"/>
      <c r="X23" s="292"/>
      <c r="Y23" s="292"/>
      <c r="Z23" s="292"/>
      <c r="AA23" s="278"/>
    </row>
    <row r="24" customFormat="false" ht="12.75" hidden="false" customHeight="true" outlineLevel="0" collapsed="false">
      <c r="A24" s="286" t="s">
        <v>327</v>
      </c>
      <c r="B24" s="271"/>
      <c r="C24" s="271"/>
      <c r="D24" s="280"/>
      <c r="E24" s="280" t="s">
        <v>328</v>
      </c>
      <c r="F24" s="147" t="n">
        <f aca="false">+F21*ML+F22*NB</f>
        <v>0</v>
      </c>
      <c r="G24" s="147" t="n">
        <f aca="false">+G21*ML+G22*NB</f>
        <v>0</v>
      </c>
      <c r="H24" s="147" t="n">
        <f aca="false">+H21*ML+H22*NB</f>
        <v>0</v>
      </c>
      <c r="I24" s="147" t="n">
        <f aca="false">+I21*ML+I22*NB</f>
        <v>0</v>
      </c>
      <c r="J24" s="147" t="n">
        <f aca="false">+J21*ML+J22*NB</f>
        <v>0</v>
      </c>
      <c r="K24" s="147" t="n">
        <f aca="false">+K21*ML+K22*NB</f>
        <v>0</v>
      </c>
      <c r="L24" s="147" t="n">
        <f aca="false">+L21*ML+L22*NB</f>
        <v>47.5505574661556</v>
      </c>
      <c r="M24" s="147" t="n">
        <f aca="false">+M21*ML+M22*NB</f>
        <v>47.5505574661556</v>
      </c>
      <c r="N24" s="147" t="n">
        <f aca="false">+N21*ML+N22*NB</f>
        <v>47.5505574661556</v>
      </c>
      <c r="O24" s="147" t="n">
        <f aca="false">+O21*ML+O22*NB</f>
        <v>50.734269846807</v>
      </c>
      <c r="P24" s="147" t="n">
        <f aca="false">+P21*ML+P22*NB</f>
        <v>50.734269846807</v>
      </c>
      <c r="Q24" s="147" t="n">
        <f aca="false">+Q21*ML+Q22*NB</f>
        <v>50.734269846807</v>
      </c>
      <c r="R24" s="147" t="n">
        <f aca="false">+R21*ML+R22*NB</f>
        <v>53.9179822274584</v>
      </c>
      <c r="S24" s="147" t="n">
        <f aca="false">+S21*ML+S22*NB</f>
        <v>53.9179822274584</v>
      </c>
      <c r="T24" s="147" t="n">
        <f aca="false">+T21*ML+T22*NB</f>
        <v>53.9179822274584</v>
      </c>
      <c r="U24" s="147" t="n">
        <f aca="false">+U21*ML+U22*NB</f>
        <v>53.9179822274584</v>
      </c>
      <c r="V24" s="147" t="n">
        <f aca="false">+V21*ML+V22*NB</f>
        <v>53.9179822274584</v>
      </c>
      <c r="W24" s="147" t="n">
        <f aca="false">+W21*ML+W22*NB</f>
        <v>53.9179822274584</v>
      </c>
      <c r="X24" s="147" t="n">
        <f aca="false">+X21*ML+X22*NB</f>
        <v>0</v>
      </c>
      <c r="Y24" s="147" t="n">
        <f aca="false">+Y21*ML+Y22*NB</f>
        <v>0</v>
      </c>
      <c r="Z24" s="147" t="n">
        <f aca="false">+Z21*ML+Z22*NB</f>
        <v>0</v>
      </c>
      <c r="AA24" s="281"/>
    </row>
    <row r="25" customFormat="false" ht="12.75" hidden="false" customHeight="true" outlineLevel="0" collapsed="false">
      <c r="A25" s="275"/>
      <c r="B25" s="276"/>
      <c r="C25" s="276"/>
      <c r="D25" s="131"/>
      <c r="E25" s="131"/>
      <c r="F25" s="279"/>
      <c r="G25" s="279"/>
      <c r="H25" s="279"/>
      <c r="I25" s="279"/>
      <c r="J25" s="279"/>
      <c r="K25" s="279"/>
      <c r="L25" s="279"/>
      <c r="M25" s="279"/>
      <c r="N25" s="279"/>
      <c r="O25" s="279"/>
      <c r="P25" s="279"/>
      <c r="Q25" s="279"/>
      <c r="R25" s="279"/>
      <c r="S25" s="279"/>
      <c r="T25" s="279"/>
      <c r="U25" s="279"/>
      <c r="V25" s="279"/>
      <c r="W25" s="279"/>
      <c r="X25" s="279"/>
      <c r="Y25" s="279"/>
      <c r="Z25" s="279"/>
      <c r="AA25" s="278"/>
    </row>
    <row r="26" customFormat="false" ht="12.75" hidden="false" customHeight="true" outlineLevel="0" collapsed="false">
      <c r="A26" s="293"/>
      <c r="B26" s="131"/>
      <c r="C26" s="131"/>
      <c r="D26" s="131"/>
      <c r="E26" s="179"/>
      <c r="F26" s="131"/>
      <c r="G26" s="131"/>
      <c r="H26" s="279"/>
      <c r="I26" s="131"/>
      <c r="J26" s="131"/>
      <c r="K26" s="131"/>
      <c r="L26" s="131"/>
      <c r="M26" s="131"/>
      <c r="N26" s="131"/>
      <c r="O26" s="131"/>
      <c r="P26" s="131"/>
      <c r="Q26" s="131"/>
      <c r="R26" s="131"/>
      <c r="S26" s="131"/>
      <c r="T26" s="131"/>
      <c r="U26" s="131"/>
      <c r="V26" s="131"/>
      <c r="W26" s="131"/>
      <c r="X26" s="131"/>
      <c r="Y26" s="131"/>
      <c r="Z26" s="131"/>
      <c r="AA26" s="288"/>
    </row>
    <row r="27" customFormat="false" ht="12.75" hidden="false" customHeight="true" outlineLevel="0" collapsed="false">
      <c r="A27" s="270" t="s">
        <v>330</v>
      </c>
      <c r="B27" s="134"/>
      <c r="C27" s="134"/>
      <c r="D27" s="294" t="n">
        <f aca="false">+'Common Assumpt'!C$4</f>
        <v>1999</v>
      </c>
      <c r="E27" s="294" t="n">
        <f aca="false">+'Common Assumpt'!D$4</f>
        <v>2000</v>
      </c>
      <c r="F27" s="294" t="n">
        <f aca="false">+'Common Assumpt'!E$4</f>
        <v>2001</v>
      </c>
      <c r="G27" s="294" t="n">
        <f aca="false">+'Common Assumpt'!F$4</f>
        <v>2002</v>
      </c>
      <c r="H27" s="294" t="n">
        <f aca="false">+'Common Assumpt'!G$4</f>
        <v>2003</v>
      </c>
      <c r="I27" s="294" t="n">
        <f aca="false">+'Common Assumpt'!H$4</f>
        <v>2004</v>
      </c>
      <c r="J27" s="294" t="n">
        <f aca="false">+'Common Assumpt'!I$4</f>
        <v>2005</v>
      </c>
      <c r="K27" s="294" t="n">
        <f aca="false">+'Common Assumpt'!J$4</f>
        <v>2006</v>
      </c>
      <c r="L27" s="294" t="n">
        <f aca="false">+'Common Assumpt'!K$4</f>
        <v>2007</v>
      </c>
      <c r="M27" s="294" t="n">
        <f aca="false">+'Common Assumpt'!L$4</f>
        <v>2008</v>
      </c>
      <c r="N27" s="294" t="n">
        <f aca="false">+'Common Assumpt'!M$4</f>
        <v>2009</v>
      </c>
      <c r="O27" s="294" t="n">
        <f aca="false">+'Common Assumpt'!N$4</f>
        <v>2010</v>
      </c>
      <c r="P27" s="294" t="n">
        <f aca="false">+'Common Assumpt'!O$4</f>
        <v>2011</v>
      </c>
      <c r="Q27" s="294" t="n">
        <f aca="false">+'Common Assumpt'!P$4</f>
        <v>2012</v>
      </c>
      <c r="R27" s="294" t="n">
        <f aca="false">+'Common Assumpt'!Q$4</f>
        <v>2013</v>
      </c>
      <c r="S27" s="294" t="n">
        <f aca="false">+'Common Assumpt'!R$4</f>
        <v>2014</v>
      </c>
      <c r="T27" s="294" t="n">
        <f aca="false">+'Common Assumpt'!S$4</f>
        <v>2015</v>
      </c>
      <c r="U27" s="294" t="n">
        <f aca="false">+'Common Assumpt'!T$4</f>
        <v>2016</v>
      </c>
      <c r="V27" s="294" t="n">
        <f aca="false">+'Common Assumpt'!U$4</f>
        <v>2017</v>
      </c>
      <c r="W27" s="294" t="n">
        <f aca="false">+'Common Assumpt'!V$4</f>
        <v>2018</v>
      </c>
      <c r="X27" s="294" t="n">
        <f aca="false">+'Common Assumpt'!W$4</f>
        <v>2019</v>
      </c>
      <c r="Y27" s="294" t="n">
        <f aca="false">+'Common Assumpt'!X$4</f>
        <v>2020</v>
      </c>
      <c r="Z27" s="294" t="n">
        <f aca="false">+'Common Assumpt'!Y$4</f>
        <v>2021</v>
      </c>
      <c r="AA27" s="295" t="n">
        <f aca="false">+'Common Assumpt'!Z$4</f>
        <v>2022</v>
      </c>
    </row>
    <row r="28" customFormat="false" ht="12.75" hidden="false" customHeight="true" outlineLevel="0" collapsed="false">
      <c r="A28" s="296" t="s">
        <v>331</v>
      </c>
      <c r="B28" s="138"/>
      <c r="C28" s="138"/>
      <c r="D28" s="143" t="n">
        <f aca="false">+'Common Assumpt'!C$5</f>
        <v>2.27583333333333</v>
      </c>
      <c r="E28" s="143" t="n">
        <f aca="false">+'Common Assumpt'!D$5</f>
        <v>2.82479178810461</v>
      </c>
      <c r="F28" s="143" t="n">
        <f aca="false">+'Common Assumpt'!E$5</f>
        <v>2.8035582543088</v>
      </c>
      <c r="G28" s="143" t="n">
        <f aca="false">+'Common Assumpt'!F$5</f>
        <v>2.74763178574304</v>
      </c>
      <c r="H28" s="143" t="n">
        <f aca="false">+'Common Assumpt'!G$5</f>
        <v>2.76441096627219</v>
      </c>
      <c r="I28" s="143" t="n">
        <f aca="false">+'Common Assumpt'!H$5</f>
        <v>2.78808565800806</v>
      </c>
      <c r="J28" s="143" t="n">
        <f aca="false">+'Common Assumpt'!I$5</f>
        <v>2.83787127895981</v>
      </c>
      <c r="K28" s="143" t="n">
        <f aca="false">+'Common Assumpt'!J$5</f>
        <v>2.91180561777492</v>
      </c>
      <c r="L28" s="143" t="n">
        <f aca="false">+'Common Assumpt'!K$5</f>
        <v>2.95927206338587</v>
      </c>
      <c r="M28" s="143" t="n">
        <f aca="false">+'Common Assumpt'!L$5</f>
        <v>3.04488395037849</v>
      </c>
      <c r="N28" s="143" t="n">
        <f aca="false">+'Common Assumpt'!M$5</f>
        <v>3.078532808518</v>
      </c>
      <c r="O28" s="143" t="n">
        <f aca="false">+'Common Assumpt'!N$5</f>
        <v>3.16349242241368</v>
      </c>
      <c r="P28" s="143" t="n">
        <f aca="false">+'Common Assumpt'!O$5</f>
        <v>3.23799337729906</v>
      </c>
      <c r="Q28" s="143" t="n">
        <f aca="false">+'Common Assumpt'!P$5</f>
        <v>3.34108462344798</v>
      </c>
      <c r="R28" s="143" t="n">
        <f aca="false">+'Common Assumpt'!Q$5</f>
        <v>3.43109196730199</v>
      </c>
      <c r="S28" s="143" t="n">
        <f aca="false">+'Common Assumpt'!R$5</f>
        <v>3.51883799932318</v>
      </c>
      <c r="T28" s="143" t="n">
        <f aca="false">+'Common Assumpt'!S$5</f>
        <v>3.62274540644442</v>
      </c>
      <c r="U28" s="143" t="n">
        <f aca="false">+'Common Assumpt'!T$5</f>
        <v>3.74817898130504</v>
      </c>
      <c r="V28" s="143" t="n">
        <f aca="false">+'Common Assumpt'!U$5</f>
        <v>3.85198409506929</v>
      </c>
      <c r="W28" s="143" t="n">
        <f aca="false">+'Common Assumpt'!V$5</f>
        <v>3.93782068261288</v>
      </c>
      <c r="X28" s="143" t="n">
        <f aca="false">+'Common Assumpt'!W$5</f>
        <v>4.07697932142449</v>
      </c>
      <c r="Y28" s="143" t="n">
        <f aca="false">+'Common Assumpt'!X$5</f>
        <v>4.07697932142449</v>
      </c>
      <c r="Z28" s="143" t="n">
        <f aca="false">+'Common Assumpt'!Y$5</f>
        <v>4.07697932142449</v>
      </c>
      <c r="AA28" s="297" t="n">
        <f aca="false">+'Common Assumpt'!Z$5</f>
        <v>4.07697932142449</v>
      </c>
    </row>
    <row r="29" customFormat="false" ht="12.75" hidden="false" customHeight="true" outlineLevel="0" collapsed="false">
      <c r="A29" s="296"/>
      <c r="B29" s="138"/>
      <c r="C29" s="138"/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3"/>
      <c r="AA29" s="297"/>
    </row>
    <row r="30" customFormat="false" ht="12.75" hidden="false" customHeight="true" outlineLevel="0" collapsed="false">
      <c r="A30" s="298" t="s">
        <v>332</v>
      </c>
      <c r="B30" s="283"/>
      <c r="C30" s="283"/>
      <c r="D30" s="299" t="n">
        <f aca="false">+'Common Assumpt'!C$7</f>
        <v>0.016318326471106</v>
      </c>
      <c r="E30" s="299" t="n">
        <f aca="false">+'Common Assumpt'!D$7</f>
        <v>0.016318326471106</v>
      </c>
      <c r="F30" s="299" t="n">
        <f aca="false">+'Common Assumpt'!E$7</f>
        <v>0.016318326471106</v>
      </c>
      <c r="G30" s="299" t="n">
        <f aca="false">+'Common Assumpt'!F$7</f>
        <v>0.016318326471106</v>
      </c>
      <c r="H30" s="299" t="n">
        <f aca="false">+'Common Assumpt'!G$7</f>
        <v>0.016318326471106</v>
      </c>
      <c r="I30" s="299" t="n">
        <f aca="false">+'Common Assumpt'!H$7</f>
        <v>0.016318326471106</v>
      </c>
      <c r="J30" s="299" t="n">
        <f aca="false">+'Common Assumpt'!I$7</f>
        <v>0.016318326471106</v>
      </c>
      <c r="K30" s="299" t="n">
        <f aca="false">+'Common Assumpt'!J$7</f>
        <v>0.016318326471106</v>
      </c>
      <c r="L30" s="299" t="n">
        <f aca="false">+'Common Assumpt'!K$7</f>
        <v>0.016318326471106</v>
      </c>
      <c r="M30" s="299" t="n">
        <f aca="false">+'Common Assumpt'!L$7</f>
        <v>0.016318326471106</v>
      </c>
      <c r="N30" s="299" t="n">
        <f aca="false">+'Common Assumpt'!M$7</f>
        <v>0.016318326471106</v>
      </c>
      <c r="O30" s="299" t="n">
        <f aca="false">+'Common Assumpt'!N$7</f>
        <v>0.016318326471106</v>
      </c>
      <c r="P30" s="299" t="n">
        <f aca="false">+'Common Assumpt'!O$7</f>
        <v>0.016318326471106</v>
      </c>
      <c r="Q30" s="299" t="n">
        <f aca="false">+'Common Assumpt'!P$7</f>
        <v>0.016318326471106</v>
      </c>
      <c r="R30" s="299" t="n">
        <f aca="false">+'Common Assumpt'!Q$7</f>
        <v>0.016318326471106</v>
      </c>
      <c r="S30" s="299" t="n">
        <f aca="false">+'Common Assumpt'!R$7</f>
        <v>0.016318326471106</v>
      </c>
      <c r="T30" s="299" t="n">
        <f aca="false">+'Common Assumpt'!S$7</f>
        <v>0.016318326471106</v>
      </c>
      <c r="U30" s="299" t="n">
        <f aca="false">+'Common Assumpt'!T$7</f>
        <v>0.016318326471106</v>
      </c>
      <c r="V30" s="299" t="n">
        <f aca="false">+'Common Assumpt'!U$7</f>
        <v>0.016318326471106</v>
      </c>
      <c r="W30" s="299" t="n">
        <f aca="false">+'Common Assumpt'!V$7</f>
        <v>0.016318326471106</v>
      </c>
      <c r="X30" s="299" t="n">
        <f aca="false">+'Common Assumpt'!W$7</f>
        <v>0.016318326471106</v>
      </c>
      <c r="Y30" s="299" t="n">
        <f aca="false">+'Common Assumpt'!X$7</f>
        <v>0.016318326471106</v>
      </c>
      <c r="Z30" s="299" t="n">
        <f aca="false">+'Common Assumpt'!Y$7</f>
        <v>0.016318326471106</v>
      </c>
      <c r="AA30" s="300" t="n">
        <f aca="false">+'Common Assumpt'!Z$7</f>
        <v>0.016318326471106</v>
      </c>
    </row>
    <row r="31" customFormat="false" ht="12.75" hidden="false" customHeight="true" outlineLevel="0" collapsed="false">
      <c r="A31" s="301" t="s">
        <v>333</v>
      </c>
      <c r="B31" s="140"/>
      <c r="C31" s="140"/>
      <c r="D31" s="302" t="n">
        <f aca="false">+D28+D30</f>
        <v>2.29215165980444</v>
      </c>
      <c r="E31" s="302" t="n">
        <f aca="false">+E28+E30</f>
        <v>2.84111011457571</v>
      </c>
      <c r="F31" s="302" t="n">
        <f aca="false">+F28+F30</f>
        <v>2.81987658077991</v>
      </c>
      <c r="G31" s="302" t="n">
        <f aca="false">+G28+G30</f>
        <v>2.76395011221415</v>
      </c>
      <c r="H31" s="302" t="n">
        <f aca="false">+H28+H30</f>
        <v>2.7807292927433</v>
      </c>
      <c r="I31" s="302" t="n">
        <f aca="false">+I28+I30</f>
        <v>2.80440398447917</v>
      </c>
      <c r="J31" s="302" t="n">
        <f aca="false">+J28+J30</f>
        <v>2.85418960543091</v>
      </c>
      <c r="K31" s="302" t="n">
        <f aca="false">+K28+K30</f>
        <v>2.92812394424603</v>
      </c>
      <c r="L31" s="302" t="n">
        <f aca="false">+L28+L30</f>
        <v>2.97559038985697</v>
      </c>
      <c r="M31" s="302" t="n">
        <f aca="false">+M28+M30</f>
        <v>3.0612022768496</v>
      </c>
      <c r="N31" s="302" t="n">
        <f aca="false">+N28+N30</f>
        <v>3.09485113498911</v>
      </c>
      <c r="O31" s="302" t="n">
        <f aca="false">+O28+O30</f>
        <v>3.17981074888479</v>
      </c>
      <c r="P31" s="302" t="n">
        <f aca="false">+P28+P30</f>
        <v>3.25431170377016</v>
      </c>
      <c r="Q31" s="302" t="n">
        <f aca="false">+Q28+Q30</f>
        <v>3.35740294991909</v>
      </c>
      <c r="R31" s="302" t="n">
        <f aca="false">+R28+R30</f>
        <v>3.4474102937731</v>
      </c>
      <c r="S31" s="302" t="n">
        <f aca="false">+S28+S30</f>
        <v>3.53515632579428</v>
      </c>
      <c r="T31" s="302" t="n">
        <f aca="false">+T28+T30</f>
        <v>3.63906373291553</v>
      </c>
      <c r="U31" s="302" t="n">
        <f aca="false">+U28+U30</f>
        <v>3.76449730777615</v>
      </c>
      <c r="V31" s="302" t="n">
        <f aca="false">+V28+V30</f>
        <v>3.8683024215404</v>
      </c>
      <c r="W31" s="302" t="n">
        <f aca="false">+W28+W30</f>
        <v>3.95413900908398</v>
      </c>
      <c r="X31" s="302" t="n">
        <f aca="false">+X28+X30</f>
        <v>4.0932976478956</v>
      </c>
      <c r="Y31" s="302" t="n">
        <f aca="false">+Y28+Y30</f>
        <v>4.0932976478956</v>
      </c>
      <c r="Z31" s="302" t="n">
        <f aca="false">+Z28+Z30</f>
        <v>4.0932976478956</v>
      </c>
      <c r="AA31" s="303" t="n">
        <f aca="false">+AA28+AA30</f>
        <v>4.0932976478956</v>
      </c>
    </row>
    <row r="32" customFormat="false" ht="12.75" hidden="false" customHeight="true" outlineLevel="0" collapsed="false">
      <c r="A32" s="304"/>
      <c r="B32" s="140"/>
      <c r="C32" s="140"/>
      <c r="D32" s="302"/>
      <c r="E32" s="302"/>
      <c r="F32" s="302"/>
      <c r="G32" s="302"/>
      <c r="H32" s="302"/>
      <c r="I32" s="302"/>
      <c r="J32" s="302"/>
      <c r="K32" s="302"/>
      <c r="L32" s="302"/>
      <c r="M32" s="302"/>
      <c r="N32" s="302"/>
      <c r="O32" s="302"/>
      <c r="P32" s="302"/>
      <c r="Q32" s="302"/>
      <c r="R32" s="302"/>
      <c r="S32" s="302"/>
      <c r="T32" s="302"/>
      <c r="U32" s="302"/>
      <c r="V32" s="302"/>
      <c r="W32" s="302"/>
      <c r="X32" s="302"/>
      <c r="Y32" s="302"/>
      <c r="Z32" s="302"/>
      <c r="AA32" s="303"/>
    </row>
    <row r="33" customFormat="false" ht="12.75" hidden="false" customHeight="true" outlineLevel="0" collapsed="false">
      <c r="A33" s="298" t="s">
        <v>334</v>
      </c>
      <c r="B33" s="283"/>
      <c r="C33" s="283"/>
      <c r="D33" s="299" t="n">
        <f aca="false">+'Common Assumpt'!C$6</f>
        <v>-0.07</v>
      </c>
      <c r="E33" s="299" t="n">
        <f aca="false">+'Common Assumpt'!D$6</f>
        <v>-0.07</v>
      </c>
      <c r="F33" s="299" t="n">
        <f aca="false">+'Common Assumpt'!E$6</f>
        <v>-0.07</v>
      </c>
      <c r="G33" s="299" t="n">
        <f aca="false">+'Common Assumpt'!F$6</f>
        <v>-0.07</v>
      </c>
      <c r="H33" s="299" t="n">
        <f aca="false">+'Common Assumpt'!G$6</f>
        <v>-0.07</v>
      </c>
      <c r="I33" s="299" t="n">
        <f aca="false">+'Common Assumpt'!H$6</f>
        <v>-0.07</v>
      </c>
      <c r="J33" s="299" t="n">
        <f aca="false">+'Common Assumpt'!I$6</f>
        <v>-0.07</v>
      </c>
      <c r="K33" s="299" t="n">
        <f aca="false">+'Common Assumpt'!J$6</f>
        <v>-0.07</v>
      </c>
      <c r="L33" s="299" t="n">
        <f aca="false">+'Common Assumpt'!K$6</f>
        <v>-0.07</v>
      </c>
      <c r="M33" s="299" t="n">
        <f aca="false">+'Common Assumpt'!L$6</f>
        <v>-0.07</v>
      </c>
      <c r="N33" s="299" t="n">
        <f aca="false">+'Common Assumpt'!M$6</f>
        <v>-0.07</v>
      </c>
      <c r="O33" s="299" t="n">
        <f aca="false">+'Common Assumpt'!N$6</f>
        <v>-0.07</v>
      </c>
      <c r="P33" s="299" t="n">
        <f aca="false">+'Common Assumpt'!O$6</f>
        <v>-0.07</v>
      </c>
      <c r="Q33" s="299" t="n">
        <f aca="false">+'Common Assumpt'!P$6</f>
        <v>-0.07</v>
      </c>
      <c r="R33" s="299" t="n">
        <f aca="false">+'Common Assumpt'!Q$6</f>
        <v>-0.07</v>
      </c>
      <c r="S33" s="299" t="n">
        <f aca="false">+'Common Assumpt'!R$6</f>
        <v>-0.07</v>
      </c>
      <c r="T33" s="299" t="n">
        <f aca="false">+'Common Assumpt'!S$6</f>
        <v>-0.07</v>
      </c>
      <c r="U33" s="299" t="n">
        <f aca="false">+'Common Assumpt'!T$6</f>
        <v>-0.07</v>
      </c>
      <c r="V33" s="299" t="n">
        <f aca="false">+'Common Assumpt'!U$6</f>
        <v>-0.07</v>
      </c>
      <c r="W33" s="299" t="n">
        <f aca="false">+'Common Assumpt'!V$6</f>
        <v>-0.07</v>
      </c>
      <c r="X33" s="299" t="n">
        <f aca="false">+'Common Assumpt'!W$6</f>
        <v>-0.07</v>
      </c>
      <c r="Y33" s="299" t="n">
        <f aca="false">+'Common Assumpt'!X$6</f>
        <v>-0.07</v>
      </c>
      <c r="Z33" s="299" t="n">
        <f aca="false">+'Common Assumpt'!Y$6</f>
        <v>-0.07</v>
      </c>
      <c r="AA33" s="300" t="n">
        <f aca="false">+'Common Assumpt'!Z$6</f>
        <v>-0.07</v>
      </c>
    </row>
    <row r="34" customFormat="false" ht="12.75" hidden="false" customHeight="true" outlineLevel="0" collapsed="false">
      <c r="A34" s="301" t="s">
        <v>335</v>
      </c>
      <c r="B34" s="140"/>
      <c r="C34" s="140"/>
      <c r="D34" s="302" t="n">
        <f aca="false">+D28+D33</f>
        <v>2.20583333333333</v>
      </c>
      <c r="E34" s="302" t="n">
        <f aca="false">+E28+E33</f>
        <v>2.75479178810461</v>
      </c>
      <c r="F34" s="302" t="n">
        <f aca="false">+F28+F33</f>
        <v>2.7335582543088</v>
      </c>
      <c r="G34" s="302" t="n">
        <f aca="false">+G28+G33</f>
        <v>2.67763178574304</v>
      </c>
      <c r="H34" s="302" t="n">
        <f aca="false">+H28+H33</f>
        <v>2.69441096627219</v>
      </c>
      <c r="I34" s="302" t="n">
        <f aca="false">+I28+I33</f>
        <v>2.71808565800806</v>
      </c>
      <c r="J34" s="302" t="n">
        <f aca="false">+J28+J33</f>
        <v>2.76787127895981</v>
      </c>
      <c r="K34" s="302" t="n">
        <f aca="false">+K28+K33</f>
        <v>2.84180561777492</v>
      </c>
      <c r="L34" s="302" t="n">
        <f aca="false">+L28+L33</f>
        <v>2.88927206338587</v>
      </c>
      <c r="M34" s="302" t="n">
        <f aca="false">+M28+M33</f>
        <v>2.97488395037849</v>
      </c>
      <c r="N34" s="302" t="n">
        <f aca="false">+N28+N33</f>
        <v>3.008532808518</v>
      </c>
      <c r="O34" s="302" t="n">
        <f aca="false">+O28+O33</f>
        <v>3.09349242241368</v>
      </c>
      <c r="P34" s="302" t="n">
        <f aca="false">+P28+P33</f>
        <v>3.16799337729906</v>
      </c>
      <c r="Q34" s="302" t="n">
        <f aca="false">+Q28+Q33</f>
        <v>3.27108462344798</v>
      </c>
      <c r="R34" s="302" t="n">
        <f aca="false">+R28+R33</f>
        <v>3.36109196730199</v>
      </c>
      <c r="S34" s="302" t="n">
        <f aca="false">+S28+S33</f>
        <v>3.44883799932318</v>
      </c>
      <c r="T34" s="302" t="n">
        <f aca="false">+T28+T33</f>
        <v>3.55274540644442</v>
      </c>
      <c r="U34" s="302" t="n">
        <f aca="false">+U28+U33</f>
        <v>3.67817898130504</v>
      </c>
      <c r="V34" s="302" t="n">
        <f aca="false">+V28+V33</f>
        <v>3.78198409506929</v>
      </c>
      <c r="W34" s="302" t="n">
        <f aca="false">+W28+W33</f>
        <v>3.86782068261288</v>
      </c>
      <c r="X34" s="302" t="n">
        <f aca="false">+X28+X33</f>
        <v>4.00697932142449</v>
      </c>
      <c r="Y34" s="302" t="n">
        <f aca="false">+Y28+Y33</f>
        <v>4.00697932142449</v>
      </c>
      <c r="Z34" s="302" t="n">
        <f aca="false">+Z28+Z33</f>
        <v>4.00697932142449</v>
      </c>
      <c r="AA34" s="303" t="n">
        <f aca="false">+AA28+AA33</f>
        <v>4.00697932142449</v>
      </c>
    </row>
    <row r="35" customFormat="false" ht="12.75" hidden="false" customHeight="true" outlineLevel="0" collapsed="false">
      <c r="A35" s="301"/>
      <c r="B35" s="140"/>
      <c r="C35" s="140"/>
      <c r="D35" s="302"/>
      <c r="E35" s="302"/>
      <c r="F35" s="302"/>
      <c r="G35" s="302"/>
      <c r="H35" s="302"/>
      <c r="I35" s="302"/>
      <c r="J35" s="302"/>
      <c r="K35" s="302"/>
      <c r="L35" s="302"/>
      <c r="M35" s="302"/>
      <c r="N35" s="302"/>
      <c r="O35" s="302"/>
      <c r="P35" s="302"/>
      <c r="Q35" s="302"/>
      <c r="R35" s="302"/>
      <c r="S35" s="302"/>
      <c r="T35" s="302"/>
      <c r="U35" s="302"/>
      <c r="V35" s="302"/>
      <c r="W35" s="302"/>
      <c r="X35" s="302"/>
      <c r="Y35" s="302"/>
      <c r="Z35" s="302"/>
      <c r="AA35" s="303"/>
    </row>
    <row r="36" customFormat="false" ht="12.75" hidden="false" customHeight="true" outlineLevel="0" collapsed="false">
      <c r="A36" s="301" t="s">
        <v>336</v>
      </c>
      <c r="B36" s="140"/>
      <c r="C36" s="140"/>
      <c r="D36" s="302" t="n">
        <f aca="false">+D30-D33</f>
        <v>0.086318326471106</v>
      </c>
      <c r="E36" s="302" t="n">
        <f aca="false">+E30-E33</f>
        <v>0.086318326471106</v>
      </c>
      <c r="F36" s="302" t="n">
        <f aca="false">+F30-F33</f>
        <v>0.086318326471106</v>
      </c>
      <c r="G36" s="302" t="n">
        <f aca="false">+G30-G33</f>
        <v>0.086318326471106</v>
      </c>
      <c r="H36" s="302" t="n">
        <f aca="false">+H30-H33</f>
        <v>0.086318326471106</v>
      </c>
      <c r="I36" s="302" t="n">
        <f aca="false">+I30-I33</f>
        <v>0.086318326471106</v>
      </c>
      <c r="J36" s="302" t="n">
        <f aca="false">+J30-J33</f>
        <v>0.086318326471106</v>
      </c>
      <c r="K36" s="302" t="n">
        <f aca="false">+K30-K33</f>
        <v>0.086318326471106</v>
      </c>
      <c r="L36" s="302" t="n">
        <f aca="false">+L30-L33</f>
        <v>0.086318326471106</v>
      </c>
      <c r="M36" s="302" t="n">
        <f aca="false">+M30-M33</f>
        <v>0.086318326471106</v>
      </c>
      <c r="N36" s="302" t="n">
        <f aca="false">+N30-N33</f>
        <v>0.086318326471106</v>
      </c>
      <c r="O36" s="302" t="n">
        <f aca="false">+O30-O33</f>
        <v>0.086318326471106</v>
      </c>
      <c r="P36" s="302" t="n">
        <f aca="false">+P30-P33</f>
        <v>0.086318326471106</v>
      </c>
      <c r="Q36" s="302" t="n">
        <f aca="false">+Q30-Q33</f>
        <v>0.086318326471106</v>
      </c>
      <c r="R36" s="302" t="n">
        <f aca="false">+R30-R33</f>
        <v>0.086318326471106</v>
      </c>
      <c r="S36" s="302" t="n">
        <f aca="false">+S30-S33</f>
        <v>0.086318326471106</v>
      </c>
      <c r="T36" s="302" t="n">
        <f aca="false">+T30-T33</f>
        <v>0.086318326471106</v>
      </c>
      <c r="U36" s="302" t="n">
        <f aca="false">+U30-U33</f>
        <v>0.086318326471106</v>
      </c>
      <c r="V36" s="302" t="n">
        <f aca="false">+V30-V33</f>
        <v>0.086318326471106</v>
      </c>
      <c r="W36" s="302" t="n">
        <f aca="false">+W30-W33</f>
        <v>0.086318326471106</v>
      </c>
      <c r="X36" s="302" t="n">
        <f aca="false">+X30-X33</f>
        <v>0.086318326471106</v>
      </c>
      <c r="Y36" s="302" t="n">
        <f aca="false">+Y30-Y33</f>
        <v>0.086318326471106</v>
      </c>
      <c r="Z36" s="302" t="n">
        <f aca="false">+Z30-Z33</f>
        <v>0.086318326471106</v>
      </c>
      <c r="AA36" s="303" t="n">
        <f aca="false">+AA30-AA33</f>
        <v>0.086318326471106</v>
      </c>
    </row>
    <row r="37" customFormat="false" ht="13.5" hidden="false" customHeight="true" outlineLevel="0" collapsed="false">
      <c r="A37" s="305"/>
      <c r="B37" s="306"/>
      <c r="C37" s="306"/>
      <c r="D37" s="307"/>
      <c r="E37" s="307"/>
      <c r="F37" s="307"/>
      <c r="G37" s="307"/>
      <c r="H37" s="307"/>
      <c r="I37" s="307"/>
      <c r="J37" s="307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7"/>
      <c r="W37" s="307"/>
      <c r="X37" s="307"/>
      <c r="Y37" s="307"/>
      <c r="Z37" s="307"/>
      <c r="AA37" s="308"/>
    </row>
    <row r="38" customFormat="false" ht="12.75" hidden="false" customHeight="true" outlineLevel="0" collapsed="false">
      <c r="A38" s="131"/>
      <c r="B38" s="131"/>
      <c r="C38" s="131"/>
      <c r="D38" s="131"/>
      <c r="E38" s="131"/>
      <c r="F38" s="131"/>
      <c r="G38" s="131"/>
      <c r="H38" s="131"/>
      <c r="I38" s="131"/>
      <c r="J38" s="131"/>
      <c r="K38" s="131"/>
      <c r="L38" s="131"/>
      <c r="M38" s="131"/>
      <c r="N38" s="131"/>
      <c r="O38" s="131"/>
      <c r="P38" s="131"/>
      <c r="Q38" s="131"/>
      <c r="R38" s="131"/>
      <c r="S38" s="131"/>
      <c r="T38" s="131"/>
      <c r="U38" s="131"/>
      <c r="V38" s="131"/>
      <c r="W38" s="131"/>
      <c r="X38" s="131"/>
      <c r="Y38" s="131"/>
      <c r="Z38" s="131"/>
      <c r="AA38" s="131"/>
    </row>
    <row r="39" customFormat="false" ht="12.75" hidden="false" customHeight="true" outlineLevel="0" collapsed="false">
      <c r="A39" s="309" t="s">
        <v>337</v>
      </c>
      <c r="B39" s="310"/>
      <c r="C39" s="310"/>
      <c r="D39" s="310"/>
      <c r="E39" s="310"/>
      <c r="F39" s="310"/>
      <c r="G39" s="310"/>
      <c r="H39" s="310"/>
      <c r="I39" s="310"/>
      <c r="J39" s="310"/>
      <c r="K39" s="310"/>
      <c r="L39" s="310"/>
      <c r="M39" s="310"/>
      <c r="N39" s="310"/>
      <c r="O39" s="310"/>
      <c r="P39" s="310"/>
      <c r="Q39" s="310"/>
      <c r="R39" s="310"/>
      <c r="S39" s="310"/>
      <c r="T39" s="310"/>
      <c r="U39" s="310"/>
      <c r="V39" s="310"/>
      <c r="W39" s="310"/>
      <c r="X39" s="310"/>
      <c r="Y39" s="310"/>
      <c r="Z39" s="310"/>
      <c r="AA39" s="311"/>
    </row>
    <row r="40" customFormat="false" ht="12.75" hidden="false" customHeight="true" outlineLevel="0" collapsed="false">
      <c r="A40" s="312"/>
      <c r="B40" s="313"/>
      <c r="C40" s="313"/>
      <c r="D40" s="313"/>
      <c r="E40" s="313"/>
      <c r="F40" s="313"/>
      <c r="G40" s="313"/>
      <c r="H40" s="313"/>
      <c r="I40" s="313"/>
      <c r="J40" s="313"/>
      <c r="K40" s="313"/>
      <c r="L40" s="313"/>
      <c r="M40" s="313"/>
      <c r="N40" s="313"/>
      <c r="O40" s="313"/>
      <c r="P40" s="313"/>
      <c r="Q40" s="313"/>
      <c r="R40" s="313"/>
      <c r="S40" s="313"/>
      <c r="T40" s="313"/>
      <c r="U40" s="313"/>
      <c r="V40" s="313"/>
      <c r="W40" s="313"/>
      <c r="X40" s="313"/>
      <c r="Y40" s="313"/>
      <c r="Z40" s="313"/>
      <c r="AA40" s="314"/>
    </row>
    <row r="41" customFormat="false" ht="12.75" hidden="false" customHeight="true" outlineLevel="0" collapsed="false">
      <c r="A41" s="315" t="s">
        <v>338</v>
      </c>
      <c r="B41" s="316"/>
      <c r="C41" s="316"/>
      <c r="D41" s="317" t="n">
        <f aca="false">'Common Assumpt'!$G$43</f>
        <v>5.57121260452608</v>
      </c>
      <c r="E41" s="318" t="n">
        <f aca="false">+D41*(1+HLOOKUP(E$4,USInf97!$M$2:$AY$3,2)*'Common Assumpt'!$D$38)</f>
        <v>5.65651070260326</v>
      </c>
      <c r="F41" s="318" t="n">
        <f aca="false">+E41*(1+HLOOKUP(F$4,USInf97!$M$2:$AY$3,2)*'Common Assumpt'!$D$38)</f>
        <v>5.74912421844436</v>
      </c>
      <c r="G41" s="318" t="n">
        <f aca="false">+F41*(1+HLOOKUP(G$4,USInf97!$M$2:$AY$3,2)*'Common Assumpt'!$D$38)</f>
        <v>5.83644488770031</v>
      </c>
      <c r="H41" s="318" t="n">
        <f aca="false">+G41*(1+HLOOKUP(H$4,USInf97!$M$2:$AY$3,2)*'Common Assumpt'!$D$38)</f>
        <v>5.92218051468822</v>
      </c>
      <c r="I41" s="318" t="n">
        <f aca="false">+H41*(1+HLOOKUP(I$4,USInf97!$M$2:$AY$3,2)*'Common Assumpt'!$D$38)</f>
        <v>6.00702164477189</v>
      </c>
      <c r="J41" s="318" t="n">
        <f aca="false">+I41*(1+HLOOKUP(J$4,USInf97!$M$2:$AY$3,2)*'Common Assumpt'!$D$38)</f>
        <v>6.09158000844068</v>
      </c>
      <c r="K41" s="318" t="n">
        <f aca="false">+J41*(1+HLOOKUP(K$4,USInf97!$M$2:$AY$3,2)*'Common Assumpt'!$D$38)</f>
        <v>6.17531555886288</v>
      </c>
      <c r="L41" s="318" t="n">
        <f aca="false">+K41*(1+HLOOKUP(L$4,USInf97!$M$2:$AY$3,2)*'Common Assumpt'!$D$38)</f>
        <v>6.25823847430198</v>
      </c>
      <c r="M41" s="318" t="n">
        <f aca="false">+L41*(1+HLOOKUP(M$4,USInf97!$M$2:$AY$3,2)*'Common Assumpt'!$D$38)</f>
        <v>6.34071403353439</v>
      </c>
      <c r="N41" s="318" t="n">
        <f aca="false">+M41*(1+HLOOKUP(N$4,USInf97!$M$2:$AY$3,2)*'Common Assumpt'!$D$38)</f>
        <v>6.42286642184526</v>
      </c>
      <c r="O41" s="318" t="n">
        <f aca="false">+N41*(1+HLOOKUP(O$4,USInf97!$M$2:$AY$3,2)*'Common Assumpt'!$D$38)</f>
        <v>6.50480167158672</v>
      </c>
      <c r="P41" s="318" t="n">
        <f aca="false">+O41*(1+HLOOKUP(P$4,USInf97!$M$2:$AY$3,2)*'Common Assumpt'!$D$38)</f>
        <v>6.58683579790375</v>
      </c>
      <c r="Q41" s="318" t="n">
        <f aca="false">+P41*(1+HLOOKUP(Q$4,USInf97!$M$2:$AY$3,2)*'Common Assumpt'!$D$38)</f>
        <v>6.66924735856602</v>
      </c>
      <c r="R41" s="318" t="n">
        <f aca="false">+Q41*(1+HLOOKUP(R$4,USInf97!$M$2:$AY$3,2)*'Common Assumpt'!$D$38)</f>
        <v>6.75292565262261</v>
      </c>
      <c r="S41" s="318" t="n">
        <f aca="false">+R41*(1+HLOOKUP(S$4,USInf97!$M$2:$AY$3,2)*'Common Assumpt'!$D$38)</f>
        <v>6.83884683875745</v>
      </c>
      <c r="T41" s="318" t="n">
        <f aca="false">+S41*(1+HLOOKUP(T$4,USInf97!$M$2:$AY$3,2)*'Common Assumpt'!$D$38)</f>
        <v>6.92722577859083</v>
      </c>
      <c r="U41" s="318" t="n">
        <f aca="false">+T41*(1+HLOOKUP(U$4,USInf97!$M$2:$AY$3,2)*'Common Assumpt'!$D$38)</f>
        <v>7.01850331989074</v>
      </c>
      <c r="V41" s="318" t="n">
        <f aca="false">+U41*(1+HLOOKUP(V$4,USInf97!$M$2:$AY$3,2)*'Common Assumpt'!$D$38)</f>
        <v>7.11270491773067</v>
      </c>
      <c r="W41" s="318" t="n">
        <f aca="false">+V41*(1+HLOOKUP(W$4,USInf97!$M$2:$AY$3,2)*'Common Assumpt'!$D$38)</f>
        <v>7.20939788275598</v>
      </c>
      <c r="X41" s="318" t="n">
        <f aca="false">+W41*(1+HLOOKUP(X$4,USInf97!$M$2:$AY$3,2)*'Common Assumpt'!$D$38)</f>
        <v>7.30945806191713</v>
      </c>
      <c r="Y41" s="318" t="n">
        <f aca="false">+X41*(1+HLOOKUP(Y$4,USInf97!$M$2:$AY$3,2)*'Common Assumpt'!$D$38)</f>
        <v>7.41382385072124</v>
      </c>
      <c r="Z41" s="318" t="n">
        <f aca="false">+Y41*(1+HLOOKUP(Z$4,USInf97!$M$2:$AY$3,2)*'Common Assumpt'!$D$38)</f>
        <v>7.52404027291233</v>
      </c>
      <c r="AA41" s="319" t="n">
        <f aca="false">+Z41*(1+HLOOKUP(AA$4,USInf97!$M$2:$AY$3,2)*'Common Assumpt'!$D$38)</f>
        <v>7.63969552244714</v>
      </c>
    </row>
    <row r="42" customFormat="false" ht="12.75" hidden="false" customHeight="true" outlineLevel="0" collapsed="false">
      <c r="A42" s="315" t="s">
        <v>339</v>
      </c>
      <c r="B42" s="316"/>
      <c r="C42" s="316"/>
      <c r="D42" s="317" t="n">
        <f aca="false">'Common Assumpt'!$G$44*IF(arb="y",0,1)</f>
        <v>0.0265196692497692</v>
      </c>
      <c r="E42" s="318" t="n">
        <f aca="false">+D42*(1+HLOOKUP(E$4,USInf97!$M$2:$AY$3,2)*'Common Assumpt'!$D$38)</f>
        <v>0.0269256988719028</v>
      </c>
      <c r="F42" s="318" t="n">
        <f aca="false">+E42*(1+HLOOKUP(F$4,USInf97!$M$2:$AY$3,2)*'Common Assumpt'!$D$38)</f>
        <v>0.0273665507981367</v>
      </c>
      <c r="G42" s="318" t="n">
        <f aca="false">+F42*(1+HLOOKUP(G$4,USInf97!$M$2:$AY$3,2)*'Common Assumpt'!$D$38)</f>
        <v>0.0277822081122114</v>
      </c>
      <c r="H42" s="318" t="n">
        <f aca="false">+G42*(1+HLOOKUP(H$4,USInf97!$M$2:$AY$3,2)*'Common Assumpt'!$D$38)</f>
        <v>0.0281903204267179</v>
      </c>
      <c r="I42" s="318" t="n">
        <f aca="false">+H42*(1+HLOOKUP(I$4,USInf97!$M$2:$AY$3,2)*'Common Assumpt'!$D$38)</f>
        <v>0.0285941748240115</v>
      </c>
      <c r="J42" s="318" t="n">
        <f aca="false">+I42*(1+HLOOKUP(J$4,USInf97!$M$2:$AY$3,2)*'Common Assumpt'!$D$38)</f>
        <v>0.0289966832177814</v>
      </c>
      <c r="K42" s="318" t="n">
        <f aca="false">+J42*(1+HLOOKUP(K$4,USInf97!$M$2:$AY$3,2)*'Common Assumpt'!$D$38)</f>
        <v>0.0293952749175201</v>
      </c>
      <c r="L42" s="318" t="n">
        <f aca="false">+K42*(1+HLOOKUP(L$4,USInf97!$M$2:$AY$3,2)*'Common Assumpt'!$D$38)</f>
        <v>0.0297899983730359</v>
      </c>
      <c r="M42" s="318" t="n">
        <f aca="false">+L42*(1+HLOOKUP(M$4,USInf97!$M$2:$AY$3,2)*'Common Assumpt'!$D$38)</f>
        <v>0.03018259235702</v>
      </c>
      <c r="N42" s="318" t="n">
        <f aca="false">+M42*(1+HLOOKUP(N$4,USInf97!$M$2:$AY$3,2)*'Common Assumpt'!$D$38)</f>
        <v>0.0305736480069718</v>
      </c>
      <c r="O42" s="318" t="n">
        <f aca="false">+N42*(1+HLOOKUP(O$4,USInf97!$M$2:$AY$3,2)*'Common Assumpt'!$D$38)</f>
        <v>0.0309636700501578</v>
      </c>
      <c r="P42" s="318" t="n">
        <f aca="false">+O42*(1+HLOOKUP(P$4,USInf97!$M$2:$AY$3,2)*'Common Assumpt'!$D$38)</f>
        <v>0.0313541627582182</v>
      </c>
      <c r="Q42" s="318" t="n">
        <f aca="false">+P42*(1+HLOOKUP(Q$4,USInf97!$M$2:$AY$3,2)*'Common Assumpt'!$D$38)</f>
        <v>0.0317464521009988</v>
      </c>
      <c r="R42" s="318" t="n">
        <f aca="false">+Q42*(1+HLOOKUP(R$4,USInf97!$M$2:$AY$3,2)*'Common Assumpt'!$D$38)</f>
        <v>0.0321447712532715</v>
      </c>
      <c r="S42" s="318" t="n">
        <f aca="false">+R42*(1+HLOOKUP(S$4,USInf97!$M$2:$AY$3,2)*'Common Assumpt'!$D$38)</f>
        <v>0.0325537668525406</v>
      </c>
      <c r="T42" s="318" t="n">
        <f aca="false">+S42*(1+HLOOKUP(T$4,USInf97!$M$2:$AY$3,2)*'Common Assumpt'!$D$38)</f>
        <v>0.0329744616670092</v>
      </c>
      <c r="U42" s="318" t="n">
        <f aca="false">+T42*(1+HLOOKUP(U$4,USInf97!$M$2:$AY$3,2)*'Common Assumpt'!$D$38)</f>
        <v>0.0334089541872263</v>
      </c>
      <c r="V42" s="318" t="n">
        <f aca="false">+U42*(1+HLOOKUP(V$4,USInf97!$M$2:$AY$3,2)*'Common Assumpt'!$D$38)</f>
        <v>0.0338573655825275</v>
      </c>
      <c r="W42" s="318" t="n">
        <f aca="false">+V42*(1+HLOOKUP(W$4,USInf97!$M$2:$AY$3,2)*'Common Assumpt'!$D$38)</f>
        <v>0.0343176361974323</v>
      </c>
      <c r="X42" s="318" t="n">
        <f aca="false">+W42*(1+HLOOKUP(X$4,USInf97!$M$2:$AY$3,2)*'Common Assumpt'!$D$38)</f>
        <v>0.0347939351730396</v>
      </c>
      <c r="Y42" s="318" t="n">
        <f aca="false">+X42*(1+HLOOKUP(Y$4,USInf97!$M$2:$AY$3,2)*'Common Assumpt'!$D$38)</f>
        <v>0.0352907293894061</v>
      </c>
      <c r="Z42" s="318" t="n">
        <f aca="false">+Y42*(1+HLOOKUP(Z$4,USInf97!$M$2:$AY$3,2)*'Common Assumpt'!$D$38)</f>
        <v>0.035815373352917</v>
      </c>
      <c r="AA42" s="319" t="n">
        <f aca="false">+Z42*(1+HLOOKUP(AA$4,USInf97!$M$2:$AY$3,2)*'Common Assumpt'!$D$38)</f>
        <v>0.0363659068152679</v>
      </c>
    </row>
    <row r="43" customFormat="false" ht="12.75" hidden="false" customHeight="true" outlineLevel="0" collapsed="false">
      <c r="A43" s="315" t="s">
        <v>340</v>
      </c>
      <c r="B43" s="316"/>
      <c r="C43" s="316"/>
      <c r="D43" s="317" t="n">
        <f aca="false">'Common Assumpt'!$H$51*IF(arb="y",0,1)</f>
        <v>1.00108216154505</v>
      </c>
      <c r="E43" s="320" t="n">
        <f aca="false">D$43*(1+HLOOKUP(E$27,USInf97!$M$2:$AY$3,2)*'Common Assumpt'!$M$51)</f>
        <v>1.01642105878999</v>
      </c>
      <c r="F43" s="318" t="n">
        <f aca="false">E$43*(1+HLOOKUP(F$27,USInf97!$M$2:$AY$3,2)*'Common Assumpt'!$M$51)</f>
        <v>1.03307565901751</v>
      </c>
      <c r="G43" s="318" t="n">
        <f aca="false">F$43*(1+HLOOKUP(G$27,USInf97!$M$2:$AY$3,2)*'Common Assumpt'!$M$51)</f>
        <v>1.04877864677375</v>
      </c>
      <c r="H43" s="318" t="n">
        <f aca="false">G$43*(1+HLOOKUP(H$27,USInf97!$M$2:$AY$3,2)*'Common Assumpt'!$M$51)</f>
        <v>1.06419677224438</v>
      </c>
      <c r="I43" s="318" t="n">
        <f aca="false">H$43*(1+HLOOKUP(I$27,USInf97!$M$2:$AY$3,2)*'Common Assumpt'!$M$51)</f>
        <v>1.07945420767854</v>
      </c>
      <c r="J43" s="318" t="n">
        <f aca="false">I$43*(1+HLOOKUP(J$27,USInf97!$M$2:$AY$3,2)*'Common Assumpt'!$M$51)</f>
        <v>1.09466095734495</v>
      </c>
      <c r="K43" s="318" t="n">
        <f aca="false">J$43*(1+HLOOKUP(K$27,USInf97!$M$2:$AY$3,2)*'Common Assumpt'!$M$51)</f>
        <v>1.10971989568793</v>
      </c>
      <c r="L43" s="318" t="n">
        <f aca="false">K$43*(1+HLOOKUP(L$27,USInf97!$M$2:$AY$3,2)*'Common Assumpt'!$M$51)</f>
        <v>1.12463284631476</v>
      </c>
      <c r="M43" s="318" t="n">
        <f aca="false">L$43*(1+HLOOKUP(M$27,USInf97!$M$2:$AY$3,2)*'Common Assumpt'!$M$51)</f>
        <v>1.139465495464</v>
      </c>
      <c r="N43" s="318" t="n">
        <f aca="false">M$43*(1+HLOOKUP(N$27,USInf97!$M$2:$AY$3,2)*'Common Assumpt'!$M$51)</f>
        <v>1.15424017280348</v>
      </c>
      <c r="O43" s="318" t="n">
        <f aca="false">N$43*(1+HLOOKUP(O$27,USInf97!$M$2:$AY$3,2)*'Common Assumpt'!$M$51)</f>
        <v>1.1689759442614</v>
      </c>
      <c r="P43" s="318" t="n">
        <f aca="false">O$43*(1+HLOOKUP(P$27,USInf97!$M$2:$AY$3,2)*'Common Assumpt'!$M$51)</f>
        <v>1.18372964164797</v>
      </c>
      <c r="Q43" s="318" t="n">
        <f aca="false">P$43*(1+HLOOKUP(Q$27,USInf97!$M$2:$AY$3,2)*'Common Assumpt'!$M$51)</f>
        <v>1.19855136231387</v>
      </c>
      <c r="R43" s="318" t="n">
        <f aca="false">Q$43*(1+HLOOKUP(R$27,USInf97!$M$2:$AY$3,2)*'Common Assumpt'!$M$51)</f>
        <v>1.21360104842125</v>
      </c>
      <c r="S43" s="318" t="n">
        <f aca="false">R$43*(1+HLOOKUP(S$27,USInf97!$M$2:$AY$3,2)*'Common Assumpt'!$M$51)</f>
        <v>1.22905427022734</v>
      </c>
      <c r="T43" s="318" t="n">
        <f aca="false">S$43*(1+HLOOKUP(T$27,USInf97!$M$2:$AY$3,2)*'Common Assumpt'!$M$51)</f>
        <v>1.24494968152836</v>
      </c>
      <c r="U43" s="318" t="n">
        <f aca="false">T$43*(1+HLOOKUP(U$27,USInf97!$M$2:$AY$3,2)*'Common Assumpt'!$M$51)</f>
        <v>1.26136658288305</v>
      </c>
      <c r="V43" s="318" t="n">
        <f aca="false">U$43*(1+HLOOKUP(V$27,USInf97!$M$2:$AY$3,2)*'Common Assumpt'!$M$51)</f>
        <v>1.27830956609748</v>
      </c>
      <c r="W43" s="318" t="n">
        <f aca="false">V$43*(1+HLOOKUP(W$27,USInf97!$M$2:$AY$3,2)*'Common Assumpt'!$M$51)</f>
        <v>1.29570082117222</v>
      </c>
      <c r="X43" s="318" t="n">
        <f aca="false">W$43*(1+HLOOKUP(X$27,USInf97!$M$2:$AY$3,2)*'Common Assumpt'!$M$51)</f>
        <v>1.31369789156396</v>
      </c>
      <c r="Y43" s="318" t="n">
        <f aca="false">X$43*(1+HLOOKUP(Y$27,USInf97!$M$2:$AY$3,2)*'Common Assumpt'!$M$51)</f>
        <v>1.33246957768831</v>
      </c>
      <c r="Z43" s="318" t="n">
        <f aca="false">Y$43*(1+HLOOKUP(Z$27,USInf97!$M$2:$AY$3,2)*'Common Assumpt'!$M$51)</f>
        <v>1.35229379947659</v>
      </c>
      <c r="AA43" s="319" t="n">
        <f aca="false">Z$43*(1+HLOOKUP(AA$27,USInf97!$M$2:$AY$3,2)*'Common Assumpt'!$M$51)</f>
        <v>1.37309651810673</v>
      </c>
    </row>
    <row r="44" customFormat="false" ht="12.75" hidden="false" customHeight="true" outlineLevel="0" collapsed="false">
      <c r="A44" s="321"/>
      <c r="B44" s="322" t="s">
        <v>341</v>
      </c>
      <c r="C44" s="322" t="s">
        <v>341</v>
      </c>
      <c r="D44" s="323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1"/>
      <c r="AA44" s="324"/>
    </row>
    <row r="45" customFormat="false" ht="12.75" hidden="false" customHeight="true" outlineLevel="0" collapsed="false">
      <c r="A45" s="325" t="s">
        <v>342</v>
      </c>
      <c r="B45" s="326" t="n">
        <f aca="false">NPV('Common Assumpt'!$F$56,E45:AA45)</f>
        <v>24.0266859290254</v>
      </c>
      <c r="C45" s="326" t="n">
        <f aca="false">NPV('Common Assumpt'!$F$56,G45:AA45)</f>
        <v>32.8901303682429</v>
      </c>
      <c r="D45" s="327" t="n">
        <f aca="false">IF(switch=0,RAROC!$D91,RAROC!$E91)*('Common Assumpt'!$G$42)*(+D$7)</f>
        <v>0</v>
      </c>
      <c r="E45" s="327" t="n">
        <f aca="false">IF(switch=0,RAROC!$D91,RAROC!$E91)*('Common Assumpt'!$G$42)*(+E$7)</f>
        <v>0</v>
      </c>
      <c r="F45" s="327" t="n">
        <f aca="false">IF(switch=0,RAROC!$D91,RAROC!$E91)*('Common Assumpt'!$G$42)*(+F$7)</f>
        <v>0</v>
      </c>
      <c r="G45" s="327" t="n">
        <f aca="false">IF(switch=0,RAROC!$D91,RAROC!$E91)*('Common Assumpt'!$G$42)*(+G$7)</f>
        <v>6.0077628259583</v>
      </c>
      <c r="H45" s="327" t="n">
        <f aca="false">IF(switch=0,RAROC!$D91,RAROC!$E91)*('Common Assumpt'!$G$42)*(+H$7)</f>
        <v>6.0077628259583</v>
      </c>
      <c r="I45" s="327" t="n">
        <f aca="false">IF(switch=0,RAROC!$D91,RAROC!$E91)*('Common Assumpt'!$G$42)*(+I$7)</f>
        <v>6.0077628259583</v>
      </c>
      <c r="J45" s="327" t="n">
        <f aca="false">IF(switch=0,RAROC!$D91,RAROC!$E91)*('Common Assumpt'!$G$42)*(+J$7)</f>
        <v>6.0077628259583</v>
      </c>
      <c r="K45" s="327" t="n">
        <f aca="false">IF(switch=0,RAROC!$D91,RAROC!$E91)*('Common Assumpt'!$G$42)*(+K$7)</f>
        <v>6.0077628259583</v>
      </c>
      <c r="L45" s="327" t="n">
        <f aca="false">IF(switch=0,RAROC!$D91,RAROC!$E91)*('Common Assumpt'!$G$42)*(+L$7)</f>
        <v>6.0077628259583</v>
      </c>
      <c r="M45" s="327" t="n">
        <f aca="false">IF(switch=0,RAROC!$D91,RAROC!$E91)*('Common Assumpt'!$G$42)*(+M$7)</f>
        <v>6.0077628259583</v>
      </c>
      <c r="N45" s="327" t="n">
        <f aca="false">IF(switch=0,RAROC!$D91,RAROC!$E91)*('Common Assumpt'!$G$42)*(+N$7)</f>
        <v>6.0077628259583</v>
      </c>
      <c r="O45" s="327" t="n">
        <f aca="false">IF(switch=0,RAROC!$D91,RAROC!$E91)*('Common Assumpt'!$G$42)*(+O$7)</f>
        <v>6.0077628259583</v>
      </c>
      <c r="P45" s="327" t="n">
        <f aca="false">IF(switch=0,RAROC!$D91,RAROC!$E91)*('Common Assumpt'!$G$42)*(+P$7)</f>
        <v>6.0077628259583</v>
      </c>
      <c r="Q45" s="327" t="n">
        <f aca="false">IF(switch=0,RAROC!$D91,RAROC!$E91)*('Common Assumpt'!$G$42)*(+Q$7)</f>
        <v>6.0077628259583</v>
      </c>
      <c r="R45" s="327" t="n">
        <f aca="false">IF(switch=0,RAROC!$D91,RAROC!$E91)*('Common Assumpt'!$G$42)*(+R$7)</f>
        <v>6.0077628259583</v>
      </c>
      <c r="S45" s="327" t="n">
        <f aca="false">IF(switch=0,RAROC!$D91,RAROC!$E91)*('Common Assumpt'!$G$42)*(+S$7)</f>
        <v>6.0077628259583</v>
      </c>
      <c r="T45" s="327" t="n">
        <f aca="false">IF(switch=0,RAROC!$D91,RAROC!$E91)*('Common Assumpt'!$G$42)*(+T$7)</f>
        <v>6.0077628259583</v>
      </c>
      <c r="U45" s="327" t="n">
        <f aca="false">IF(switch=0,RAROC!$D91,RAROC!$E91)*('Common Assumpt'!$G$42)*(+U$7)</f>
        <v>6.0077628259583</v>
      </c>
      <c r="V45" s="327" t="n">
        <f aca="false">IF(switch=0,RAROC!$D91,RAROC!$E91)*('Common Assumpt'!$G$42)*(+V$7)</f>
        <v>6.0077628259583</v>
      </c>
      <c r="W45" s="327" t="n">
        <f aca="false">IF(switch=0,RAROC!$D91,RAROC!$E91)*('Common Assumpt'!$G$42)*(+W$7)</f>
        <v>6.0077628259583</v>
      </c>
      <c r="X45" s="327" t="n">
        <f aca="false">('Common Assumpt'!$G$42)*(+X$7)</f>
        <v>0</v>
      </c>
      <c r="Y45" s="327" t="n">
        <f aca="false">('Common Assumpt'!$G$42)*(+Y$7)</f>
        <v>0</v>
      </c>
      <c r="Z45" s="327" t="n">
        <f aca="false">('Common Assumpt'!$G$42)*(+Z$7)</f>
        <v>0</v>
      </c>
      <c r="AA45" s="328" t="n">
        <f aca="false">('Common Assumpt'!$G$42)*(+AA$7)</f>
        <v>0</v>
      </c>
    </row>
    <row r="46" customFormat="false" ht="12.75" hidden="false" customHeight="true" outlineLevel="0" collapsed="false">
      <c r="A46" s="325" t="s">
        <v>343</v>
      </c>
      <c r="B46" s="326" t="n">
        <f aca="false">NPV('Common Assumpt'!$F$56,E46:AA46)</f>
        <v>25.6478880248572</v>
      </c>
      <c r="C46" s="326" t="n">
        <f aca="false">NPV('Common Assumpt'!$F$56,G46:AA46)</f>
        <v>35.1093939172269</v>
      </c>
      <c r="D46" s="327" t="n">
        <f aca="false">IF(switch=0,RAROC!$D91,RAROC!$E91)*D$41*(+D$7)</f>
        <v>0</v>
      </c>
      <c r="E46" s="327" t="n">
        <f aca="false">IF(switch=0,RAROC!$D91,RAROC!$E91)*E$41*(+E$7)</f>
        <v>0</v>
      </c>
      <c r="F46" s="327" t="n">
        <f aca="false">IF(switch=0,RAROC!$D91,RAROC!$E91)*F$41*(+F$7)</f>
        <v>0</v>
      </c>
      <c r="G46" s="327" t="n">
        <f aca="false">IF(switch=0,RAROC!$D91,RAROC!$E91)*G$41*(+G$7)</f>
        <v>6.0127663151547</v>
      </c>
      <c r="H46" s="327" t="n">
        <f aca="false">IF(switch=0,RAROC!$D91,RAROC!$E91)*H$41*(+H$7)</f>
        <v>6.10109205109165</v>
      </c>
      <c r="I46" s="327" t="n">
        <f aca="false">IF(switch=0,RAROC!$D91,RAROC!$E91)*I$41*(+I$7)</f>
        <v>6.18849626700085</v>
      </c>
      <c r="J46" s="327" t="n">
        <f aca="false">IF(switch=0,RAROC!$D91,RAROC!$E91)*J$41*(+J$7)</f>
        <v>6.27560917400419</v>
      </c>
      <c r="K46" s="327" t="n">
        <f aca="false">IF(switch=0,RAROC!$D91,RAROC!$E91)*K$41*(+K$7)</f>
        <v>6.36187441023054</v>
      </c>
      <c r="L46" s="327" t="n">
        <f aca="false">IF(switch=0,RAROC!$D91,RAROC!$E91)*L$41*(+L$7)</f>
        <v>6.44730246143298</v>
      </c>
      <c r="M46" s="327" t="n">
        <f aca="false">IF(switch=0,RAROC!$D91,RAROC!$E91)*M$41*(+M$7)</f>
        <v>6.53226964161165</v>
      </c>
      <c r="N46" s="327" t="n">
        <f aca="false">IF(switch=0,RAROC!$D91,RAROC!$E91)*N$41*(+N$7)</f>
        <v>6.61690388774085</v>
      </c>
      <c r="O46" s="327" t="n">
        <f aca="false">IF(switch=0,RAROC!$D91,RAROC!$E91)*O$41*(+O$7)</f>
        <v>6.70131443545414</v>
      </c>
      <c r="P46" s="327" t="n">
        <f aca="false">IF(switch=0,RAROC!$D91,RAROC!$E91)*P$41*(+P$7)</f>
        <v>6.78582684684548</v>
      </c>
      <c r="Q46" s="327" t="n">
        <f aca="false">IF(switch=0,RAROC!$D91,RAROC!$E91)*Q$41*(+Q$7)</f>
        <v>6.8707280950306</v>
      </c>
      <c r="R46" s="327" t="n">
        <f aca="false">IF(switch=0,RAROC!$D91,RAROC!$E91)*R$41*(+R$7)</f>
        <v>6.95693434515272</v>
      </c>
      <c r="S46" s="327" t="n">
        <f aca="false">IF(switch=0,RAROC!$D91,RAROC!$E91)*S$41*(+S$7)</f>
        <v>7.04545124605561</v>
      </c>
      <c r="T46" s="327" t="n">
        <f aca="false">IF(switch=0,RAROC!$D91,RAROC!$E91)*T$41*(+T$7)</f>
        <v>7.13650015041844</v>
      </c>
      <c r="U46" s="327" t="n">
        <f aca="false">IF(switch=0,RAROC!$D91,RAROC!$E91)*U$41*(+U$7)</f>
        <v>7.23053522420366</v>
      </c>
      <c r="V46" s="327" t="n">
        <f aca="false">IF(switch=0,RAROC!$D91,RAROC!$E91)*V$41*(+V$7)</f>
        <v>7.32758269149309</v>
      </c>
      <c r="W46" s="327" t="n">
        <f aca="false">IF(switch=0,RAROC!$D91,RAROC!$E91)*W$41*(+W$7)</f>
        <v>7.42719679120675</v>
      </c>
      <c r="X46" s="327" t="n">
        <f aca="false">X$41*(+X$7)</f>
        <v>0</v>
      </c>
      <c r="Y46" s="327" t="n">
        <f aca="false">Y$41*(+Y$7)</f>
        <v>0</v>
      </c>
      <c r="Z46" s="327" t="n">
        <f aca="false">Z$41*(+Z$7)</f>
        <v>0</v>
      </c>
      <c r="AA46" s="328" t="n">
        <f aca="false">AA$41*(+AA$7)</f>
        <v>0</v>
      </c>
    </row>
    <row r="47" customFormat="false" ht="12.75" hidden="false" customHeight="true" outlineLevel="0" collapsed="false">
      <c r="A47" s="325" t="s">
        <v>340</v>
      </c>
      <c r="B47" s="322"/>
      <c r="C47" s="322"/>
      <c r="D47" s="327" t="n">
        <v>0</v>
      </c>
      <c r="E47" s="327" t="n">
        <v>0</v>
      </c>
      <c r="F47" s="327" t="n">
        <f aca="false">F$43*IF(SUM(F$17,F$23)&gt;0,1,0)</f>
        <v>0</v>
      </c>
      <c r="G47" s="327" t="n">
        <f aca="false">G$43*IF(SUM(G$17,G$23)&gt;0,1,0)</f>
        <v>1.04877864677375</v>
      </c>
      <c r="H47" s="327" t="n">
        <f aca="false">H$43*IF(SUM(H$17,H$23)&gt;0,1,0)</f>
        <v>1.06419677224438</v>
      </c>
      <c r="I47" s="327" t="n">
        <f aca="false">I$43*IF(SUM(I$17,I$23)&gt;0,1,0)</f>
        <v>1.07945420767854</v>
      </c>
      <c r="J47" s="327" t="n">
        <f aca="false">J$43*IF(SUM(J$17,J$23)&gt;0,1,0)</f>
        <v>1.09466095734495</v>
      </c>
      <c r="K47" s="327" t="n">
        <f aca="false">K$43*IF(SUM(K$17,K$23)&gt;0,1,0)</f>
        <v>1.10971989568793</v>
      </c>
      <c r="L47" s="327" t="n">
        <f aca="false">L$43*IF(SUM(L$17,L$23)&gt;0,1,0)</f>
        <v>0</v>
      </c>
      <c r="M47" s="327" t="n">
        <f aca="false">M$43*IF(SUM(M$17,M$23)&gt;0,1,0)</f>
        <v>0</v>
      </c>
      <c r="N47" s="327" t="n">
        <f aca="false">N$43*IF(SUM(N$17,N$23)&gt;0,1,0)</f>
        <v>0</v>
      </c>
      <c r="O47" s="327" t="n">
        <f aca="false">O$43*IF(SUM(O$17,O$23)&gt;0,1,0)</f>
        <v>0</v>
      </c>
      <c r="P47" s="327" t="n">
        <f aca="false">P$43*IF(SUM(P$17,P$23)&gt;0,1,0)</f>
        <v>0</v>
      </c>
      <c r="Q47" s="327" t="n">
        <f aca="false">Q$43*IF(SUM(Q$17,Q$23)&gt;0,1,0)</f>
        <v>0</v>
      </c>
      <c r="R47" s="327" t="n">
        <f aca="false">R$43*IF(SUM(R$17,R$23)&gt;0,1,0)</f>
        <v>0</v>
      </c>
      <c r="S47" s="327" t="n">
        <f aca="false">S$43*IF(SUM(S$17,S$23)&gt;0,1,0)</f>
        <v>0</v>
      </c>
      <c r="T47" s="327" t="n">
        <f aca="false">T$43*IF(SUM(T$17,T$23)&gt;0,1,0)</f>
        <v>0</v>
      </c>
      <c r="U47" s="327" t="n">
        <f aca="false">U$43*IF(SUM(U$17,U$23)&gt;0,1,0)</f>
        <v>0</v>
      </c>
      <c r="V47" s="327" t="n">
        <f aca="false">V$43*IF(SUM(V$17,V$23)&gt;0,1,0)</f>
        <v>0</v>
      </c>
      <c r="W47" s="327" t="n">
        <f aca="false">W$43*IF(SUM(W$17,W$23)&gt;0,1,0)</f>
        <v>0</v>
      </c>
      <c r="X47" s="327" t="n">
        <f aca="false">X$43*IF(SUM(X$17,X$23)&gt;0,1,0)</f>
        <v>0</v>
      </c>
      <c r="Y47" s="327" t="n">
        <f aca="false">Y$43*IF(SUM(Y$17,Y$23)&gt;0,1,0)</f>
        <v>0</v>
      </c>
      <c r="Z47" s="327" t="n">
        <f aca="false">Z$43*IF(SUM(Z$17,Z$23)&gt;0,1,0)</f>
        <v>0</v>
      </c>
      <c r="AA47" s="328" t="n">
        <f aca="false">AA$43*IF(SUM(AA$17,AA$23)&gt;0,1,0)</f>
        <v>0</v>
      </c>
    </row>
    <row r="48" customFormat="false" ht="12.75" hidden="false" customHeight="true" outlineLevel="0" collapsed="false">
      <c r="A48" s="325" t="s">
        <v>344</v>
      </c>
      <c r="B48" s="322"/>
      <c r="C48" s="322"/>
      <c r="D48" s="327" t="n">
        <v>0</v>
      </c>
      <c r="E48" s="327" t="n">
        <v>0</v>
      </c>
      <c r="F48" s="327" t="n">
        <f aca="false">F$42*SUM(F$18,F$24)</f>
        <v>0</v>
      </c>
      <c r="G48" s="327" t="n">
        <f aca="false">G$42*SUM(G$18,G$24)</f>
        <v>1.3210594833764</v>
      </c>
      <c r="H48" s="327" t="n">
        <f aca="false">H$42*SUM(H$18,H$24)</f>
        <v>1.28273215950989</v>
      </c>
      <c r="I48" s="327" t="n">
        <f aca="false">I$42*SUM(I$18,I$24)</f>
        <v>1.24254819557121</v>
      </c>
      <c r="J48" s="327" t="n">
        <f aca="false">J$42*SUM(J$18,J$24)</f>
        <v>1.16772193417064</v>
      </c>
      <c r="K48" s="327" t="n">
        <f aca="false">K$42*SUM(K$18,K$24)</f>
        <v>1.12357255443223</v>
      </c>
      <c r="L48" s="327" t="n">
        <f aca="false">L$42*SUM(L$18,L$24)</f>
        <v>1.41653102955373</v>
      </c>
      <c r="M48" s="329" t="n">
        <f aca="false">M$42*SUM(M$18,M$24)</f>
        <v>1.43519909235003</v>
      </c>
      <c r="N48" s="329" t="n">
        <f aca="false">N$42*SUM(N$18,N$24)</f>
        <v>1.45379400650553</v>
      </c>
      <c r="O48" s="329" t="n">
        <f aca="false">O$42*SUM(O$18,O$24)</f>
        <v>1.5709191917722</v>
      </c>
      <c r="P48" s="329" t="n">
        <f aca="false">P$42*SUM(P$18,P$24)</f>
        <v>1.59073055419615</v>
      </c>
      <c r="Q48" s="329" t="n">
        <f aca="false">Q$42*SUM(Q$18,Q$24)</f>
        <v>1.61063306757081</v>
      </c>
      <c r="R48" s="329" t="n">
        <f aca="false">R$42*SUM(R$18,R$24)</f>
        <v>1.73318120513961</v>
      </c>
      <c r="S48" s="329" t="n">
        <f aca="false">S$42*SUM(S$18,S$24)</f>
        <v>1.75523342259211</v>
      </c>
      <c r="T48" s="329" t="n">
        <f aca="false">T$42*SUM(T$18,T$24)</f>
        <v>1.77791643812181</v>
      </c>
      <c r="U48" s="329" t="n">
        <f aca="false">U$42*SUM(U$18,U$24)</f>
        <v>1.80134339810484</v>
      </c>
      <c r="V48" s="329" t="n">
        <f aca="false">V$42*SUM(V$18,V$24)</f>
        <v>1.82552083574728</v>
      </c>
      <c r="W48" s="329" t="n">
        <f aca="false">W$42*SUM(W$18,W$24)</f>
        <v>1.85033769858154</v>
      </c>
      <c r="X48" s="329" t="n">
        <f aca="false">X$42*SUM(X$18,X$24)</f>
        <v>0</v>
      </c>
      <c r="Y48" s="329" t="n">
        <f aca="false">Y$42*SUM(Y$18,Y$24)</f>
        <v>0</v>
      </c>
      <c r="Z48" s="329" t="n">
        <f aca="false">Z$42*SUM(Z$18,Z$24)</f>
        <v>0</v>
      </c>
      <c r="AA48" s="328" t="n">
        <f aca="false">AA$42*SUM(AA$18,AA$24)</f>
        <v>0</v>
      </c>
    </row>
    <row r="49" customFormat="false" ht="12.75" hidden="false" customHeight="true" outlineLevel="0" collapsed="false">
      <c r="A49" s="330" t="s">
        <v>345</v>
      </c>
      <c r="B49" s="322"/>
      <c r="C49" s="322"/>
      <c r="D49" s="331" t="n">
        <v>0</v>
      </c>
      <c r="E49" s="331" t="n">
        <v>0</v>
      </c>
      <c r="F49" s="331" t="n">
        <f aca="false">+'Common Assumpt'!E$9*'Common Assumpt'!$G$45*SUM(F$18,F$24)</f>
        <v>0</v>
      </c>
      <c r="G49" s="331" t="n">
        <f aca="false">+'Common Assumpt'!F$9*'Common Assumpt'!$G$45*SUM(G$18,G$24)</f>
        <v>2.28407559282371</v>
      </c>
      <c r="H49" s="331" t="n">
        <f aca="false">+'Common Assumpt'!G$9*'Common Assumpt'!$G$45*SUM(H$18,H$24)</f>
        <v>2.19904899861407</v>
      </c>
      <c r="I49" s="331" t="n">
        <f aca="false">+'Common Assumpt'!H$9*'Common Assumpt'!$G$45*SUM(I$18,I$24)</f>
        <v>2.11805930325655</v>
      </c>
      <c r="J49" s="331" t="n">
        <f aca="false">+'Common Assumpt'!I$9*'Common Assumpt'!$G$45*SUM(J$18,J$24)</f>
        <v>1.99792938783449</v>
      </c>
      <c r="K49" s="331" t="n">
        <f aca="false">+'Common Assumpt'!J$9*'Common Assumpt'!$G$45*SUM(K$18,K$24)</f>
        <v>1.94572878487768</v>
      </c>
      <c r="L49" s="331" t="n">
        <f aca="false">+'Common Assumpt'!K$9*'Common Assumpt'!$G$45*SUM(L$18,L$24)</f>
        <v>2.46000979009523</v>
      </c>
      <c r="M49" s="331" t="n">
        <f aca="false">+'Common Assumpt'!L$9*'Common Assumpt'!$G$45*SUM(M$18,M$24)</f>
        <v>2.53117799485617</v>
      </c>
      <c r="N49" s="331" t="n">
        <f aca="false">+'Common Assumpt'!M$9*'Common Assumpt'!$G$45*SUM(N$18,N$24)</f>
        <v>2.55914991452956</v>
      </c>
      <c r="O49" s="331" t="n">
        <f aca="false">+'Common Assumpt'!N$9*'Common Assumpt'!$G$45*SUM(O$18,O$24)</f>
        <v>2.80585059037558</v>
      </c>
      <c r="P49" s="331" t="n">
        <f aca="false">+'Common Assumpt'!O$9*'Common Assumpt'!$G$45*SUM(P$18,P$24)</f>
        <v>2.87192900003688</v>
      </c>
      <c r="Q49" s="331" t="n">
        <f aca="false">+'Common Assumpt'!P$9*'Common Assumpt'!$G$45*SUM(Q$18,Q$24)</f>
        <v>2.96336548707257</v>
      </c>
      <c r="R49" s="331" t="n">
        <f aca="false">+'Common Assumpt'!Q$9*'Common Assumpt'!$G$45*SUM(R$18,R$24)</f>
        <v>3.23416608587134</v>
      </c>
      <c r="S49" s="331" t="n">
        <f aca="false">+'Common Assumpt'!R$9*'Common Assumpt'!$G$45*SUM(S$18,S$24)</f>
        <v>3.31687597637767</v>
      </c>
      <c r="T49" s="331" t="n">
        <f aca="false">+'Common Assumpt'!S$9*'Common Assumpt'!$G$45*SUM(T$18,T$24)</f>
        <v>3.41481966759461</v>
      </c>
      <c r="U49" s="331" t="n">
        <f aca="false">+'Common Assumpt'!T$9*'Common Assumpt'!$G$45*SUM(U$18,U$24)</f>
        <v>3.5330540424554</v>
      </c>
      <c r="V49" s="331" t="n">
        <f aca="false">+'Common Assumpt'!U$9*'Common Assumpt'!$G$45*SUM(V$18,V$24)</f>
        <v>3.63090131139361</v>
      </c>
      <c r="W49" s="331" t="n">
        <f aca="false">+'Common Assumpt'!V$9*'Common Assumpt'!$G$45*SUM(W$18,W$24)</f>
        <v>3.71181134907432</v>
      </c>
      <c r="X49" s="331" t="n">
        <f aca="false">+'Common Assumpt'!W$9*'Common Assumpt'!$G$45*SUM(X$18,X$24)</f>
        <v>0</v>
      </c>
      <c r="Y49" s="331" t="n">
        <f aca="false">+'Common Assumpt'!X$9*'Common Assumpt'!$G$45*SUM(Y$18,Y$24)</f>
        <v>0</v>
      </c>
      <c r="Z49" s="331" t="n">
        <f aca="false">+'Common Assumpt'!Y$9*'Common Assumpt'!$G$45*SUM(Z$18,Z$24)</f>
        <v>0</v>
      </c>
      <c r="AA49" s="332" t="n">
        <f aca="false">+'Common Assumpt'!Z$9*'Common Assumpt'!$G$45*SUM(AA$18,AA$24)</f>
        <v>0</v>
      </c>
    </row>
    <row r="50" customFormat="false" ht="12.75" hidden="false" customHeight="true" outlineLevel="0" collapsed="false">
      <c r="A50" s="333" t="s">
        <v>346</v>
      </c>
      <c r="B50" s="326" t="n">
        <f aca="false">SUM(B45:B46)</f>
        <v>49.6745739538826</v>
      </c>
      <c r="C50" s="326" t="n">
        <f aca="false">SUM(C45:C46)</f>
        <v>67.9995242854698</v>
      </c>
      <c r="D50" s="327" t="n">
        <f aca="false">+SUM(D45:D49)</f>
        <v>0</v>
      </c>
      <c r="E50" s="327" t="n">
        <f aca="false">+SUM(E45:E49)</f>
        <v>0</v>
      </c>
      <c r="F50" s="327" t="n">
        <f aca="false">+SUM(F45:F49)</f>
        <v>0</v>
      </c>
      <c r="G50" s="327" t="n">
        <f aca="false">+SUM(G45:G49)</f>
        <v>16.6744428640869</v>
      </c>
      <c r="H50" s="327" t="n">
        <f aca="false">+SUM(H45:H49)</f>
        <v>16.6548328074183</v>
      </c>
      <c r="I50" s="327" t="n">
        <f aca="false">+SUM(I45:I49)</f>
        <v>16.6363207994655</v>
      </c>
      <c r="J50" s="327" t="n">
        <f aca="false">+SUM(J45:J49)</f>
        <v>16.5436842793126</v>
      </c>
      <c r="K50" s="327" t="n">
        <f aca="false">+SUM(K45:K49)</f>
        <v>16.5486584711867</v>
      </c>
      <c r="L50" s="327" t="n">
        <f aca="false">+SUM(L45:L49)</f>
        <v>16.3316061070402</v>
      </c>
      <c r="M50" s="327" t="n">
        <f aca="false">+SUM(M45:M49)</f>
        <v>16.5064095547762</v>
      </c>
      <c r="N50" s="327" t="n">
        <f aca="false">+SUM(N45:N49)</f>
        <v>16.6376106347342</v>
      </c>
      <c r="O50" s="327" t="n">
        <f aca="false">+SUM(O45:O49)</f>
        <v>17.0858470435602</v>
      </c>
      <c r="P50" s="327" t="n">
        <f aca="false">+SUM(P45:P49)</f>
        <v>17.2562492270368</v>
      </c>
      <c r="Q50" s="327" t="n">
        <f aca="false">+SUM(Q45:Q49)</f>
        <v>17.4524894756323</v>
      </c>
      <c r="R50" s="327" t="n">
        <f aca="false">+SUM(R45:R49)</f>
        <v>17.932044462122</v>
      </c>
      <c r="S50" s="327" t="n">
        <f aca="false">+SUM(S45:S49)</f>
        <v>18.1253234709837</v>
      </c>
      <c r="T50" s="327" t="n">
        <f aca="false">+SUM(T45:T49)</f>
        <v>18.3369990820932</v>
      </c>
      <c r="U50" s="327" t="n">
        <f aca="false">+SUM(U45:U49)</f>
        <v>18.5726954907222</v>
      </c>
      <c r="V50" s="327" t="n">
        <f aca="false">+SUM(V45:V49)</f>
        <v>18.7917676645923</v>
      </c>
      <c r="W50" s="327" t="n">
        <f aca="false">+SUM(W45:W49)</f>
        <v>18.9971086648209</v>
      </c>
      <c r="X50" s="327" t="n">
        <f aca="false">+SUM(X45:X49)</f>
        <v>0</v>
      </c>
      <c r="Y50" s="327" t="n">
        <f aca="false">+SUM(Y45:Y49)</f>
        <v>0</v>
      </c>
      <c r="Z50" s="327" t="n">
        <f aca="false">+SUM(Z45:Z49)</f>
        <v>0</v>
      </c>
      <c r="AA50" s="328" t="n">
        <f aca="false">+SUM(AA45:AA49)</f>
        <v>0</v>
      </c>
    </row>
    <row r="51" customFormat="false" ht="12.75" hidden="false" customHeight="true" outlineLevel="0" collapsed="false">
      <c r="A51" s="334" t="s">
        <v>347</v>
      </c>
      <c r="B51" s="335"/>
      <c r="C51" s="335"/>
      <c r="D51" s="335" t="n">
        <v>0</v>
      </c>
      <c r="E51" s="335" t="n">
        <v>0</v>
      </c>
      <c r="F51" s="335" t="n">
        <f aca="false">+IF(SUM(F$18,F$24)=0,0,F50/SUM(F$18,F$24))</f>
        <v>0</v>
      </c>
      <c r="G51" s="335" t="n">
        <f aca="false">+IF(SUM(G$18,G$24)=0,0,G50/SUM(G$18,G$24))</f>
        <v>0.350667663064834</v>
      </c>
      <c r="H51" s="335" t="n">
        <f aca="false">+IF(SUM(H$18,H$24)=0,0,H50/SUM(H$18,H$24))</f>
        <v>0.366019570035514</v>
      </c>
      <c r="I51" s="335" t="n">
        <f aca="false">+IF(SUM(I$18,I$24)=0,0,I50/SUM(I$18,I$24))</f>
        <v>0.382843793958084</v>
      </c>
      <c r="J51" s="335" t="n">
        <f aca="false">+IF(SUM(J$18,J$24)=0,0,J50/SUM(J$18,J$24))</f>
        <v>0.410810106639752</v>
      </c>
      <c r="K51" s="335" t="n">
        <f aca="false">+IF(SUM(K$18,K$24)=0,0,K50/SUM(K$18,K$24))</f>
        <v>0.432951448802963</v>
      </c>
      <c r="L51" s="335" t="n">
        <f aca="false">+IF(SUM(L$18,L$24)=0,0,L50/SUM(L$18,L$24))</f>
        <v>0.343457721156358</v>
      </c>
      <c r="M51" s="335" t="n">
        <f aca="false">+IF(SUM(M$18,M$24)=0,0,M50/SUM(M$18,M$24))</f>
        <v>0.347133880954491</v>
      </c>
      <c r="N51" s="335" t="n">
        <f aca="false">+IF(SUM(N$18,N$24)=0,0,N50/SUM(N$18,N$24))</f>
        <v>0.349893072159589</v>
      </c>
      <c r="O51" s="335" t="n">
        <f aca="false">+IF(SUM(O$18,O$24)=0,0,O50/SUM(O$18,O$24))</f>
        <v>0.336771320355082</v>
      </c>
      <c r="P51" s="335" t="n">
        <f aca="false">+IF(SUM(P$18,P$24)=0,0,P50/SUM(P$18,P$24))</f>
        <v>0.340130039894974</v>
      </c>
      <c r="Q51" s="335" t="n">
        <f aca="false">+IF(SUM(Q$18,Q$24)=0,0,Q50/SUM(Q$18,Q$24))</f>
        <v>0.343998041724664</v>
      </c>
      <c r="R51" s="335" t="n">
        <f aca="false">+IF(SUM(R$18,R$24)=0,0,R50/SUM(R$18,R$24))</f>
        <v>0.33258003584915</v>
      </c>
      <c r="S51" s="335" t="n">
        <f aca="false">+IF(SUM(S$18,S$24)=0,0,S50/SUM(S$18,S$24))</f>
        <v>0.336164721345101</v>
      </c>
      <c r="T51" s="335" t="n">
        <f aca="false">+IF(SUM(T$18,T$24)=0,0,T50/SUM(T$18,T$24))</f>
        <v>0.340090602885262</v>
      </c>
      <c r="U51" s="335" t="n">
        <f aca="false">+IF(SUM(U$18,U$24)=0,0,U50/SUM(U$18,U$24))</f>
        <v>0.344461990665219</v>
      </c>
      <c r="V51" s="335" t="n">
        <f aca="false">+IF(SUM(V$18,V$24)=0,0,V50/SUM(V$18,V$24))</f>
        <v>0.348525053948001</v>
      </c>
      <c r="W51" s="335" t="n">
        <f aca="false">+IF(SUM(W$18,W$24)=0,0,W50/SUM(W$18,W$24))</f>
        <v>0.352333449435843</v>
      </c>
      <c r="X51" s="335" t="n">
        <f aca="false">+IF(SUM(X$18,X$24)=0,0,X50/SUM(X$18,X$24))</f>
        <v>0</v>
      </c>
      <c r="Y51" s="335" t="n">
        <f aca="false">+IF(SUM(Y$18,Y$24)=0,0,Y50/SUM(Y$18,Y$24))</f>
        <v>0</v>
      </c>
      <c r="Z51" s="335" t="n">
        <f aca="false">+IF(SUM(Z$18,Z$24)=0,0,Z50/SUM(Z$18,Z$24))</f>
        <v>0</v>
      </c>
      <c r="AA51" s="336" t="n">
        <f aca="false">+IF(SUM(AA$18,AA$24)=0,0,AA50/SUM(AA$18,AA$24))</f>
        <v>0</v>
      </c>
    </row>
    <row r="52" customFormat="false" ht="12.75" hidden="false" customHeight="true" outlineLevel="0" collapsed="false">
      <c r="A52" s="321"/>
      <c r="B52" s="131"/>
      <c r="C52" s="131"/>
      <c r="D52" s="131"/>
      <c r="E52" s="131"/>
      <c r="F52" s="337"/>
      <c r="G52" s="131"/>
      <c r="H52" s="131"/>
      <c r="I52" s="131"/>
      <c r="J52" s="131"/>
      <c r="K52" s="131"/>
      <c r="L52" s="131"/>
      <c r="M52" s="131"/>
      <c r="N52" s="131"/>
      <c r="O52" s="131"/>
      <c r="P52" s="131"/>
      <c r="Q52" s="131"/>
      <c r="R52" s="131"/>
      <c r="S52" s="131"/>
      <c r="T52" s="131"/>
      <c r="U52" s="131"/>
      <c r="V52" s="131"/>
      <c r="W52" s="131"/>
      <c r="X52" s="131"/>
      <c r="Y52" s="131"/>
      <c r="Z52" s="131"/>
      <c r="AA52" s="324"/>
    </row>
    <row r="53" customFormat="false" ht="12.75" hidden="false" customHeight="true" outlineLevel="0" collapsed="false">
      <c r="A53" s="338" t="s">
        <v>348</v>
      </c>
      <c r="B53" s="316"/>
      <c r="C53" s="316"/>
      <c r="D53" s="316"/>
      <c r="E53" s="316"/>
      <c r="F53" s="316"/>
      <c r="G53" s="316"/>
      <c r="H53" s="316"/>
      <c r="I53" s="316"/>
      <c r="J53" s="316"/>
      <c r="K53" s="316"/>
      <c r="L53" s="316"/>
      <c r="M53" s="316"/>
      <c r="N53" s="316"/>
      <c r="O53" s="316"/>
      <c r="P53" s="316"/>
      <c r="Q53" s="316"/>
      <c r="R53" s="316"/>
      <c r="S53" s="316"/>
      <c r="T53" s="316"/>
      <c r="U53" s="316"/>
      <c r="V53" s="316"/>
      <c r="W53" s="316"/>
      <c r="X53" s="316"/>
      <c r="Y53" s="316"/>
      <c r="Z53" s="316"/>
      <c r="AA53" s="339"/>
    </row>
    <row r="54" customFormat="false" ht="12.75" hidden="false" customHeight="true" outlineLevel="0" collapsed="false">
      <c r="A54" s="315" t="s">
        <v>342</v>
      </c>
      <c r="B54" s="316"/>
      <c r="C54" s="316"/>
      <c r="D54" s="340" t="n">
        <f aca="false">IF(D$7&gt;0,D45*D$8/D$7,0)</f>
        <v>0</v>
      </c>
      <c r="E54" s="340" t="n">
        <f aca="false">IF(E$7&gt;0,E45*E$8/E$7,0)</f>
        <v>0</v>
      </c>
      <c r="F54" s="340" t="n">
        <f aca="false">IF(F$7&gt;0,F45*F$8/F$7,0)</f>
        <v>0</v>
      </c>
      <c r="G54" s="340" t="n">
        <f aca="false">IF(G$7&gt;0,G45*G$8/G$7,0)</f>
        <v>6.0077628259583</v>
      </c>
      <c r="H54" s="340" t="n">
        <f aca="false">IF(H$7&gt;0,H45*H$8/H$7,0)</f>
        <v>6.0077628259583</v>
      </c>
      <c r="I54" s="340" t="n">
        <f aca="false">IF(I$7&gt;0,I45*I$8/I$7,0)</f>
        <v>6.0077628259583</v>
      </c>
      <c r="J54" s="340" t="n">
        <f aca="false">IF(J$7&gt;0,J45*J$8/J$7,0)</f>
        <v>6.0077628259583</v>
      </c>
      <c r="K54" s="340" t="n">
        <f aca="false">IF(K$7&gt;0,K45*K$8/K$7,0)</f>
        <v>6.0077628259583</v>
      </c>
      <c r="L54" s="340" t="n">
        <f aca="false">IF(L$7&gt;0,L45*L$8/L$7,0)</f>
        <v>0</v>
      </c>
      <c r="M54" s="340" t="n">
        <f aca="false">IF(M$7&gt;0,M45*M$8/M$7,0)</f>
        <v>0</v>
      </c>
      <c r="N54" s="340" t="n">
        <f aca="false">IF(N$7&gt;0,N45*N$8/N$7,0)</f>
        <v>0</v>
      </c>
      <c r="O54" s="340" t="n">
        <f aca="false">IF(O$7&gt;0,O45*O$8/O$7,0)</f>
        <v>0</v>
      </c>
      <c r="P54" s="340" t="n">
        <f aca="false">IF(P$7&gt;0,P45*P$8/P$7,0)</f>
        <v>0</v>
      </c>
      <c r="Q54" s="340" t="n">
        <f aca="false">IF(Q$7&gt;0,Q45*Q$8/Q$7,0)</f>
        <v>0</v>
      </c>
      <c r="R54" s="340" t="n">
        <f aca="false">IF(R$7&gt;0,R45*R$8/R$7,0)</f>
        <v>0</v>
      </c>
      <c r="S54" s="340" t="n">
        <f aca="false">IF(S$7&gt;0,S45*S$8/S$7,0)</f>
        <v>0</v>
      </c>
      <c r="T54" s="340" t="n">
        <f aca="false">IF(T$7&gt;0,T45*T$8/T$7,0)</f>
        <v>0</v>
      </c>
      <c r="U54" s="340" t="n">
        <f aca="false">IF(U$7&gt;0,U45*U$8/U$7,0)</f>
        <v>0</v>
      </c>
      <c r="V54" s="340" t="n">
        <f aca="false">IF(V$7&gt;0,V45*V$8/V$7,0)</f>
        <v>0</v>
      </c>
      <c r="W54" s="340" t="n">
        <f aca="false">IF(W$7&gt;0,W45*W$8/W$7,0)</f>
        <v>0</v>
      </c>
      <c r="X54" s="340" t="n">
        <f aca="false">IF(X$7&gt;0,X45*X$8/X$7,0)</f>
        <v>0</v>
      </c>
      <c r="Y54" s="340" t="n">
        <f aca="false">IF(Y$7&gt;0,Y45*Y$8/Y$7,0)</f>
        <v>0</v>
      </c>
      <c r="Z54" s="340" t="n">
        <f aca="false">IF(Z$7&gt;0,Z45*Z$8/Z$7,0)</f>
        <v>0</v>
      </c>
      <c r="AA54" s="341" t="n">
        <f aca="false">IF(AA$7&gt;0,AA45*AA$8/AA$7,0)</f>
        <v>0</v>
      </c>
    </row>
    <row r="55" customFormat="false" ht="12.75" hidden="false" customHeight="true" outlineLevel="0" collapsed="false">
      <c r="A55" s="315" t="s">
        <v>343</v>
      </c>
      <c r="B55" s="316"/>
      <c r="C55" s="316"/>
      <c r="D55" s="340" t="n">
        <f aca="false">IF(D$7&gt;0,D46*D$8/D$7,0)</f>
        <v>0</v>
      </c>
      <c r="E55" s="340" t="n">
        <f aca="false">IF(E$7&gt;0,E46*E$8/E$7,0)</f>
        <v>0</v>
      </c>
      <c r="F55" s="340" t="n">
        <f aca="false">IF(F$7&gt;0,F46*F$8/F$7,0)</f>
        <v>0</v>
      </c>
      <c r="G55" s="340" t="n">
        <f aca="false">IF(G$7&gt;0,G46*G$8/G$7,0)</f>
        <v>6.0127663151547</v>
      </c>
      <c r="H55" s="340" t="n">
        <f aca="false">IF(H$7&gt;0,H46*H$8/H$7,0)</f>
        <v>6.10109205109165</v>
      </c>
      <c r="I55" s="340" t="n">
        <f aca="false">IF(I$7&gt;0,I46*I$8/I$7,0)</f>
        <v>6.18849626700085</v>
      </c>
      <c r="J55" s="340" t="n">
        <f aca="false">IF(J$7&gt;0,J46*J$8/J$7,0)</f>
        <v>6.27560917400419</v>
      </c>
      <c r="K55" s="340" t="n">
        <f aca="false">IF(K$7&gt;0,K46*K$8/K$7,0)</f>
        <v>6.36187441023054</v>
      </c>
      <c r="L55" s="340" t="n">
        <f aca="false">IF(L$7&gt;0,L46*L$8/L$7,0)</f>
        <v>0</v>
      </c>
      <c r="M55" s="340" t="n">
        <f aca="false">IF(M$7&gt;0,M46*M$8/M$7,0)</f>
        <v>0</v>
      </c>
      <c r="N55" s="340" t="n">
        <f aca="false">IF(N$7&gt;0,N46*N$8/N$7,0)</f>
        <v>0</v>
      </c>
      <c r="O55" s="340" t="n">
        <f aca="false">IF(O$7&gt;0,O46*O$8/O$7,0)</f>
        <v>0</v>
      </c>
      <c r="P55" s="340" t="n">
        <f aca="false">IF(P$7&gt;0,P46*P$8/P$7,0)</f>
        <v>0</v>
      </c>
      <c r="Q55" s="340" t="n">
        <f aca="false">IF(Q$7&gt;0,Q46*Q$8/Q$7,0)</f>
        <v>0</v>
      </c>
      <c r="R55" s="340" t="n">
        <f aca="false">IF(R$7&gt;0,R46*R$8/R$7,0)</f>
        <v>0</v>
      </c>
      <c r="S55" s="340" t="n">
        <f aca="false">IF(S$7&gt;0,S46*S$8/S$7,0)</f>
        <v>0</v>
      </c>
      <c r="T55" s="340" t="n">
        <f aca="false">IF(T$7&gt;0,T46*T$8/T$7,0)</f>
        <v>0</v>
      </c>
      <c r="U55" s="340" t="n">
        <f aca="false">IF(U$7&gt;0,U46*U$8/U$7,0)</f>
        <v>0</v>
      </c>
      <c r="V55" s="340" t="n">
        <f aca="false">IF(V$7&gt;0,V46*V$8/V$7,0)</f>
        <v>0</v>
      </c>
      <c r="W55" s="340" t="n">
        <f aca="false">IF(W$7&gt;0,W46*W$8/W$7,0)</f>
        <v>0</v>
      </c>
      <c r="X55" s="340" t="n">
        <f aca="false">IF(X$7&gt;0,X46*X$8/X$7,0)</f>
        <v>0</v>
      </c>
      <c r="Y55" s="340" t="n">
        <f aca="false">IF(Y$7&gt;0,Y46*Y$8/Y$7,0)</f>
        <v>0</v>
      </c>
      <c r="Z55" s="340" t="n">
        <f aca="false">IF(Z$7&gt;0,Z46*Z$8/Z$7,0)</f>
        <v>0</v>
      </c>
      <c r="AA55" s="341" t="n">
        <f aca="false">IF(AA$7&gt;0,AA46*AA$8/AA$7,0)</f>
        <v>0</v>
      </c>
    </row>
    <row r="56" customFormat="false" ht="12.75" hidden="false" customHeight="true" outlineLevel="0" collapsed="false">
      <c r="A56" s="315" t="s">
        <v>340</v>
      </c>
      <c r="B56" s="316"/>
      <c r="C56" s="316"/>
      <c r="D56" s="340" t="n">
        <f aca="false">IF(D$7&gt;0,D47*D$8/D$7,0)</f>
        <v>0</v>
      </c>
      <c r="E56" s="340" t="n">
        <f aca="false">IF(E$7&gt;0,E47*E$8/E$7,0)</f>
        <v>0</v>
      </c>
      <c r="F56" s="340" t="n">
        <f aca="false">IF(F$7&gt;0,F47*F$8/F$7,0)</f>
        <v>0</v>
      </c>
      <c r="G56" s="340" t="n">
        <f aca="false">IF(G$7&gt;0,G47*G$8/G$7,0)</f>
        <v>1.04877864677375</v>
      </c>
      <c r="H56" s="340" t="n">
        <f aca="false">IF(H$7&gt;0,H47*H$8/H$7,0)</f>
        <v>1.06419677224438</v>
      </c>
      <c r="I56" s="340" t="n">
        <f aca="false">IF(I$7&gt;0,I47*I$8/I$7,0)</f>
        <v>1.07945420767854</v>
      </c>
      <c r="J56" s="340" t="n">
        <f aca="false">IF(J$7&gt;0,J47*J$8/J$7,0)</f>
        <v>1.09466095734495</v>
      </c>
      <c r="K56" s="340" t="n">
        <f aca="false">IF(K$7&gt;0,K47*K$8/K$7,0)</f>
        <v>1.10971989568793</v>
      </c>
      <c r="L56" s="340" t="n">
        <f aca="false">IF(L$7&gt;0,L47*L$8/L$7,0)</f>
        <v>0</v>
      </c>
      <c r="M56" s="340" t="n">
        <f aca="false">IF(M$7&gt;0,M47*M$8/M$7,0)</f>
        <v>0</v>
      </c>
      <c r="N56" s="340" t="n">
        <f aca="false">IF(N$7&gt;0,N47*N$8/N$7,0)</f>
        <v>0</v>
      </c>
      <c r="O56" s="340" t="n">
        <f aca="false">IF(O$7&gt;0,O47*O$8/O$7,0)</f>
        <v>0</v>
      </c>
      <c r="P56" s="340" t="n">
        <f aca="false">IF(P$7&gt;0,P47*P$8/P$7,0)</f>
        <v>0</v>
      </c>
      <c r="Q56" s="340" t="n">
        <f aca="false">IF(Q$7&gt;0,Q47*Q$8/Q$7,0)</f>
        <v>0</v>
      </c>
      <c r="R56" s="340" t="n">
        <f aca="false">IF(R$7&gt;0,R47*R$8/R$7,0)</f>
        <v>0</v>
      </c>
      <c r="S56" s="340" t="n">
        <f aca="false">IF(S$7&gt;0,S47*S$8/S$7,0)</f>
        <v>0</v>
      </c>
      <c r="T56" s="340" t="n">
        <f aca="false">IF(T$7&gt;0,T47*T$8/T$7,0)</f>
        <v>0</v>
      </c>
      <c r="U56" s="340" t="n">
        <f aca="false">IF(U$7&gt;0,U47*U$8/U$7,0)</f>
        <v>0</v>
      </c>
      <c r="V56" s="340" t="n">
        <f aca="false">IF(V$7&gt;0,V47*V$8/V$7,0)</f>
        <v>0</v>
      </c>
      <c r="W56" s="340" t="n">
        <f aca="false">IF(W$7&gt;0,W47*W$8/W$7,0)</f>
        <v>0</v>
      </c>
      <c r="X56" s="340" t="n">
        <f aca="false">IF(X$7&gt;0,X47*X$8/X$7,0)</f>
        <v>0</v>
      </c>
      <c r="Y56" s="340" t="n">
        <f aca="false">IF(Y$7&gt;0,Y47*Y$8/Y$7,0)</f>
        <v>0</v>
      </c>
      <c r="Z56" s="340" t="n">
        <f aca="false">IF(Z$7&gt;0,Z47*Z$8/Z$7,0)</f>
        <v>0</v>
      </c>
      <c r="AA56" s="341" t="n">
        <f aca="false">IF(AA$7&gt;0,AA47*AA$8/AA$7,0)</f>
        <v>0</v>
      </c>
    </row>
    <row r="57" customFormat="false" ht="12.75" hidden="false" customHeight="true" outlineLevel="0" collapsed="false">
      <c r="A57" s="342" t="s">
        <v>349</v>
      </c>
      <c r="B57" s="343"/>
      <c r="C57" s="343"/>
      <c r="D57" s="344" t="n">
        <v>0</v>
      </c>
      <c r="E57" s="344" t="n">
        <v>0</v>
      </c>
      <c r="F57" s="344" t="n">
        <f aca="false">+SUM(F48:F49)*IF(SUM(F$17,F$23)&gt;0,F$17/SUM(F$17,F$23),0)</f>
        <v>0</v>
      </c>
      <c r="G57" s="344" t="n">
        <f aca="false">+SUM(G48:G49)*IF(SUM(G$17,G$23)&gt;0,G$17/SUM(G$17,G$23),0)</f>
        <v>3.60513507620011</v>
      </c>
      <c r="H57" s="344" t="n">
        <f aca="false">+SUM(H48:H49)*IF(SUM(H$17,H$23)&gt;0,H$17/SUM(H$17,H$23),0)</f>
        <v>3.48178115812396</v>
      </c>
      <c r="I57" s="344" t="n">
        <f aca="false">+SUM(I48:I49)*IF(SUM(I$17,I$23)&gt;0,I$17/SUM(I$17,I$23),0)</f>
        <v>3.36060749882776</v>
      </c>
      <c r="J57" s="344" t="n">
        <f aca="false">+SUM(J48:J49)*IF(SUM(J$17,J$23)&gt;0,J$17/SUM(J$17,J$23),0)</f>
        <v>3.16565132200513</v>
      </c>
      <c r="K57" s="344" t="n">
        <f aca="false">+SUM(K48:K49)*IF(SUM(K$17,K$23)&gt;0,K$17/SUM(K$17,K$23),0)</f>
        <v>3.06930133930991</v>
      </c>
      <c r="L57" s="344" t="n">
        <f aca="false">+SUM(L48:L49)*IF(SUM(L$17,L$23)&gt;0,L$17/SUM(L$17,L$23),0)</f>
        <v>0</v>
      </c>
      <c r="M57" s="344" t="n">
        <f aca="false">+SUM(M48:M49)*IF(SUM(M$17,M$23)&gt;0,M$17/SUM(M$17,M$23),0)</f>
        <v>0</v>
      </c>
      <c r="N57" s="344" t="n">
        <f aca="false">+SUM(N48:N49)*IF(SUM(N$17,N$23)&gt;0,N$17/SUM(N$17,N$23),0)</f>
        <v>0</v>
      </c>
      <c r="O57" s="344" t="n">
        <f aca="false">+SUM(O48:O49)*IF(SUM(O$17,O$23)&gt;0,O$17/SUM(O$17,O$23),0)</f>
        <v>0</v>
      </c>
      <c r="P57" s="344" t="n">
        <f aca="false">+SUM(P48:P49)*IF(SUM(P$17,P$23)&gt;0,P$17/SUM(P$17,P$23),0)</f>
        <v>0</v>
      </c>
      <c r="Q57" s="344" t="n">
        <f aca="false">+SUM(Q48:Q49)*IF(SUM(Q$17,Q$23)&gt;0,Q$17/SUM(Q$17,Q$23),0)</f>
        <v>0</v>
      </c>
      <c r="R57" s="344" t="n">
        <f aca="false">+SUM(R48:R49)*IF(SUM(R$17,R$23)&gt;0,R$17/SUM(R$17,R$23),0)</f>
        <v>0</v>
      </c>
      <c r="S57" s="344" t="n">
        <f aca="false">+SUM(S48:S49)*IF(SUM(S$17,S$23)&gt;0,S$17/SUM(S$17,S$23),0)</f>
        <v>0</v>
      </c>
      <c r="T57" s="344" t="n">
        <f aca="false">+SUM(T48:T49)*IF(SUM(T$17,T$23)&gt;0,T$17/SUM(T$17,T$23),0)</f>
        <v>0</v>
      </c>
      <c r="U57" s="344" t="n">
        <f aca="false">+SUM(U48:U49)*IF(SUM(U$17,U$23)&gt;0,U$17/SUM(U$17,U$23),0)</f>
        <v>0</v>
      </c>
      <c r="V57" s="344" t="n">
        <f aca="false">+SUM(V48:V49)*IF(SUM(V$17,V$23)&gt;0,V$17/SUM(V$17,V$23),0)</f>
        <v>0</v>
      </c>
      <c r="W57" s="344" t="n">
        <f aca="false">+SUM(W48:W49)*IF(SUM(W$17,W$23)&gt;0,W$17/SUM(W$17,W$23),0)</f>
        <v>0</v>
      </c>
      <c r="X57" s="344" t="n">
        <f aca="false">+SUM(X48:X49)*IF(SUM(X$17,X$23)&gt;0,X$17/SUM(X$17,X$23),0)</f>
        <v>0</v>
      </c>
      <c r="Y57" s="344" t="n">
        <f aca="false">+SUM(Y48:Y49)*IF(SUM(Y$17,Y$23)&gt;0,Y$17/SUM(Y$17,Y$23),0)</f>
        <v>0</v>
      </c>
      <c r="Z57" s="344" t="n">
        <f aca="false">+SUM(Z48:Z49)*IF(SUM(Z$17,Z$23)&gt;0,Z$17/SUM(Z$17,Z$23),0)</f>
        <v>0</v>
      </c>
      <c r="AA57" s="345" t="n">
        <f aca="false">+SUM(AA48:AA49)*IF(SUM(AA$17,AA$23)&gt;0,AA$17/SUM(AA$17,AA$23),0)</f>
        <v>0</v>
      </c>
    </row>
    <row r="58" customFormat="false" ht="12.75" hidden="false" customHeight="true" outlineLevel="0" collapsed="false">
      <c r="A58" s="315" t="s">
        <v>346</v>
      </c>
      <c r="B58" s="346"/>
      <c r="C58" s="346"/>
      <c r="D58" s="347" t="n">
        <f aca="false">+SUM(D54:D57)</f>
        <v>0</v>
      </c>
      <c r="E58" s="347" t="n">
        <f aca="false">+SUM(E54:E57)</f>
        <v>0</v>
      </c>
      <c r="F58" s="347" t="n">
        <f aca="false">+SUM(F54:F57)</f>
        <v>0</v>
      </c>
      <c r="G58" s="347" t="n">
        <f aca="false">+SUM(G54:G57)</f>
        <v>16.6744428640869</v>
      </c>
      <c r="H58" s="347" t="n">
        <f aca="false">+SUM(H54:H57)</f>
        <v>16.6548328074183</v>
      </c>
      <c r="I58" s="347" t="n">
        <f aca="false">+SUM(I54:I57)</f>
        <v>16.6363207994655</v>
      </c>
      <c r="J58" s="347" t="n">
        <f aca="false">+SUM(J54:J57)</f>
        <v>16.5436842793126</v>
      </c>
      <c r="K58" s="347" t="n">
        <f aca="false">+SUM(K54:K57)</f>
        <v>16.5486584711867</v>
      </c>
      <c r="L58" s="347" t="n">
        <f aca="false">+SUM(L54:L57)</f>
        <v>0</v>
      </c>
      <c r="M58" s="347" t="n">
        <f aca="false">+SUM(M54:M57)</f>
        <v>0</v>
      </c>
      <c r="N58" s="347" t="n">
        <f aca="false">+SUM(N54:N57)</f>
        <v>0</v>
      </c>
      <c r="O58" s="347" t="n">
        <f aca="false">+SUM(O54:O57)</f>
        <v>0</v>
      </c>
      <c r="P58" s="347" t="n">
        <f aca="false">+SUM(P54:P57)</f>
        <v>0</v>
      </c>
      <c r="Q58" s="347" t="n">
        <f aca="false">+SUM(Q54:Q57)</f>
        <v>0</v>
      </c>
      <c r="R58" s="347" t="n">
        <f aca="false">+SUM(R54:R57)</f>
        <v>0</v>
      </c>
      <c r="S58" s="347" t="n">
        <f aca="false">+SUM(S54:S57)</f>
        <v>0</v>
      </c>
      <c r="T58" s="347" t="n">
        <f aca="false">+SUM(T54:T57)</f>
        <v>0</v>
      </c>
      <c r="U58" s="347" t="n">
        <f aca="false">+SUM(U54:U57)</f>
        <v>0</v>
      </c>
      <c r="V58" s="347" t="n">
        <f aca="false">+SUM(V54:V57)</f>
        <v>0</v>
      </c>
      <c r="W58" s="347" t="n">
        <f aca="false">+SUM(W54:W57)</f>
        <v>0</v>
      </c>
      <c r="X58" s="347" t="n">
        <f aca="false">+SUM(X54:X57)</f>
        <v>0</v>
      </c>
      <c r="Y58" s="347" t="n">
        <f aca="false">+SUM(Y54:Y57)</f>
        <v>0</v>
      </c>
      <c r="Z58" s="347" t="n">
        <f aca="false">+SUM(Z54:Z57)</f>
        <v>0</v>
      </c>
      <c r="AA58" s="348" t="n">
        <f aca="false">+SUM(AA54:AA57)</f>
        <v>0</v>
      </c>
    </row>
    <row r="59" customFormat="false" ht="12.75" hidden="false" customHeight="true" outlineLevel="0" collapsed="false">
      <c r="A59" s="315"/>
      <c r="B59" s="346"/>
      <c r="C59" s="346"/>
      <c r="D59" s="347"/>
      <c r="E59" s="347"/>
      <c r="F59" s="347"/>
      <c r="G59" s="347"/>
      <c r="H59" s="347"/>
      <c r="I59" s="347"/>
      <c r="J59" s="347"/>
      <c r="K59" s="347"/>
      <c r="L59" s="347"/>
      <c r="M59" s="347"/>
      <c r="N59" s="347"/>
      <c r="O59" s="347"/>
      <c r="P59" s="347"/>
      <c r="Q59" s="347"/>
      <c r="R59" s="347"/>
      <c r="S59" s="347"/>
      <c r="T59" s="347"/>
      <c r="U59" s="347"/>
      <c r="V59" s="347"/>
      <c r="W59" s="347"/>
      <c r="X59" s="347"/>
      <c r="Y59" s="347"/>
      <c r="Z59" s="347"/>
      <c r="AA59" s="348"/>
    </row>
    <row r="60" customFormat="false" ht="12.75" hidden="false" customHeight="true" outlineLevel="0" collapsed="false">
      <c r="A60" s="338" t="s">
        <v>350</v>
      </c>
      <c r="B60" s="346"/>
      <c r="C60" s="346"/>
      <c r="D60" s="347"/>
      <c r="E60" s="347"/>
      <c r="F60" s="347"/>
      <c r="G60" s="347"/>
      <c r="H60" s="347"/>
      <c r="I60" s="347"/>
      <c r="J60" s="347"/>
      <c r="K60" s="347"/>
      <c r="L60" s="347"/>
      <c r="M60" s="347"/>
      <c r="N60" s="347"/>
      <c r="O60" s="347"/>
      <c r="P60" s="347"/>
      <c r="Q60" s="347"/>
      <c r="R60" s="347"/>
      <c r="S60" s="347"/>
      <c r="T60" s="347"/>
      <c r="U60" s="347"/>
      <c r="V60" s="347"/>
      <c r="W60" s="347"/>
      <c r="X60" s="347"/>
      <c r="Y60" s="347"/>
      <c r="Z60" s="347"/>
      <c r="AA60" s="348"/>
    </row>
    <row r="61" customFormat="false" ht="12.75" hidden="false" customHeight="true" outlineLevel="0" collapsed="false">
      <c r="A61" s="315" t="s">
        <v>342</v>
      </c>
      <c r="B61" s="316"/>
      <c r="C61" s="316"/>
      <c r="D61" s="340" t="n">
        <f aca="false">D45-D54</f>
        <v>0</v>
      </c>
      <c r="E61" s="340" t="n">
        <f aca="false">E45-E54</f>
        <v>0</v>
      </c>
      <c r="F61" s="340" t="n">
        <f aca="false">F45-F54</f>
        <v>0</v>
      </c>
      <c r="G61" s="340" t="n">
        <f aca="false">G45-G54</f>
        <v>0</v>
      </c>
      <c r="H61" s="340" t="n">
        <f aca="false">H45-H54</f>
        <v>0</v>
      </c>
      <c r="I61" s="340" t="n">
        <f aca="false">I45-I54</f>
        <v>0</v>
      </c>
      <c r="J61" s="340" t="n">
        <f aca="false">J45-J54</f>
        <v>0</v>
      </c>
      <c r="K61" s="340" t="n">
        <f aca="false">K45-K54</f>
        <v>0</v>
      </c>
      <c r="L61" s="340" t="n">
        <f aca="false">L45-L54</f>
        <v>6.0077628259583</v>
      </c>
      <c r="M61" s="340" t="n">
        <f aca="false">M45-M54</f>
        <v>6.0077628259583</v>
      </c>
      <c r="N61" s="340" t="n">
        <f aca="false">N45-N54</f>
        <v>6.0077628259583</v>
      </c>
      <c r="O61" s="340" t="n">
        <f aca="false">O45-O54</f>
        <v>6.0077628259583</v>
      </c>
      <c r="P61" s="340" t="n">
        <f aca="false">P45-P54</f>
        <v>6.0077628259583</v>
      </c>
      <c r="Q61" s="340" t="n">
        <f aca="false">Q45-Q54</f>
        <v>6.0077628259583</v>
      </c>
      <c r="R61" s="340" t="n">
        <f aca="false">R45-R54</f>
        <v>6.0077628259583</v>
      </c>
      <c r="S61" s="340" t="n">
        <f aca="false">S45-S54</f>
        <v>6.0077628259583</v>
      </c>
      <c r="T61" s="340" t="n">
        <f aca="false">T45-T54</f>
        <v>6.0077628259583</v>
      </c>
      <c r="U61" s="340" t="n">
        <f aca="false">U45-U54</f>
        <v>6.0077628259583</v>
      </c>
      <c r="V61" s="340" t="n">
        <f aca="false">V45-V54</f>
        <v>6.0077628259583</v>
      </c>
      <c r="W61" s="340" t="n">
        <f aca="false">W45-W54</f>
        <v>6.0077628259583</v>
      </c>
      <c r="X61" s="340" t="n">
        <f aca="false">X45-X54</f>
        <v>0</v>
      </c>
      <c r="Y61" s="340" t="n">
        <f aca="false">Y45-Y54</f>
        <v>0</v>
      </c>
      <c r="Z61" s="340" t="n">
        <f aca="false">Z45-Z54</f>
        <v>0</v>
      </c>
      <c r="AA61" s="341" t="n">
        <f aca="false">AA45-AA54</f>
        <v>0</v>
      </c>
    </row>
    <row r="62" customFormat="false" ht="12.75" hidden="false" customHeight="true" outlineLevel="0" collapsed="false">
      <c r="A62" s="315" t="s">
        <v>343</v>
      </c>
      <c r="B62" s="316"/>
      <c r="C62" s="316"/>
      <c r="D62" s="340" t="n">
        <f aca="false">D46-D55</f>
        <v>0</v>
      </c>
      <c r="E62" s="340" t="n">
        <f aca="false">E46-E55</f>
        <v>0</v>
      </c>
      <c r="F62" s="340" t="n">
        <f aca="false">F46-F55</f>
        <v>0</v>
      </c>
      <c r="G62" s="340" t="n">
        <f aca="false">G46-G55</f>
        <v>0</v>
      </c>
      <c r="H62" s="340" t="n">
        <f aca="false">H46-H55</f>
        <v>0</v>
      </c>
      <c r="I62" s="340" t="n">
        <f aca="false">I46-I55</f>
        <v>0</v>
      </c>
      <c r="J62" s="340" t="n">
        <f aca="false">J46-J55</f>
        <v>0</v>
      </c>
      <c r="K62" s="340" t="n">
        <f aca="false">K46-K55</f>
        <v>0</v>
      </c>
      <c r="L62" s="340" t="n">
        <f aca="false">L46-L55</f>
        <v>6.44730246143298</v>
      </c>
      <c r="M62" s="340" t="n">
        <f aca="false">M46-M55</f>
        <v>6.53226964161165</v>
      </c>
      <c r="N62" s="340" t="n">
        <f aca="false">N46-N55</f>
        <v>6.61690388774085</v>
      </c>
      <c r="O62" s="340" t="n">
        <f aca="false">O46-O55</f>
        <v>6.70131443545414</v>
      </c>
      <c r="P62" s="340" t="n">
        <f aca="false">P46-P55</f>
        <v>6.78582684684548</v>
      </c>
      <c r="Q62" s="340" t="n">
        <f aca="false">Q46-Q55</f>
        <v>6.8707280950306</v>
      </c>
      <c r="R62" s="340" t="n">
        <f aca="false">R46-R55</f>
        <v>6.95693434515272</v>
      </c>
      <c r="S62" s="340" t="n">
        <f aca="false">S46-S55</f>
        <v>7.04545124605561</v>
      </c>
      <c r="T62" s="340" t="n">
        <f aca="false">T46-T55</f>
        <v>7.13650015041844</v>
      </c>
      <c r="U62" s="340" t="n">
        <f aca="false">U46-U55</f>
        <v>7.23053522420366</v>
      </c>
      <c r="V62" s="340" t="n">
        <f aca="false">V46-V55</f>
        <v>7.32758269149309</v>
      </c>
      <c r="W62" s="340" t="n">
        <f aca="false">W46-W55</f>
        <v>7.42719679120675</v>
      </c>
      <c r="X62" s="340" t="n">
        <f aca="false">X46-X55</f>
        <v>0</v>
      </c>
      <c r="Y62" s="340" t="n">
        <f aca="false">Y46-Y55</f>
        <v>0</v>
      </c>
      <c r="Z62" s="340" t="n">
        <f aca="false">Z46-Z55</f>
        <v>0</v>
      </c>
      <c r="AA62" s="341" t="n">
        <f aca="false">AA46-AA55</f>
        <v>0</v>
      </c>
    </row>
    <row r="63" customFormat="false" ht="12.75" hidden="false" customHeight="true" outlineLevel="0" collapsed="false">
      <c r="A63" s="315" t="s">
        <v>340</v>
      </c>
      <c r="B63" s="316"/>
      <c r="C63" s="316"/>
      <c r="D63" s="340" t="n">
        <f aca="false">D47-D56</f>
        <v>0</v>
      </c>
      <c r="E63" s="340" t="n">
        <f aca="false">E47-E56</f>
        <v>0</v>
      </c>
      <c r="F63" s="340" t="n">
        <f aca="false">F47-F56</f>
        <v>0</v>
      </c>
      <c r="G63" s="340" t="n">
        <f aca="false">G47-G56</f>
        <v>0</v>
      </c>
      <c r="H63" s="340" t="n">
        <f aca="false">H47-H56</f>
        <v>0</v>
      </c>
      <c r="I63" s="340" t="n">
        <f aca="false">I47-I56</f>
        <v>0</v>
      </c>
      <c r="J63" s="340" t="n">
        <f aca="false">J47-J56</f>
        <v>0</v>
      </c>
      <c r="K63" s="340" t="n">
        <f aca="false">K47-K56</f>
        <v>0</v>
      </c>
      <c r="L63" s="340" t="n">
        <f aca="false">L47-L56</f>
        <v>0</v>
      </c>
      <c r="M63" s="340" t="n">
        <f aca="false">M47-M56</f>
        <v>0</v>
      </c>
      <c r="N63" s="340" t="n">
        <f aca="false">N47-N56</f>
        <v>0</v>
      </c>
      <c r="O63" s="340" t="n">
        <f aca="false">O47-O56</f>
        <v>0</v>
      </c>
      <c r="P63" s="340" t="n">
        <f aca="false">P47-P56</f>
        <v>0</v>
      </c>
      <c r="Q63" s="340" t="n">
        <f aca="false">Q47-Q56</f>
        <v>0</v>
      </c>
      <c r="R63" s="340" t="n">
        <f aca="false">R47-R56</f>
        <v>0</v>
      </c>
      <c r="S63" s="340" t="n">
        <f aca="false">S47-S56</f>
        <v>0</v>
      </c>
      <c r="T63" s="340" t="n">
        <f aca="false">T47-T56</f>
        <v>0</v>
      </c>
      <c r="U63" s="340" t="n">
        <f aca="false">U47-U56</f>
        <v>0</v>
      </c>
      <c r="V63" s="340" t="n">
        <f aca="false">V47-V56</f>
        <v>0</v>
      </c>
      <c r="W63" s="340" t="n">
        <f aca="false">W47-W56</f>
        <v>0</v>
      </c>
      <c r="X63" s="340" t="n">
        <f aca="false">X47-X56</f>
        <v>0</v>
      </c>
      <c r="Y63" s="340" t="n">
        <f aca="false">Y47-Y56</f>
        <v>0</v>
      </c>
      <c r="Z63" s="340" t="n">
        <f aca="false">Z47-Z56</f>
        <v>0</v>
      </c>
      <c r="AA63" s="341" t="n">
        <f aca="false">AA47-AA56</f>
        <v>0</v>
      </c>
    </row>
    <row r="64" customFormat="false" ht="12.75" hidden="false" customHeight="true" outlineLevel="0" collapsed="false">
      <c r="A64" s="342" t="s">
        <v>349</v>
      </c>
      <c r="B64" s="343"/>
      <c r="C64" s="343"/>
      <c r="D64" s="344" t="n">
        <f aca="false">SUM(D$48:D$49)-D57</f>
        <v>0</v>
      </c>
      <c r="E64" s="344" t="n">
        <f aca="false">SUM(E$48:E$49)-E57</f>
        <v>0</v>
      </c>
      <c r="F64" s="344" t="n">
        <f aca="false">SUM(F$48:F$49)-F57</f>
        <v>0</v>
      </c>
      <c r="G64" s="344" t="n">
        <f aca="false">SUM(G$48:G$49)-G57</f>
        <v>0</v>
      </c>
      <c r="H64" s="344" t="n">
        <f aca="false">SUM(H$48:H$49)-H57</f>
        <v>0</v>
      </c>
      <c r="I64" s="344" t="n">
        <f aca="false">SUM(I$48:I$49)-I57</f>
        <v>0</v>
      </c>
      <c r="J64" s="344" t="n">
        <f aca="false">SUM(J$48:J$49)-J57</f>
        <v>0</v>
      </c>
      <c r="K64" s="344" t="n">
        <f aca="false">SUM(K$48:K$49)-K57</f>
        <v>0</v>
      </c>
      <c r="L64" s="344" t="n">
        <f aca="false">SUM(L$48:L$49)-L57</f>
        <v>3.87654081964895</v>
      </c>
      <c r="M64" s="344" t="n">
        <f aca="false">SUM(M$48:M$49)-M57</f>
        <v>3.96637708720619</v>
      </c>
      <c r="N64" s="344" t="n">
        <f aca="false">SUM(N$48:N$49)-N57</f>
        <v>4.01294392103508</v>
      </c>
      <c r="O64" s="344" t="n">
        <f aca="false">SUM(O$48:O$49)-O57</f>
        <v>4.37676978214779</v>
      </c>
      <c r="P64" s="344" t="n">
        <f aca="false">SUM(P$48:P$49)-P57</f>
        <v>4.46265955423303</v>
      </c>
      <c r="Q64" s="344" t="n">
        <f aca="false">SUM(Q$48:Q$49)-Q57</f>
        <v>4.57399855464337</v>
      </c>
      <c r="R64" s="344" t="n">
        <f aca="false">SUM(R$48:R$49)-R57</f>
        <v>4.96734729101095</v>
      </c>
      <c r="S64" s="344" t="n">
        <f aca="false">SUM(S$48:S$49)-S57</f>
        <v>5.07210939896978</v>
      </c>
      <c r="T64" s="344" t="n">
        <f aca="false">SUM(T$48:T$49)-T57</f>
        <v>5.19273610571642</v>
      </c>
      <c r="U64" s="344" t="n">
        <f aca="false">SUM(U$48:U$49)-U57</f>
        <v>5.33439744056024</v>
      </c>
      <c r="V64" s="344" t="n">
        <f aca="false">SUM(V$48:V$49)-V57</f>
        <v>5.45642214714089</v>
      </c>
      <c r="W64" s="344" t="n">
        <f aca="false">SUM(W$48:W$49)-W57</f>
        <v>5.56214904765586</v>
      </c>
      <c r="X64" s="344" t="n">
        <f aca="false">SUM(X$48:X$49)-X57</f>
        <v>0</v>
      </c>
      <c r="Y64" s="344" t="n">
        <f aca="false">SUM(Y$48:Y$49)-Y57</f>
        <v>0</v>
      </c>
      <c r="Z64" s="344" t="n">
        <f aca="false">SUM(Z$48:Z$49)-Z57</f>
        <v>0</v>
      </c>
      <c r="AA64" s="345" t="n">
        <f aca="false">SUM(AA$48:AA$49)-AA57</f>
        <v>0</v>
      </c>
    </row>
    <row r="65" customFormat="false" ht="12.75" hidden="false" customHeight="true" outlineLevel="0" collapsed="false">
      <c r="A65" s="349" t="s">
        <v>346</v>
      </c>
      <c r="B65" s="350"/>
      <c r="C65" s="350"/>
      <c r="D65" s="351" t="n">
        <f aca="false">+SUM(D61:D64)</f>
        <v>0</v>
      </c>
      <c r="E65" s="351" t="n">
        <f aca="false">+SUM(E61:E64)</f>
        <v>0</v>
      </c>
      <c r="F65" s="351" t="n">
        <f aca="false">+SUM(F61:F64)</f>
        <v>0</v>
      </c>
      <c r="G65" s="351" t="n">
        <f aca="false">+SUM(G61:G64)</f>
        <v>0</v>
      </c>
      <c r="H65" s="351" t="n">
        <f aca="false">+SUM(H61:H64)</f>
        <v>0</v>
      </c>
      <c r="I65" s="351" t="n">
        <f aca="false">+SUM(I61:I64)</f>
        <v>0</v>
      </c>
      <c r="J65" s="351" t="n">
        <f aca="false">+SUM(J61:J64)</f>
        <v>0</v>
      </c>
      <c r="K65" s="351" t="n">
        <f aca="false">+SUM(K61:K64)</f>
        <v>0</v>
      </c>
      <c r="L65" s="351" t="n">
        <f aca="false">+SUM(L61:L64)</f>
        <v>16.3316061070402</v>
      </c>
      <c r="M65" s="351" t="n">
        <f aca="false">+SUM(M61:M64)</f>
        <v>16.5064095547762</v>
      </c>
      <c r="N65" s="351" t="n">
        <f aca="false">+SUM(N61:N64)</f>
        <v>16.6376106347342</v>
      </c>
      <c r="O65" s="351" t="n">
        <f aca="false">+SUM(O61:O64)</f>
        <v>17.0858470435602</v>
      </c>
      <c r="P65" s="351" t="n">
        <f aca="false">+SUM(P61:P64)</f>
        <v>17.2562492270368</v>
      </c>
      <c r="Q65" s="351" t="n">
        <f aca="false">+SUM(Q61:Q64)</f>
        <v>17.4524894756323</v>
      </c>
      <c r="R65" s="351" t="n">
        <f aca="false">+SUM(R61:R64)</f>
        <v>17.932044462122</v>
      </c>
      <c r="S65" s="351" t="n">
        <f aca="false">+SUM(S61:S64)</f>
        <v>18.1253234709837</v>
      </c>
      <c r="T65" s="351" t="n">
        <f aca="false">+SUM(T61:T64)</f>
        <v>18.3369990820932</v>
      </c>
      <c r="U65" s="351" t="n">
        <f aca="false">+SUM(U61:U64)</f>
        <v>18.5726954907222</v>
      </c>
      <c r="V65" s="351" t="n">
        <f aca="false">+SUM(V61:V64)</f>
        <v>18.7917676645923</v>
      </c>
      <c r="W65" s="351" t="n">
        <f aca="false">+SUM(W61:W64)</f>
        <v>18.9971086648209</v>
      </c>
      <c r="X65" s="351" t="n">
        <f aca="false">+SUM(X61:X64)</f>
        <v>0</v>
      </c>
      <c r="Y65" s="351" t="n">
        <f aca="false">+SUM(Y61:Y64)</f>
        <v>0</v>
      </c>
      <c r="Z65" s="351" t="n">
        <f aca="false">+SUM(Z61:Z64)</f>
        <v>0</v>
      </c>
      <c r="AA65" s="352" t="n">
        <f aca="false">+SUM(AA61:AA64)</f>
        <v>0</v>
      </c>
    </row>
    <row r="66" customFormat="false" ht="12.75" hidden="false" customHeight="true" outlineLevel="0" collapsed="false">
      <c r="A66" s="161"/>
      <c r="B66" s="131"/>
      <c r="C66" s="131"/>
      <c r="D66" s="131"/>
      <c r="E66" s="131"/>
      <c r="F66" s="131"/>
      <c r="G66" s="131"/>
      <c r="H66" s="131"/>
      <c r="I66" s="131"/>
      <c r="J66" s="131"/>
      <c r="K66" s="131"/>
      <c r="L66" s="131"/>
      <c r="M66" s="131"/>
      <c r="N66" s="131"/>
      <c r="O66" s="131"/>
      <c r="P66" s="131"/>
      <c r="Q66" s="131"/>
      <c r="R66" s="131"/>
      <c r="S66" s="131"/>
      <c r="T66" s="131"/>
      <c r="U66" s="131"/>
      <c r="V66" s="131"/>
      <c r="W66" s="131"/>
      <c r="X66" s="131"/>
      <c r="Y66" s="131"/>
      <c r="Z66" s="131"/>
      <c r="AA66" s="131"/>
    </row>
    <row r="67" customFormat="false" ht="12.75" hidden="false" customHeight="true" outlineLevel="0" collapsed="false">
      <c r="A67" s="309" t="s">
        <v>351</v>
      </c>
      <c r="B67" s="310"/>
      <c r="C67" s="310"/>
      <c r="D67" s="310"/>
      <c r="E67" s="310"/>
      <c r="F67" s="310"/>
      <c r="G67" s="310"/>
      <c r="H67" s="310"/>
      <c r="I67" s="310"/>
      <c r="J67" s="310"/>
      <c r="K67" s="310"/>
      <c r="L67" s="310"/>
      <c r="M67" s="310"/>
      <c r="N67" s="310"/>
      <c r="O67" s="310"/>
      <c r="P67" s="310"/>
      <c r="Q67" s="310"/>
      <c r="R67" s="310"/>
      <c r="S67" s="310"/>
      <c r="T67" s="310"/>
      <c r="U67" s="310"/>
      <c r="V67" s="310"/>
      <c r="W67" s="310"/>
      <c r="X67" s="310"/>
      <c r="Y67" s="310"/>
      <c r="Z67" s="310"/>
      <c r="AA67" s="311"/>
    </row>
    <row r="68" customFormat="false" ht="12.75" hidden="false" customHeight="true" outlineLevel="0" collapsed="false">
      <c r="A68" s="321"/>
      <c r="B68" s="131"/>
      <c r="C68" s="131"/>
      <c r="D68" s="131"/>
      <c r="E68" s="131"/>
      <c r="F68" s="131"/>
      <c r="G68" s="131"/>
      <c r="H68" s="131"/>
      <c r="I68" s="131"/>
      <c r="J68" s="131"/>
      <c r="K68" s="131"/>
      <c r="L68" s="131"/>
      <c r="M68" s="131"/>
      <c r="N68" s="131"/>
      <c r="O68" s="131"/>
      <c r="P68" s="131"/>
      <c r="Q68" s="131"/>
      <c r="R68" s="131"/>
      <c r="S68" s="131"/>
      <c r="T68" s="131"/>
      <c r="U68" s="131"/>
      <c r="V68" s="131"/>
      <c r="W68" s="131"/>
      <c r="X68" s="131"/>
      <c r="Y68" s="131"/>
      <c r="Z68" s="131"/>
      <c r="AA68" s="324"/>
    </row>
    <row r="69" customFormat="false" ht="12.75" hidden="false" customHeight="true" outlineLevel="0" collapsed="false">
      <c r="A69" s="315" t="s">
        <v>352</v>
      </c>
      <c r="B69" s="316"/>
      <c r="C69" s="316"/>
      <c r="D69" s="317" t="n">
        <f aca="false">+'Common Assumpt'!$N$42</f>
        <v>0.250696887314241</v>
      </c>
      <c r="E69" s="318" t="n">
        <f aca="false">+'Common Assumpt'!$N$42</f>
        <v>0.250696887314241</v>
      </c>
      <c r="F69" s="318" t="n">
        <f aca="false">+'Common Assumpt'!$N$42</f>
        <v>0.250696887314241</v>
      </c>
      <c r="G69" s="318" t="n">
        <f aca="false">+'Common Assumpt'!$N$42</f>
        <v>0.250696887314241</v>
      </c>
      <c r="H69" s="318" t="n">
        <f aca="false">+'Common Assumpt'!$N$42</f>
        <v>0.250696887314241</v>
      </c>
      <c r="I69" s="318" t="n">
        <f aca="false">+'Common Assumpt'!$N$42</f>
        <v>0.250696887314241</v>
      </c>
      <c r="J69" s="318" t="n">
        <f aca="false">+'Common Assumpt'!$N$42</f>
        <v>0.250696887314241</v>
      </c>
      <c r="K69" s="318" t="n">
        <f aca="false">+'Common Assumpt'!$N$42</f>
        <v>0.250696887314241</v>
      </c>
      <c r="L69" s="318" t="n">
        <f aca="false">+'Common Assumpt'!$N$42</f>
        <v>0.250696887314241</v>
      </c>
      <c r="M69" s="318" t="n">
        <f aca="false">+'Common Assumpt'!$N$42</f>
        <v>0.250696887314241</v>
      </c>
      <c r="N69" s="318" t="n">
        <f aca="false">+'Common Assumpt'!$N$42</f>
        <v>0.250696887314241</v>
      </c>
      <c r="O69" s="318" t="n">
        <f aca="false">+'Common Assumpt'!$N$42</f>
        <v>0.250696887314241</v>
      </c>
      <c r="P69" s="318" t="n">
        <f aca="false">+'Common Assumpt'!$N$42</f>
        <v>0.250696887314241</v>
      </c>
      <c r="Q69" s="318" t="n">
        <f aca="false">+'Common Assumpt'!$N$42</f>
        <v>0.250696887314241</v>
      </c>
      <c r="R69" s="318" t="n">
        <f aca="false">+'Common Assumpt'!$N$42</f>
        <v>0.250696887314241</v>
      </c>
      <c r="S69" s="318" t="n">
        <f aca="false">+'Common Assumpt'!$N$42</f>
        <v>0.250696887314241</v>
      </c>
      <c r="T69" s="318" t="n">
        <f aca="false">+'Common Assumpt'!$N$42</f>
        <v>0.250696887314241</v>
      </c>
      <c r="U69" s="318" t="n">
        <f aca="false">+'Common Assumpt'!$N$42</f>
        <v>0.250696887314241</v>
      </c>
      <c r="V69" s="318" t="n">
        <f aca="false">+'Common Assumpt'!$N$42</f>
        <v>0.250696887314241</v>
      </c>
      <c r="W69" s="318" t="n">
        <f aca="false">+'Common Assumpt'!$N$42</f>
        <v>0.250696887314241</v>
      </c>
      <c r="X69" s="318" t="n">
        <f aca="false">+'Common Assumpt'!$N$42</f>
        <v>0.250696887314241</v>
      </c>
      <c r="Y69" s="318" t="n">
        <f aca="false">+'Common Assumpt'!$N$42</f>
        <v>0.250696887314241</v>
      </c>
      <c r="Z69" s="318" t="n">
        <f aca="false">+'Common Assumpt'!$N$42</f>
        <v>0.250696887314241</v>
      </c>
      <c r="AA69" s="319" t="n">
        <f aca="false">+'Common Assumpt'!$N$42</f>
        <v>0.250696887314241</v>
      </c>
    </row>
    <row r="70" customFormat="false" ht="12.75" hidden="false" customHeight="true" outlineLevel="0" collapsed="false">
      <c r="A70" s="342" t="s">
        <v>353</v>
      </c>
      <c r="B70" s="343"/>
      <c r="C70" s="343"/>
      <c r="D70" s="353" t="n">
        <f aca="false">+'Common Assumpt'!C$9*'Common Assumpt'!$N$43</f>
        <v>0.0215407496143268</v>
      </c>
      <c r="E70" s="354" t="n">
        <f aca="false">+'Common Assumpt'!D$9*'Common Assumpt'!$N$43</f>
        <v>0.026736638280557</v>
      </c>
      <c r="F70" s="354" t="n">
        <f aca="false">+'Common Assumpt'!E$9*'Common Assumpt'!$N$43</f>
        <v>0.0265356630034031</v>
      </c>
      <c r="G70" s="354" t="n">
        <f aca="false">+'Common Assumpt'!F$9*'Common Assumpt'!$N$43</f>
        <v>0.0260063192950815</v>
      </c>
      <c r="H70" s="354" t="n">
        <f aca="false">+'Common Assumpt'!G$9*'Common Assumpt'!$N$43</f>
        <v>0.0261651341437869</v>
      </c>
      <c r="I70" s="354" t="n">
        <f aca="false">+'Common Assumpt'!H$9*'Common Assumpt'!$N$43</f>
        <v>0.0263892149670218</v>
      </c>
      <c r="J70" s="354" t="n">
        <f aca="false">+'Common Assumpt'!I$9*'Common Assumpt'!$N$43</f>
        <v>0.026860435587446</v>
      </c>
      <c r="K70" s="354" t="n">
        <f aca="false">+'Common Assumpt'!J$9*'Common Assumpt'!$N$43</f>
        <v>0.0275602236857179</v>
      </c>
      <c r="L70" s="354" t="n">
        <f aca="false">+'Common Assumpt'!K$9*'Common Assumpt'!$N$43</f>
        <v>0.0280094933246725</v>
      </c>
      <c r="M70" s="354" t="n">
        <f aca="false">+'Common Assumpt'!L$9*'Common Assumpt'!$N$43</f>
        <v>0.0288198093503267</v>
      </c>
      <c r="N70" s="354" t="n">
        <f aca="false">+'Common Assumpt'!M$9*'Common Assumpt'!$N$43</f>
        <v>0.0291382956020988</v>
      </c>
      <c r="O70" s="354" t="n">
        <f aca="false">+'Common Assumpt'!N$9*'Common Assumpt'!$N$43</f>
        <v>0.0299424378665836</v>
      </c>
      <c r="P70" s="354" t="n">
        <f aca="false">+'Common Assumpt'!O$9*'Common Assumpt'!$N$43</f>
        <v>0.0306475889827524</v>
      </c>
      <c r="Q70" s="354" t="n">
        <f aca="false">+'Common Assumpt'!P$9*'Common Assumpt'!$N$43</f>
        <v>0.0316233470438536</v>
      </c>
      <c r="R70" s="354" t="n">
        <f aca="false">+'Common Assumpt'!Q$9*'Common Assumpt'!$N$43</f>
        <v>0.032475266043814</v>
      </c>
      <c r="S70" s="354" t="n">
        <f aca="false">+'Common Assumpt'!R$9*'Common Assumpt'!$N$43</f>
        <v>0.0333057817400801</v>
      </c>
      <c r="T70" s="354" t="n">
        <f aca="false">+'Common Assumpt'!S$9*'Common Assumpt'!$N$43</f>
        <v>0.0342892647601633</v>
      </c>
      <c r="U70" s="354" t="n">
        <f aca="false">+'Common Assumpt'!T$9*'Common Assumpt'!$N$43</f>
        <v>0.0354764928360195</v>
      </c>
      <c r="V70" s="354" t="n">
        <f aca="false">+'Common Assumpt'!U$9*'Common Assumpt'!$N$43</f>
        <v>0.0364590076500578</v>
      </c>
      <c r="W70" s="354" t="n">
        <f aca="false">+'Common Assumpt'!V$9*'Common Assumpt'!$N$43</f>
        <v>0.0372714504651547</v>
      </c>
      <c r="X70" s="354" t="n">
        <f aca="false">+'Common Assumpt'!W$9*'Common Assumpt'!$N$43</f>
        <v>0.0385885861935962</v>
      </c>
      <c r="Y70" s="354" t="n">
        <f aca="false">+'Common Assumpt'!X$9*'Common Assumpt'!$N$43</f>
        <v>0.0385885861935962</v>
      </c>
      <c r="Z70" s="354" t="n">
        <f aca="false">+'Common Assumpt'!Y$9*'Common Assumpt'!$N$43</f>
        <v>0.0385885861935962</v>
      </c>
      <c r="AA70" s="355" t="n">
        <f aca="false">+'Common Assumpt'!Z$9*'Common Assumpt'!$N$43</f>
        <v>0.0385885861935962</v>
      </c>
    </row>
    <row r="71" customFormat="false" ht="12.75" hidden="false" customHeight="true" outlineLevel="0" collapsed="false">
      <c r="A71" s="315" t="s">
        <v>354</v>
      </c>
      <c r="B71" s="316"/>
      <c r="C71" s="316"/>
      <c r="D71" s="317" t="n">
        <f aca="false">+SUM(D69:D70)</f>
        <v>0.272237636928568</v>
      </c>
      <c r="E71" s="318" t="n">
        <f aca="false">+SUM(E69:E70)</f>
        <v>0.277433525594798</v>
      </c>
      <c r="F71" s="318" t="n">
        <f aca="false">+SUM(F69:F70)</f>
        <v>0.277232550317645</v>
      </c>
      <c r="G71" s="318" t="n">
        <f aca="false">+SUM(G69:G70)</f>
        <v>0.276703206609323</v>
      </c>
      <c r="H71" s="318" t="n">
        <f aca="false">+SUM(H69:H70)</f>
        <v>0.276862021458028</v>
      </c>
      <c r="I71" s="318" t="n">
        <f aca="false">+SUM(I69:I70)</f>
        <v>0.277086102281263</v>
      </c>
      <c r="J71" s="318" t="n">
        <f aca="false">+SUM(J69:J70)</f>
        <v>0.277557322901687</v>
      </c>
      <c r="K71" s="318" t="n">
        <f aca="false">+SUM(K69:K70)</f>
        <v>0.278257110999959</v>
      </c>
      <c r="L71" s="318" t="n">
        <f aca="false">+SUM(L69:L70)</f>
        <v>0.278706380638914</v>
      </c>
      <c r="M71" s="318" t="n">
        <f aca="false">+SUM(M69:M70)</f>
        <v>0.279516696664568</v>
      </c>
      <c r="N71" s="318" t="n">
        <f aca="false">+SUM(N69:N70)</f>
        <v>0.27983518291634</v>
      </c>
      <c r="O71" s="318" t="n">
        <f aca="false">+SUM(O69:O70)</f>
        <v>0.280639325180825</v>
      </c>
      <c r="P71" s="318" t="n">
        <f aca="false">+SUM(P69:P70)</f>
        <v>0.281344476296994</v>
      </c>
      <c r="Q71" s="318" t="n">
        <f aca="false">+SUM(Q69:Q70)</f>
        <v>0.282320234358095</v>
      </c>
      <c r="R71" s="318" t="n">
        <f aca="false">+SUM(R69:R70)</f>
        <v>0.283172153358055</v>
      </c>
      <c r="S71" s="318" t="n">
        <f aca="false">+SUM(S69:S70)</f>
        <v>0.284002669054322</v>
      </c>
      <c r="T71" s="318" t="n">
        <f aca="false">+SUM(T69:T70)</f>
        <v>0.284986152074405</v>
      </c>
      <c r="U71" s="318" t="n">
        <f aca="false">+SUM(U69:U70)</f>
        <v>0.286173380150261</v>
      </c>
      <c r="V71" s="318" t="n">
        <f aca="false">+SUM(V69:V70)</f>
        <v>0.287155894964299</v>
      </c>
      <c r="W71" s="318" t="n">
        <f aca="false">+SUM(W69:W70)</f>
        <v>0.287968337779396</v>
      </c>
      <c r="X71" s="318" t="n">
        <f aca="false">+SUM(X69:X70)</f>
        <v>0.289285473507838</v>
      </c>
      <c r="Y71" s="318" t="n">
        <f aca="false">+SUM(Y69:Y70)</f>
        <v>0.289285473507838</v>
      </c>
      <c r="Z71" s="318" t="n">
        <f aca="false">+SUM(Z69:Z70)</f>
        <v>0.289285473507838</v>
      </c>
      <c r="AA71" s="319" t="n">
        <f aca="false">+SUM(AA69:AA70)</f>
        <v>0.289285473507838</v>
      </c>
    </row>
    <row r="72" customFormat="false" ht="12.75" hidden="false" customHeight="true" outlineLevel="0" collapsed="false">
      <c r="A72" s="315"/>
      <c r="B72" s="316"/>
      <c r="C72" s="316"/>
      <c r="D72" s="317"/>
      <c r="E72" s="318"/>
      <c r="F72" s="318"/>
      <c r="G72" s="318"/>
      <c r="H72" s="318"/>
      <c r="I72" s="318"/>
      <c r="J72" s="318"/>
      <c r="K72" s="318"/>
      <c r="L72" s="318"/>
      <c r="M72" s="318"/>
      <c r="N72" s="318"/>
      <c r="O72" s="318"/>
      <c r="P72" s="318"/>
      <c r="Q72" s="318"/>
      <c r="R72" s="318"/>
      <c r="S72" s="318"/>
      <c r="T72" s="318"/>
      <c r="U72" s="318"/>
      <c r="V72" s="318"/>
      <c r="W72" s="318"/>
      <c r="X72" s="318"/>
      <c r="Y72" s="318"/>
      <c r="Z72" s="318"/>
      <c r="AA72" s="319"/>
    </row>
    <row r="73" customFormat="false" ht="12.75" hidden="false" customHeight="true" outlineLevel="0" collapsed="false">
      <c r="A73" s="349" t="s">
        <v>355</v>
      </c>
      <c r="B73" s="356"/>
      <c r="C73" s="356"/>
      <c r="D73" s="357" t="n">
        <f aca="false">+'Common Assumpt'!$F$35</f>
        <v>0.02</v>
      </c>
      <c r="E73" s="358" t="n">
        <f aca="false">+'Common Assumpt'!$F$35</f>
        <v>0.02</v>
      </c>
      <c r="F73" s="358" t="n">
        <f aca="false">+'Common Assumpt'!$F$35</f>
        <v>0.02</v>
      </c>
      <c r="G73" s="358" t="n">
        <f aca="false">+'Common Assumpt'!$F$35</f>
        <v>0.02</v>
      </c>
      <c r="H73" s="358" t="n">
        <f aca="false">+'Common Assumpt'!$F$35</f>
        <v>0.02</v>
      </c>
      <c r="I73" s="358" t="n">
        <f aca="false">+'Common Assumpt'!$F$35</f>
        <v>0.02</v>
      </c>
      <c r="J73" s="358" t="n">
        <f aca="false">+'Common Assumpt'!$F$35</f>
        <v>0.02</v>
      </c>
      <c r="K73" s="358" t="n">
        <f aca="false">+'Common Assumpt'!$F$35</f>
        <v>0.02</v>
      </c>
      <c r="L73" s="358" t="n">
        <f aca="false">+'Common Assumpt'!$F$35</f>
        <v>0.02</v>
      </c>
      <c r="M73" s="358" t="n">
        <f aca="false">+'Common Assumpt'!$F$35</f>
        <v>0.02</v>
      </c>
      <c r="N73" s="358" t="n">
        <f aca="false">+'Common Assumpt'!$F$35</f>
        <v>0.02</v>
      </c>
      <c r="O73" s="358" t="n">
        <f aca="false">+'Common Assumpt'!$F$35</f>
        <v>0.02</v>
      </c>
      <c r="P73" s="358" t="n">
        <f aca="false">+'Common Assumpt'!$F$35</f>
        <v>0.02</v>
      </c>
      <c r="Q73" s="358" t="n">
        <f aca="false">+'Common Assumpt'!$F$35</f>
        <v>0.02</v>
      </c>
      <c r="R73" s="358" t="n">
        <f aca="false">+'Common Assumpt'!$F$35</f>
        <v>0.02</v>
      </c>
      <c r="S73" s="358" t="n">
        <f aca="false">+'Common Assumpt'!$F$35</f>
        <v>0.02</v>
      </c>
      <c r="T73" s="358" t="n">
        <f aca="false">+'Common Assumpt'!$F$35</f>
        <v>0.02</v>
      </c>
      <c r="U73" s="358" t="n">
        <f aca="false">+'Common Assumpt'!$F$35</f>
        <v>0.02</v>
      </c>
      <c r="V73" s="358" t="n">
        <f aca="false">+'Common Assumpt'!$F$35</f>
        <v>0.02</v>
      </c>
      <c r="W73" s="358" t="n">
        <f aca="false">+'Common Assumpt'!$F$35</f>
        <v>0.02</v>
      </c>
      <c r="X73" s="358" t="n">
        <f aca="false">+'Common Assumpt'!$F$35</f>
        <v>0.02</v>
      </c>
      <c r="Y73" s="358" t="n">
        <f aca="false">+'Common Assumpt'!$F$35</f>
        <v>0.02</v>
      </c>
      <c r="Z73" s="358" t="n">
        <f aca="false">+'Common Assumpt'!$F$35</f>
        <v>0.02</v>
      </c>
      <c r="AA73" s="359" t="n">
        <f aca="false">+'Common Assumpt'!$F$35</f>
        <v>0.02</v>
      </c>
    </row>
    <row r="74" customFormat="false" ht="12.75" hidden="false" customHeight="true" outlineLevel="0" collapsed="false">
      <c r="A74" s="161"/>
      <c r="B74" s="131"/>
      <c r="C74" s="131"/>
      <c r="D74" s="131"/>
      <c r="E74" s="131"/>
      <c r="F74" s="131"/>
      <c r="G74" s="131"/>
      <c r="H74" s="131"/>
      <c r="I74" s="131"/>
      <c r="J74" s="131"/>
      <c r="K74" s="131"/>
      <c r="L74" s="131"/>
      <c r="M74" s="131"/>
      <c r="N74" s="131"/>
      <c r="O74" s="131"/>
      <c r="P74" s="131"/>
      <c r="Q74" s="131"/>
      <c r="R74" s="131"/>
      <c r="S74" s="131"/>
      <c r="T74" s="131"/>
      <c r="U74" s="131"/>
      <c r="V74" s="131"/>
      <c r="W74" s="131"/>
      <c r="X74" s="131"/>
      <c r="Y74" s="131"/>
      <c r="Z74" s="131"/>
      <c r="AA74" s="131"/>
    </row>
    <row r="75" customFormat="false" ht="12.75" hidden="false" customHeight="true" outlineLevel="0" collapsed="false">
      <c r="A75" s="360" t="s">
        <v>356</v>
      </c>
      <c r="B75" s="361"/>
      <c r="C75" s="361"/>
      <c r="D75" s="362"/>
      <c r="E75" s="362"/>
      <c r="F75" s="362"/>
      <c r="G75" s="362"/>
      <c r="H75" s="362"/>
      <c r="I75" s="362"/>
      <c r="J75" s="362"/>
      <c r="K75" s="363"/>
      <c r="L75" s="362"/>
      <c r="M75" s="362"/>
      <c r="N75" s="362"/>
      <c r="O75" s="362"/>
      <c r="P75" s="362"/>
      <c r="Q75" s="362"/>
      <c r="R75" s="362"/>
      <c r="S75" s="362"/>
      <c r="T75" s="362"/>
      <c r="U75" s="362"/>
      <c r="V75" s="362"/>
      <c r="W75" s="362"/>
      <c r="X75" s="362"/>
      <c r="Y75" s="362"/>
      <c r="Z75" s="362"/>
      <c r="AA75" s="364"/>
    </row>
    <row r="76" customFormat="false" ht="12.75" hidden="false" customHeight="true" outlineLevel="0" collapsed="false">
      <c r="A76" s="148"/>
      <c r="B76" s="148"/>
      <c r="C76" s="148"/>
    </row>
    <row r="77" customFormat="false" ht="12.75" hidden="false" customHeight="true" outlineLevel="0" collapsed="false">
      <c r="A77" s="148" t="s">
        <v>357</v>
      </c>
      <c r="B77" s="148"/>
      <c r="C77" s="148"/>
      <c r="D77" s="365" t="n">
        <v>0</v>
      </c>
      <c r="E77" s="365" t="n">
        <v>0</v>
      </c>
      <c r="F77" s="366" t="n">
        <f aca="false">+SUM(F$15,F$21)*ML</f>
        <v>0</v>
      </c>
      <c r="G77" s="366" t="n">
        <f aca="false">+SUM(G$15,G$21)*ML</f>
        <v>34.8157079435498</v>
      </c>
      <c r="H77" s="366" t="n">
        <f aca="false">+SUM(H$15,H$21)*ML</f>
        <v>32.767725123341</v>
      </c>
      <c r="I77" s="366" t="n">
        <f aca="false">+SUM(I$15,I$21)*ML</f>
        <v>30.7197423031322</v>
      </c>
      <c r="J77" s="366" t="n">
        <f aca="false">+SUM(J$15,J$21)*ML</f>
        <v>30.7197423031322</v>
      </c>
      <c r="K77" s="366" t="n">
        <f aca="false">+SUM(K$15,K$21)*ML</f>
        <v>28.6717594829234</v>
      </c>
      <c r="L77" s="366" t="n">
        <f aca="false">+SUM(L$15,L$21)*ML</f>
        <v>34.8157079435498</v>
      </c>
      <c r="M77" s="366" t="n">
        <f aca="false">+SUM(M$15,M$21)*ML</f>
        <v>34.8157079435498</v>
      </c>
      <c r="N77" s="366" t="n">
        <f aca="false">+SUM(N$15,N$21)*ML</f>
        <v>34.8157079435498</v>
      </c>
      <c r="O77" s="366" t="n">
        <f aca="false">+SUM(O$15,O$21)*ML</f>
        <v>34.8157079435498</v>
      </c>
      <c r="P77" s="366" t="n">
        <f aca="false">+SUM(P$15,P$21)*ML</f>
        <v>34.8157079435498</v>
      </c>
      <c r="Q77" s="366" t="n">
        <f aca="false">+SUM(Q$15,Q$21)*ML</f>
        <v>34.8157079435498</v>
      </c>
      <c r="R77" s="366" t="n">
        <f aca="false">+SUM(R$15,R$21)*ML</f>
        <v>34.8157079435498</v>
      </c>
      <c r="S77" s="366" t="n">
        <f aca="false">+SUM(S$15,S$21)*ML</f>
        <v>34.8157079435498</v>
      </c>
      <c r="T77" s="366" t="n">
        <f aca="false">+SUM(T$15,T$21)*ML</f>
        <v>34.8157079435498</v>
      </c>
      <c r="U77" s="366" t="n">
        <f aca="false">+SUM(U$15,U$21)*ML</f>
        <v>34.8157079435498</v>
      </c>
      <c r="V77" s="366" t="n">
        <f aca="false">+SUM(V$15,V$21)*ML</f>
        <v>34.8157079435498</v>
      </c>
      <c r="W77" s="366" t="n">
        <f aca="false">+SUM(W$15,W$21)*ML</f>
        <v>34.8157079435498</v>
      </c>
      <c r="X77" s="366" t="n">
        <f aca="false">+SUM(X$15,X$21)*ML</f>
        <v>0</v>
      </c>
      <c r="Y77" s="366" t="n">
        <f aca="false">+SUM(Y$15,Y$21)*ML</f>
        <v>0</v>
      </c>
      <c r="Z77" s="366" t="n">
        <f aca="false">+SUM(Z$15,Z$21)*ML</f>
        <v>0</v>
      </c>
      <c r="AA77" s="366" t="n">
        <f aca="false">+SUM(AA$15,AA$21)*ML</f>
        <v>0</v>
      </c>
    </row>
    <row r="78" customFormat="false" ht="12.75" hidden="false" customHeight="true" outlineLevel="0" collapsed="false">
      <c r="A78" s="232" t="s">
        <v>358</v>
      </c>
      <c r="B78" s="232"/>
      <c r="C78" s="232"/>
      <c r="D78" s="367"/>
      <c r="E78" s="367"/>
      <c r="F78" s="368" t="n">
        <f aca="false">+SUM(F$15)*ML</f>
        <v>0</v>
      </c>
      <c r="G78" s="368" t="n">
        <f aca="false">+SUM(G$15)*ML</f>
        <v>34.8157079435498</v>
      </c>
      <c r="H78" s="368" t="n">
        <f aca="false">+SUM(H$15)*ML</f>
        <v>32.767725123341</v>
      </c>
      <c r="I78" s="368" t="n">
        <f aca="false">+SUM(I$15)*ML</f>
        <v>30.7197423031322</v>
      </c>
      <c r="J78" s="368" t="n">
        <f aca="false">+SUM(J$15)*ML</f>
        <v>30.7197423031322</v>
      </c>
      <c r="K78" s="368" t="n">
        <f aca="false">+SUM(K$15)*ML</f>
        <v>28.6717594829234</v>
      </c>
      <c r="L78" s="368" t="n">
        <f aca="false">+SUM(L$15)*ML</f>
        <v>0</v>
      </c>
      <c r="M78" s="368" t="n">
        <f aca="false">+SUM(M$15)*ML</f>
        <v>0</v>
      </c>
      <c r="N78" s="368" t="n">
        <f aca="false">+SUM(N$15)*ML</f>
        <v>0</v>
      </c>
      <c r="O78" s="368" t="n">
        <f aca="false">+SUM(O$15)*ML</f>
        <v>0</v>
      </c>
      <c r="P78" s="368" t="n">
        <f aca="false">+SUM(P$15)*ML</f>
        <v>0</v>
      </c>
      <c r="Q78" s="368" t="n">
        <f aca="false">+SUM(Q$15)*ML</f>
        <v>0</v>
      </c>
      <c r="R78" s="368" t="n">
        <f aca="false">+SUM(R$15)*ML</f>
        <v>0</v>
      </c>
      <c r="S78" s="368" t="n">
        <f aca="false">+SUM(S$15)*ML</f>
        <v>0</v>
      </c>
      <c r="T78" s="368" t="n">
        <f aca="false">+SUM(T$15)*ML</f>
        <v>0</v>
      </c>
      <c r="U78" s="368" t="n">
        <f aca="false">+SUM(U$15)*ML</f>
        <v>0</v>
      </c>
      <c r="V78" s="368" t="n">
        <f aca="false">+SUM(V$15)*ML</f>
        <v>0</v>
      </c>
      <c r="W78" s="368" t="n">
        <f aca="false">+SUM(W$15)*ML</f>
        <v>0</v>
      </c>
      <c r="X78" s="368" t="n">
        <f aca="false">+SUM(X$15)*ML</f>
        <v>0</v>
      </c>
      <c r="Y78" s="368" t="n">
        <f aca="false">+SUM(Y$15)*ML</f>
        <v>0</v>
      </c>
      <c r="Z78" s="368" t="n">
        <f aca="false">+SUM(Z$15)*ML</f>
        <v>0</v>
      </c>
      <c r="AA78" s="368" t="n">
        <f aca="false">+SUM(AA$15)*ML</f>
        <v>0</v>
      </c>
    </row>
    <row r="79" customFormat="false" ht="12.75" hidden="false" customHeight="true" outlineLevel="0" collapsed="false">
      <c r="A79" s="232" t="s">
        <v>359</v>
      </c>
      <c r="B79" s="232"/>
      <c r="C79" s="232"/>
      <c r="D79" s="367"/>
      <c r="E79" s="367"/>
      <c r="F79" s="368" t="n">
        <f aca="false">+SUM(F$21)*ML</f>
        <v>0</v>
      </c>
      <c r="G79" s="368" t="n">
        <f aca="false">+SUM(G$21)*ML</f>
        <v>0</v>
      </c>
      <c r="H79" s="368" t="n">
        <f aca="false">+SUM(H$21)*ML</f>
        <v>0</v>
      </c>
      <c r="I79" s="368" t="n">
        <f aca="false">+SUM(I$21)*ML</f>
        <v>0</v>
      </c>
      <c r="J79" s="368" t="n">
        <f aca="false">+SUM(J$21)*ML</f>
        <v>0</v>
      </c>
      <c r="K79" s="368" t="n">
        <f aca="false">+SUM(K$21)*ML</f>
        <v>0</v>
      </c>
      <c r="L79" s="368" t="n">
        <f aca="false">+SUM(L$21)*ML</f>
        <v>34.8157079435498</v>
      </c>
      <c r="M79" s="368" t="n">
        <f aca="false">+SUM(M$21)*ML</f>
        <v>34.8157079435498</v>
      </c>
      <c r="N79" s="368" t="n">
        <f aca="false">+SUM(N$21)*ML</f>
        <v>34.8157079435498</v>
      </c>
      <c r="O79" s="368" t="n">
        <f aca="false">+SUM(O$21)*ML</f>
        <v>34.8157079435498</v>
      </c>
      <c r="P79" s="368" t="n">
        <f aca="false">+SUM(P$21)*ML</f>
        <v>34.8157079435498</v>
      </c>
      <c r="Q79" s="368" t="n">
        <f aca="false">+SUM(Q$21)*ML</f>
        <v>34.8157079435498</v>
      </c>
      <c r="R79" s="368" t="n">
        <f aca="false">+SUM(R$21)*ML</f>
        <v>34.8157079435498</v>
      </c>
      <c r="S79" s="368" t="n">
        <f aca="false">+SUM(S$21)*ML</f>
        <v>34.8157079435498</v>
      </c>
      <c r="T79" s="368" t="n">
        <f aca="false">+SUM(T$21)*ML</f>
        <v>34.8157079435498</v>
      </c>
      <c r="U79" s="368" t="n">
        <f aca="false">+SUM(U$21)*ML</f>
        <v>34.8157079435498</v>
      </c>
      <c r="V79" s="368" t="n">
        <f aca="false">+SUM(V$21)*ML</f>
        <v>34.8157079435498</v>
      </c>
      <c r="W79" s="368" t="n">
        <f aca="false">+SUM(W$21)*ML</f>
        <v>34.8157079435498</v>
      </c>
      <c r="X79" s="368" t="n">
        <f aca="false">+SUM(X$21)*ML</f>
        <v>0</v>
      </c>
      <c r="Y79" s="368" t="n">
        <f aca="false">+SUM(Y$21)*ML</f>
        <v>0</v>
      </c>
      <c r="Z79" s="368" t="n">
        <f aca="false">+SUM(Z$21)*ML</f>
        <v>0</v>
      </c>
      <c r="AA79" s="368" t="n">
        <f aca="false">+SUM(AA$21)*ML</f>
        <v>0</v>
      </c>
    </row>
    <row r="80" customFormat="false" ht="12.75" hidden="false" customHeight="true" outlineLevel="0" collapsed="false"/>
    <row r="81" customFormat="false" ht="12.75" hidden="false" customHeight="true" outlineLevel="0" collapsed="false">
      <c r="A81" s="195" t="s">
        <v>360</v>
      </c>
    </row>
    <row r="82" customFormat="false" ht="12.75" hidden="false" customHeight="true" outlineLevel="0" collapsed="false">
      <c r="A82" s="369" t="s">
        <v>55</v>
      </c>
      <c r="B82" s="369"/>
      <c r="C82" s="369"/>
      <c r="D82" s="247" t="n">
        <f aca="false">+$H82</f>
        <v>0.178374099783351</v>
      </c>
      <c r="E82" s="247" t="n">
        <f aca="false">+$H82</f>
        <v>0.178374099783351</v>
      </c>
      <c r="F82" s="247" t="n">
        <f aca="false">+$H82</f>
        <v>0.178374099783351</v>
      </c>
      <c r="G82" s="247" t="n">
        <f aca="false">+$H82</f>
        <v>0.178374099783351</v>
      </c>
      <c r="H82" s="370" t="n">
        <f aca="false">('Common Assumpt'!$G$25)</f>
        <v>0.178374099783351</v>
      </c>
      <c r="I82" s="247" t="n">
        <f aca="false">+$H82</f>
        <v>0.178374099783351</v>
      </c>
      <c r="J82" s="247" t="n">
        <f aca="false">+$H82</f>
        <v>0.178374099783351</v>
      </c>
      <c r="K82" s="247" t="n">
        <f aca="false">+$H82</f>
        <v>0.178374099783351</v>
      </c>
      <c r="L82" s="247" t="n">
        <f aca="false">+$H82</f>
        <v>0.178374099783351</v>
      </c>
      <c r="M82" s="247" t="n">
        <f aca="false">+$H82</f>
        <v>0.178374099783351</v>
      </c>
      <c r="N82" s="247" t="n">
        <f aca="false">+$H82</f>
        <v>0.178374099783351</v>
      </c>
      <c r="O82" s="247" t="n">
        <f aca="false">+$H82</f>
        <v>0.178374099783351</v>
      </c>
      <c r="P82" s="247" t="n">
        <f aca="false">+$H82</f>
        <v>0.178374099783351</v>
      </c>
      <c r="Q82" s="247" t="n">
        <f aca="false">+$H82</f>
        <v>0.178374099783351</v>
      </c>
      <c r="R82" s="247" t="n">
        <f aca="false">+$H82</f>
        <v>0.178374099783351</v>
      </c>
      <c r="S82" s="247" t="n">
        <f aca="false">+$H82</f>
        <v>0.178374099783351</v>
      </c>
      <c r="T82" s="247" t="n">
        <f aca="false">+$H82</f>
        <v>0.178374099783351</v>
      </c>
      <c r="U82" s="247" t="n">
        <f aca="false">+$H82</f>
        <v>0.178374099783351</v>
      </c>
      <c r="V82" s="247" t="n">
        <f aca="false">+$H82</f>
        <v>0.178374099783351</v>
      </c>
      <c r="W82" s="247" t="n">
        <f aca="false">+$H82</f>
        <v>0.178374099783351</v>
      </c>
      <c r="X82" s="247" t="n">
        <f aca="false">+$H82</f>
        <v>0.178374099783351</v>
      </c>
      <c r="Y82" s="247" t="n">
        <f aca="false">+$H82</f>
        <v>0.178374099783351</v>
      </c>
      <c r="Z82" s="247" t="n">
        <f aca="false">+$H82</f>
        <v>0.178374099783351</v>
      </c>
      <c r="AA82" s="247" t="n">
        <f aca="false">+$H82</f>
        <v>0.178374099783351</v>
      </c>
    </row>
    <row r="83" customFormat="false" ht="12.75" hidden="false" customHeight="true" outlineLevel="0" collapsed="false">
      <c r="A83" s="369" t="s">
        <v>361</v>
      </c>
      <c r="B83" s="369"/>
      <c r="C83" s="369"/>
      <c r="D83" s="247" t="n">
        <f aca="false">E83/(1+HLOOKUP(E$27,USInf97!$M$2:$AY$3,2)*'Common Assumpt'!$D$21)</f>
        <v>0.148642676361277</v>
      </c>
      <c r="E83" s="247" t="n">
        <f aca="false">F83/(1+HLOOKUP(F$27,USInf97!$M$2:$AY$3,2)*'Common Assumpt'!$D$21)</f>
        <v>0.151691171235994</v>
      </c>
      <c r="F83" s="247" t="n">
        <f aca="false">G83/(1+HLOOKUP(G$27,USInf97!$M$2:$AY$3,2)*'Common Assumpt'!$D$21)</f>
        <v>0.155018060917583</v>
      </c>
      <c r="G83" s="247" t="n">
        <f aca="false">H83/(1+HLOOKUP(H$27,USInf97!$M$2:$AY$3,2)*'Common Assumpt'!$D$21)</f>
        <v>0.158171976033639</v>
      </c>
      <c r="H83" s="370" t="n">
        <f aca="false">'Common Assumpt'!$H$25</f>
        <v>0.161284371806281</v>
      </c>
      <c r="I83" s="247" t="n">
        <f aca="false">H83*(1+HLOOKUP(I$27,USInf97!$M$2:$AY$3,2)*'Common Assumpt'!$D$21)</f>
        <v>0.16437943433841</v>
      </c>
      <c r="J83" s="247" t="n">
        <f aca="false">I83*(1+HLOOKUP(J$27,USInf97!$M$2:$AY$3,2)*'Common Assumpt'!$D$21)</f>
        <v>0.167478973958661</v>
      </c>
      <c r="K83" s="247" t="n">
        <f aca="false">J83*(1+HLOOKUP(K$27,USInf97!$M$2:$AY$3,2)*'Common Assumpt'!$D$21)</f>
        <v>0.17056281905837</v>
      </c>
      <c r="L83" s="247" t="n">
        <f aca="false">K83*(1+HLOOKUP(L$27,USInf97!$M$2:$AY$3,2)*'Common Assumpt'!$D$21)</f>
        <v>0.173630796136027</v>
      </c>
      <c r="M83" s="247" t="n">
        <f aca="false">L83*(1+HLOOKUP(M$27,USInf97!$M$2:$AY$3,2)*'Common Assumpt'!$D$21)</f>
        <v>0.1766959498205</v>
      </c>
      <c r="N83" s="247" t="n">
        <f aca="false">M83*(1+HLOOKUP(N$27,USInf97!$M$2:$AY$3,2)*'Common Assumpt'!$D$21)</f>
        <v>0.179762576846431</v>
      </c>
      <c r="O83" s="247" t="n">
        <f aca="false">N83*(1+HLOOKUP(O$27,USInf97!$M$2:$AY$3,2)*'Common Assumpt'!$D$21)</f>
        <v>0.182834380934177</v>
      </c>
      <c r="P83" s="247" t="n">
        <f aca="false">O83*(1+HLOOKUP(P$27,USInf97!$M$2:$AY$3,2)*'Common Assumpt'!$D$21)</f>
        <v>0.18592304517661</v>
      </c>
      <c r="Q83" s="247" t="n">
        <f aca="false">P83*(1+HLOOKUP(Q$27,USInf97!$M$2:$AY$3,2)*'Common Assumpt'!$D$21)</f>
        <v>0.189039040969764</v>
      </c>
      <c r="R83" s="247" t="n">
        <f aca="false">Q83*(1+HLOOKUP(R$27,USInf97!$M$2:$AY$3,2)*'Common Assumpt'!$D$21)</f>
        <v>0.192216206446382</v>
      </c>
      <c r="S83" s="247" t="n">
        <f aca="false">R83*(1+HLOOKUP(S$27,USInf97!$M$2:$AY$3,2)*'Common Assumpt'!$D$21)</f>
        <v>0.195492257299175</v>
      </c>
      <c r="T83" s="247" t="n">
        <f aca="false">S83*(1+HLOOKUP(T$27,USInf97!$M$2:$AY$3,2)*'Common Assumpt'!$D$21)</f>
        <v>0.198876393304798</v>
      </c>
      <c r="U83" s="247" t="n">
        <f aca="false">T83*(1+HLOOKUP(U$27,USInf97!$M$2:$AY$3,2)*'Common Assumpt'!$D$21)</f>
        <v>0.202386660398507</v>
      </c>
      <c r="V83" s="247" t="n">
        <f aca="false">U83*(1+HLOOKUP(V$27,USInf97!$M$2:$AY$3,2)*'Common Assumpt'!$D$21)</f>
        <v>0.20602537489496</v>
      </c>
      <c r="W83" s="247" t="n">
        <f aca="false">V83*(1+HLOOKUP(W$27,USInf97!$M$2:$AY$3,2)*'Common Assumpt'!$D$21)</f>
        <v>0.209777118374609</v>
      </c>
      <c r="X83" s="247" t="n">
        <f aca="false">W83*(1+HLOOKUP(X$27,USInf97!$M$2:$AY$3,2)*'Common Assumpt'!$D$21)</f>
        <v>0.213677191357104</v>
      </c>
      <c r="Y83" s="247" t="n">
        <f aca="false">X83*(1+HLOOKUP(Y$27,USInf97!$M$2:$AY$3,2)*'Common Assumpt'!$D$21)</f>
        <v>0.21776399230055</v>
      </c>
      <c r="Z83" s="247" t="n">
        <f aca="false">Y83*(1+HLOOKUP(Z$27,USInf97!$M$2:$AY$3,2)*'Common Assumpt'!$D$21)</f>
        <v>0.22210052327698</v>
      </c>
      <c r="AA83" s="247" t="n">
        <f aca="false">Z83*(1+HLOOKUP(AA$27,USInf97!$M$2:$AY$3,2)*'Common Assumpt'!$D$21)</f>
        <v>0.226673680763138</v>
      </c>
    </row>
    <row r="84" customFormat="false" ht="12.75" hidden="false" customHeight="true" outlineLevel="0" collapsed="false">
      <c r="A84" s="371" t="s">
        <v>57</v>
      </c>
      <c r="B84" s="371"/>
      <c r="C84" s="371"/>
      <c r="D84" s="372" t="n">
        <f aca="false">E84/(1+HLOOKUP(E$27,USInf97!$M$2:$AY$3,2)*'Common Assumpt'!$D$21)</f>
        <v>0.248018212425807</v>
      </c>
      <c r="E84" s="372" t="n">
        <f aca="false">F84/(1+HLOOKUP(F$27,USInf97!$M$2:$AY$3,2)*'Common Assumpt'!$D$21)</f>
        <v>0.253104788286287</v>
      </c>
      <c r="F84" s="372" t="n">
        <f aca="false">G84/(1+HLOOKUP(G$27,USInf97!$M$2:$AY$3,2)*'Common Assumpt'!$D$21)</f>
        <v>0.258655880691003</v>
      </c>
      <c r="G84" s="372" t="n">
        <f aca="false">H84/(1+HLOOKUP(H$27,USInf97!$M$2:$AY$3,2)*'Common Assumpt'!$D$21)</f>
        <v>0.263918355831896</v>
      </c>
      <c r="H84" s="373" t="n">
        <f aca="false">'Common Assumpt'!$I$25</f>
        <v>0.269111553739717</v>
      </c>
      <c r="I84" s="372" t="n">
        <f aca="false">H84*(1+HLOOKUP(I$27,USInf97!$M$2:$AY$3,2)*'Common Assumpt'!$D$21)</f>
        <v>0.274275830213716</v>
      </c>
      <c r="J84" s="372" t="n">
        <f aca="false">I84*(1+HLOOKUP(J$27,USInf97!$M$2:$AY$3,2)*'Common Assumpt'!$D$21)</f>
        <v>0.2794475769474</v>
      </c>
      <c r="K84" s="372" t="n">
        <f aca="false">J84*(1+HLOOKUP(K$27,USInf97!$M$2:$AY$3,2)*'Common Assumpt'!$D$21)</f>
        <v>0.284593136538704</v>
      </c>
      <c r="L84" s="372" t="n">
        <f aca="false">K84*(1+HLOOKUP(L$27,USInf97!$M$2:$AY$3,2)*'Common Assumpt'!$D$21)</f>
        <v>0.289712219491129</v>
      </c>
      <c r="M84" s="372" t="n">
        <f aca="false">L84*(1+HLOOKUP(M$27,USInf97!$M$2:$AY$3,2)*'Common Assumpt'!$D$21)</f>
        <v>0.294826591461839</v>
      </c>
      <c r="N84" s="372" t="n">
        <f aca="false">M84*(1+HLOOKUP(N$27,USInf97!$M$2:$AY$3,2)*'Common Assumpt'!$D$21)</f>
        <v>0.299943421781143</v>
      </c>
      <c r="O84" s="372" t="n">
        <f aca="false">N84*(1+HLOOKUP(O$27,USInf97!$M$2:$AY$3,2)*'Common Assumpt'!$D$21)</f>
        <v>0.305068890303478</v>
      </c>
      <c r="P84" s="372" t="n">
        <f aca="false">O84*(1+HLOOKUP(P$27,USInf97!$M$2:$AY$3,2)*'Common Assumpt'!$D$21)</f>
        <v>0.310222490890766</v>
      </c>
      <c r="Q84" s="372" t="n">
        <f aca="false">P84*(1+HLOOKUP(Q$27,USInf97!$M$2:$AY$3,2)*'Common Assumpt'!$D$21)</f>
        <v>0.315421695624312</v>
      </c>
      <c r="R84" s="372" t="n">
        <f aca="false">Q84*(1+HLOOKUP(R$27,USInf97!$M$2:$AY$3,2)*'Common Assumpt'!$D$21)</f>
        <v>0.320722965228583</v>
      </c>
      <c r="S84" s="372" t="n">
        <f aca="false">R84*(1+HLOOKUP(S$27,USInf97!$M$2:$AY$3,2)*'Common Assumpt'!$D$21)</f>
        <v>0.326189230343126</v>
      </c>
      <c r="T84" s="372" t="n">
        <f aca="false">S84*(1+HLOOKUP(T$27,USInf97!$M$2:$AY$3,2)*'Common Assumpt'!$D$21)</f>
        <v>0.33183584128466</v>
      </c>
      <c r="U84" s="372" t="n">
        <f aca="false">T84*(1+HLOOKUP(U$27,USInf97!$M$2:$AY$3,2)*'Common Assumpt'!$D$21)</f>
        <v>0.337692908656097</v>
      </c>
      <c r="V84" s="372" t="n">
        <f aca="false">U84*(1+HLOOKUP(V$27,USInf97!$M$2:$AY$3,2)*'Common Assumpt'!$D$21)</f>
        <v>0.343764297351661</v>
      </c>
      <c r="W84" s="372" t="n">
        <f aca="false">V84*(1+HLOOKUP(W$27,USInf97!$M$2:$AY$3,2)*'Common Assumpt'!$D$21)</f>
        <v>0.350024280918164</v>
      </c>
      <c r="X84" s="372" t="n">
        <f aca="false">W84*(1+HLOOKUP(X$27,USInf97!$M$2:$AY$3,2)*'Common Assumpt'!$D$21)</f>
        <v>0.356531760150425</v>
      </c>
      <c r="Y84" s="372" t="n">
        <f aca="false">X84*(1+HLOOKUP(Y$27,USInf97!$M$2:$AY$3,2)*'Common Assumpt'!$D$21)</f>
        <v>0.363350804918363</v>
      </c>
      <c r="Z84" s="372" t="n">
        <f aca="false">Y84*(1+HLOOKUP(Z$27,USInf97!$M$2:$AY$3,2)*'Common Assumpt'!$D$21)</f>
        <v>0.370586537530504</v>
      </c>
      <c r="AA84" s="372" t="n">
        <f aca="false">Z84*(1+HLOOKUP(AA$27,USInf97!$M$2:$AY$3,2)*'Common Assumpt'!$D$21)</f>
        <v>0.378217094061267</v>
      </c>
    </row>
    <row r="85" customFormat="false" ht="12.75" hidden="false" customHeight="true" outlineLevel="0" collapsed="false">
      <c r="A85" s="374" t="s">
        <v>362</v>
      </c>
      <c r="B85" s="374"/>
      <c r="C85" s="374"/>
      <c r="D85" s="200" t="n">
        <f aca="false">+SUM(D82:D84)</f>
        <v>0.575034988570436</v>
      </c>
      <c r="E85" s="200" t="n">
        <f aca="false">+SUM(E82:E84)</f>
        <v>0.583170059305633</v>
      </c>
      <c r="F85" s="200" t="n">
        <f aca="false">+SUM(F82:F84)</f>
        <v>0.592048041391937</v>
      </c>
      <c r="G85" s="200" t="n">
        <f aca="false">+SUM(G82:G84)</f>
        <v>0.600464431648886</v>
      </c>
      <c r="H85" s="200" t="n">
        <f aca="false">+SUM(H82:H84)</f>
        <v>0.60877002532935</v>
      </c>
      <c r="I85" s="200" t="n">
        <f aca="false">+SUM(I82:I84)</f>
        <v>0.617029364335477</v>
      </c>
      <c r="J85" s="200" t="n">
        <f aca="false">+SUM(J82:J84)</f>
        <v>0.625300650689413</v>
      </c>
      <c r="K85" s="200" t="n">
        <f aca="false">+SUM(K82:K84)</f>
        <v>0.633530055380425</v>
      </c>
      <c r="L85" s="200" t="n">
        <f aca="false">+SUM(L82:L84)</f>
        <v>0.641717115410507</v>
      </c>
      <c r="M85" s="200" t="n">
        <f aca="false">+SUM(M82:M84)</f>
        <v>0.64989664106569</v>
      </c>
      <c r="N85" s="200" t="n">
        <f aca="false">+SUM(N82:N84)</f>
        <v>0.658080098410925</v>
      </c>
      <c r="O85" s="200" t="n">
        <f aca="false">+SUM(O82:O84)</f>
        <v>0.666277371021006</v>
      </c>
      <c r="P85" s="200" t="n">
        <f aca="false">+SUM(P82:P84)</f>
        <v>0.674519635850728</v>
      </c>
      <c r="Q85" s="200" t="n">
        <f aca="false">+SUM(Q82:Q84)</f>
        <v>0.682834836377428</v>
      </c>
      <c r="R85" s="200" t="n">
        <f aca="false">+SUM(R82:R84)</f>
        <v>0.691313271458316</v>
      </c>
      <c r="S85" s="200" t="n">
        <f aca="false">+SUM(S82:S84)</f>
        <v>0.700055587425652</v>
      </c>
      <c r="T85" s="200" t="n">
        <f aca="false">+SUM(T82:T84)</f>
        <v>0.709086334372809</v>
      </c>
      <c r="U85" s="200" t="n">
        <f aca="false">+SUM(U82:U84)</f>
        <v>0.718453668837955</v>
      </c>
      <c r="V85" s="200" t="n">
        <f aca="false">+SUM(V82:V84)</f>
        <v>0.728163772029973</v>
      </c>
      <c r="W85" s="200" t="n">
        <f aca="false">+SUM(W82:W84)</f>
        <v>0.738175499076124</v>
      </c>
      <c r="X85" s="200" t="n">
        <f aca="false">+SUM(X82:X84)</f>
        <v>0.748583051290881</v>
      </c>
      <c r="Y85" s="200" t="n">
        <f aca="false">+SUM(Y82:Y84)</f>
        <v>0.759488897002265</v>
      </c>
      <c r="Z85" s="200" t="n">
        <f aca="false">+SUM(Z82:Z84)</f>
        <v>0.771061160590835</v>
      </c>
      <c r="AA85" s="200" t="n">
        <f aca="false">+SUM(AA82:AA84)</f>
        <v>0.783264874607757</v>
      </c>
    </row>
    <row r="86" customFormat="false" ht="12.75" hidden="false" customHeight="true" outlineLevel="0" collapsed="false"/>
    <row r="87" customFormat="false" ht="12.75" hidden="false" customHeight="true" outlineLevel="0" collapsed="false">
      <c r="A87" s="195" t="s">
        <v>363</v>
      </c>
    </row>
    <row r="88" customFormat="false" ht="12.75" hidden="false" customHeight="true" outlineLevel="0" collapsed="false">
      <c r="A88" s="369" t="s">
        <v>55</v>
      </c>
      <c r="B88" s="369"/>
      <c r="C88" s="369"/>
      <c r="D88" s="247" t="n">
        <f aca="false">+$H88</f>
        <v>0.430512058974553</v>
      </c>
      <c r="E88" s="247" t="n">
        <f aca="false">+$H88</f>
        <v>0.430512058974553</v>
      </c>
      <c r="F88" s="247" t="n">
        <f aca="false">+$H88</f>
        <v>0.430512058974553</v>
      </c>
      <c r="G88" s="247" t="n">
        <f aca="false">+$H88</f>
        <v>0.430512058974553</v>
      </c>
      <c r="H88" s="370" t="n">
        <f aca="false">+'Common Assumpt'!$G$30</f>
        <v>0.430512058974553</v>
      </c>
      <c r="I88" s="247" t="n">
        <f aca="false">+$H88</f>
        <v>0.430512058974553</v>
      </c>
      <c r="J88" s="247" t="n">
        <f aca="false">+$H88</f>
        <v>0.430512058974553</v>
      </c>
      <c r="K88" s="247" t="n">
        <f aca="false">+$H88</f>
        <v>0.430512058974553</v>
      </c>
      <c r="L88" s="247" t="n">
        <f aca="false">+$H88</f>
        <v>0.430512058974553</v>
      </c>
      <c r="M88" s="247" t="n">
        <f aca="false">+$H88</f>
        <v>0.430512058974553</v>
      </c>
      <c r="N88" s="247" t="n">
        <f aca="false">+$H88</f>
        <v>0.430512058974553</v>
      </c>
      <c r="O88" s="247" t="n">
        <f aca="false">+$H88</f>
        <v>0.430512058974553</v>
      </c>
      <c r="P88" s="247" t="n">
        <f aca="false">+$H88</f>
        <v>0.430512058974553</v>
      </c>
      <c r="Q88" s="247" t="n">
        <f aca="false">+$H88</f>
        <v>0.430512058974553</v>
      </c>
      <c r="R88" s="247" t="n">
        <f aca="false">+$H88</f>
        <v>0.430512058974553</v>
      </c>
      <c r="S88" s="247" t="n">
        <f aca="false">+$H88</f>
        <v>0.430512058974553</v>
      </c>
      <c r="T88" s="247" t="n">
        <f aca="false">+$H88</f>
        <v>0.430512058974553</v>
      </c>
      <c r="U88" s="247" t="n">
        <f aca="false">+$H88</f>
        <v>0.430512058974553</v>
      </c>
      <c r="V88" s="247" t="n">
        <f aca="false">+$H88</f>
        <v>0.430512058974553</v>
      </c>
      <c r="W88" s="247" t="n">
        <f aca="false">+$H88</f>
        <v>0.430512058974553</v>
      </c>
      <c r="X88" s="247" t="n">
        <f aca="false">+$H88</f>
        <v>0.430512058974553</v>
      </c>
      <c r="Y88" s="247" t="n">
        <f aca="false">+$H88</f>
        <v>0.430512058974553</v>
      </c>
      <c r="Z88" s="247" t="n">
        <f aca="false">+$H88</f>
        <v>0.430512058974553</v>
      </c>
      <c r="AA88" s="247" t="n">
        <f aca="false">+$H88</f>
        <v>0.430512058974553</v>
      </c>
    </row>
    <row r="89" customFormat="false" ht="12.75" hidden="false" customHeight="true" outlineLevel="0" collapsed="false">
      <c r="A89" s="369" t="s">
        <v>361</v>
      </c>
      <c r="B89" s="369"/>
      <c r="C89" s="369"/>
      <c r="D89" s="247" t="n">
        <f aca="false">E89/(1+HLOOKUP(E$27,USInf97!$M$2:$AY$3,2)*'Common Assumpt'!$D$21)</f>
        <v>0.114264963721427</v>
      </c>
      <c r="E89" s="247" t="n">
        <f aca="false">F89/(1+HLOOKUP(F$27,USInf97!$M$2:$AY$3,2)*'Common Assumpt'!$D$21)</f>
        <v>0.11660841019852</v>
      </c>
      <c r="F89" s="247" t="n">
        <f aca="false">G89/(1+HLOOKUP(G$27,USInf97!$M$2:$AY$3,2)*'Common Assumpt'!$D$21)</f>
        <v>0.119165865016193</v>
      </c>
      <c r="G89" s="247" t="n">
        <f aca="false">H89/(1+HLOOKUP(H$27,USInf97!$M$2:$AY$3,2)*'Common Assumpt'!$D$21)</f>
        <v>0.121590350400463</v>
      </c>
      <c r="H89" s="370" t="n">
        <f aca="false">'Common Assumpt'!$H$30</f>
        <v>0.123982918932957</v>
      </c>
      <c r="I89" s="247" t="n">
        <f aca="false">H89*(1+HLOOKUP(I$27,USInf97!$M$2:$AY$3,2)*'Common Assumpt'!$D$21)</f>
        <v>0.126362163014177</v>
      </c>
      <c r="J89" s="247" t="n">
        <f aca="false">I89*(1+HLOOKUP(J$27,USInf97!$M$2:$AY$3,2)*'Common Assumpt'!$D$21)</f>
        <v>0.128744848733588</v>
      </c>
      <c r="K89" s="247" t="n">
        <f aca="false">J89*(1+HLOOKUP(K$27,USInf97!$M$2:$AY$3,2)*'Common Assumpt'!$D$21)</f>
        <v>0.131115469722572</v>
      </c>
      <c r="L89" s="247" t="n">
        <f aca="false">K89*(1+HLOOKUP(L$27,USInf97!$M$2:$AY$3,2)*'Common Assumpt'!$D$21)</f>
        <v>0.13347389260662</v>
      </c>
      <c r="M89" s="247" t="n">
        <f aca="false">L89*(1+HLOOKUP(M$27,USInf97!$M$2:$AY$3,2)*'Common Assumpt'!$D$21)</f>
        <v>0.135830145084917</v>
      </c>
      <c r="N89" s="247" t="n">
        <f aca="false">M89*(1+HLOOKUP(N$27,USInf97!$M$2:$AY$3,2)*'Common Assumpt'!$D$21)</f>
        <v>0.138187530153882</v>
      </c>
      <c r="O89" s="247" t="n">
        <f aca="false">N89*(1+HLOOKUP(O$27,USInf97!$M$2:$AY$3,2)*'Common Assumpt'!$D$21)</f>
        <v>0.140548894946538</v>
      </c>
      <c r="P89" s="247" t="n">
        <f aca="false">O89*(1+HLOOKUP(P$27,USInf97!$M$2:$AY$3,2)*'Common Assumpt'!$D$21)</f>
        <v>0.142923220518768</v>
      </c>
      <c r="Q89" s="247" t="n">
        <f aca="false">P89*(1+HLOOKUP(Q$27,USInf97!$M$2:$AY$3,2)*'Common Assumpt'!$D$21)</f>
        <v>0.145318556467883</v>
      </c>
      <c r="R89" s="247" t="n">
        <f aca="false">Q89*(1+HLOOKUP(R$27,USInf97!$M$2:$AY$3,2)*'Common Assumpt'!$D$21)</f>
        <v>0.147760914926502</v>
      </c>
      <c r="S89" s="247" t="n">
        <f aca="false">R89*(1+HLOOKUP(S$27,USInf97!$M$2:$AY$3,2)*'Common Assumpt'!$D$21)</f>
        <v>0.150279288794678</v>
      </c>
      <c r="T89" s="247" t="n">
        <f aca="false">S89*(1+HLOOKUP(T$27,USInf97!$M$2:$AY$3,2)*'Common Assumpt'!$D$21)</f>
        <v>0.152880750147345</v>
      </c>
      <c r="U89" s="247" t="n">
        <f aca="false">T89*(1+HLOOKUP(U$27,USInf97!$M$2:$AY$3,2)*'Common Assumpt'!$D$21)</f>
        <v>0.155579171300233</v>
      </c>
      <c r="V89" s="247" t="n">
        <f aca="false">U89*(1+HLOOKUP(V$27,USInf97!$M$2:$AY$3,2)*'Common Assumpt'!$D$21)</f>
        <v>0.158376332856443</v>
      </c>
      <c r="W89" s="247" t="n">
        <f aca="false">V89*(1+HLOOKUP(W$27,USInf97!$M$2:$AY$3,2)*'Common Assumpt'!$D$21)</f>
        <v>0.16126038233058</v>
      </c>
      <c r="X89" s="247" t="n">
        <f aca="false">W89*(1+HLOOKUP(X$27,USInf97!$M$2:$AY$3,2)*'Common Assumpt'!$D$21)</f>
        <v>0.164258456024925</v>
      </c>
      <c r="Y89" s="247" t="n">
        <f aca="false">X89*(1+HLOOKUP(Y$27,USInf97!$M$2:$AY$3,2)*'Common Assumpt'!$D$21)</f>
        <v>0.167400071696622</v>
      </c>
      <c r="Z89" s="247" t="n">
        <f aca="false">Y89*(1+HLOOKUP(Z$27,USInf97!$M$2:$AY$3,2)*'Common Assumpt'!$D$21)</f>
        <v>0.170733660453422</v>
      </c>
      <c r="AA89" s="247" t="n">
        <f aca="false">Z89*(1+HLOOKUP(AA$27,USInf97!$M$2:$AY$3,2)*'Common Assumpt'!$D$21)</f>
        <v>0.174249149322703</v>
      </c>
    </row>
    <row r="90" customFormat="false" ht="12.75" hidden="false" customHeight="true" outlineLevel="0" collapsed="false">
      <c r="A90" s="371" t="s">
        <v>57</v>
      </c>
      <c r="B90" s="371"/>
      <c r="C90" s="371"/>
      <c r="D90" s="372" t="n">
        <f aca="false">E90/(1+HLOOKUP(E$27,USInf97!$M$2:$AY$3,2)*'Common Assumpt'!$D$21)</f>
        <v>0.21146132187334</v>
      </c>
      <c r="E90" s="372" t="n">
        <f aca="false">F90/(1+HLOOKUP(F$27,USInf97!$M$2:$AY$3,2)*'Common Assumpt'!$D$21)</f>
        <v>0.215798156836974</v>
      </c>
      <c r="F90" s="372" t="n">
        <f aca="false">G90/(1+HLOOKUP(G$27,USInf97!$M$2:$AY$3,2)*'Common Assumpt'!$D$21)</f>
        <v>0.220531040467821</v>
      </c>
      <c r="G90" s="372" t="n">
        <f aca="false">H90/(1+HLOOKUP(H$27,USInf97!$M$2:$AY$3,2)*'Common Assumpt'!$D$21)</f>
        <v>0.22501784786287</v>
      </c>
      <c r="H90" s="373" t="n">
        <f aca="false">'Common Assumpt'!$I$30</f>
        <v>0.229445589211366</v>
      </c>
      <c r="I90" s="372" t="n">
        <f aca="false">H90*(1+HLOOKUP(I$27,USInf97!$M$2:$AY$3,2)*'Common Assumpt'!$D$21)</f>
        <v>0.233848672029479</v>
      </c>
      <c r="J90" s="372" t="n">
        <f aca="false">I90*(1+HLOOKUP(J$27,USInf97!$M$2:$AY$3,2)*'Common Assumpt'!$D$21)</f>
        <v>0.238258124020938</v>
      </c>
      <c r="K90" s="372" t="n">
        <f aca="false">J90*(1+HLOOKUP(K$27,USInf97!$M$2:$AY$3,2)*'Common Assumpt'!$D$21)</f>
        <v>0.242645248749855</v>
      </c>
      <c r="L90" s="372" t="n">
        <f aca="false">K90*(1+HLOOKUP(L$27,USInf97!$M$2:$AY$3,2)*'Common Assumpt'!$D$21)</f>
        <v>0.247009799390356</v>
      </c>
      <c r="M90" s="372" t="n">
        <f aca="false">L90*(1+HLOOKUP(M$27,USInf97!$M$2:$AY$3,2)*'Common Assumpt'!$D$21)</f>
        <v>0.251370333428968</v>
      </c>
      <c r="N90" s="372" t="n">
        <f aca="false">M90*(1+HLOOKUP(N$27,USInf97!$M$2:$AY$3,2)*'Common Assumpt'!$D$21)</f>
        <v>0.255732963465443</v>
      </c>
      <c r="O90" s="372" t="n">
        <f aca="false">N90*(1+HLOOKUP(O$27,USInf97!$M$2:$AY$3,2)*'Common Assumpt'!$D$21)</f>
        <v>0.26010295846844</v>
      </c>
      <c r="P90" s="372" t="n">
        <f aca="false">O90*(1+HLOOKUP(P$27,USInf97!$M$2:$AY$3,2)*'Common Assumpt'!$D$21)</f>
        <v>0.264496938982759</v>
      </c>
      <c r="Q90" s="372" t="n">
        <f aca="false">P90*(1+HLOOKUP(Q$27,USInf97!$M$2:$AY$3,2)*'Common Assumpt'!$D$21)</f>
        <v>0.26892980177494</v>
      </c>
      <c r="R90" s="372" t="n">
        <f aca="false">Q90*(1+HLOOKUP(R$27,USInf97!$M$2:$AY$3,2)*'Common Assumpt'!$D$21)</f>
        <v>0.273449685484938</v>
      </c>
      <c r="S90" s="372" t="n">
        <f aca="false">R90*(1+HLOOKUP(S$27,USInf97!$M$2:$AY$3,2)*'Common Assumpt'!$D$21)</f>
        <v>0.27811024502823</v>
      </c>
      <c r="T90" s="372" t="n">
        <f aca="false">S90*(1+HLOOKUP(T$27,USInf97!$M$2:$AY$3,2)*'Common Assumpt'!$D$21)</f>
        <v>0.28292456814637</v>
      </c>
      <c r="U90" s="372" t="n">
        <f aca="false">T90*(1+HLOOKUP(U$27,USInf97!$M$2:$AY$3,2)*'Common Assumpt'!$D$21)</f>
        <v>0.287918327260071</v>
      </c>
      <c r="V90" s="372" t="n">
        <f aca="false">U90*(1+HLOOKUP(V$27,USInf97!$M$2:$AY$3,2)*'Common Assumpt'!$D$21)</f>
        <v>0.293094817593639</v>
      </c>
      <c r="W90" s="372" t="n">
        <f aca="false">V90*(1+HLOOKUP(W$27,USInf97!$M$2:$AY$3,2)*'Common Assumpt'!$D$21)</f>
        <v>0.298432104669982</v>
      </c>
      <c r="X90" s="372" t="n">
        <f aca="false">W90*(1+HLOOKUP(X$27,USInf97!$M$2:$AY$3,2)*'Common Assumpt'!$D$21)</f>
        <v>0.303980407542816</v>
      </c>
      <c r="Y90" s="372" t="n">
        <f aca="false">X90*(1+HLOOKUP(Y$27,USInf97!$M$2:$AY$3,2)*'Common Assumpt'!$D$21)</f>
        <v>0.30979435244</v>
      </c>
      <c r="Z90" s="372" t="n">
        <f aca="false">Y90*(1+HLOOKUP(Z$27,USInf97!$M$2:$AY$3,2)*'Common Assumpt'!$D$21)</f>
        <v>0.315963567063071</v>
      </c>
      <c r="AA90" s="372" t="n">
        <f aca="false">Z90*(1+HLOOKUP(AA$27,USInf97!$M$2:$AY$3,2)*'Common Assumpt'!$D$21)</f>
        <v>0.322469410141459</v>
      </c>
    </row>
    <row r="91" customFormat="false" ht="12.75" hidden="false" customHeight="true" outlineLevel="0" collapsed="false">
      <c r="A91" s="374" t="s">
        <v>362</v>
      </c>
      <c r="B91" s="374"/>
      <c r="C91" s="374"/>
      <c r="D91" s="200" t="n">
        <f aca="false">+SUM(D88:D90)</f>
        <v>0.756238344569321</v>
      </c>
      <c r="E91" s="200" t="n">
        <f aca="false">+SUM(E88:E90)</f>
        <v>0.762918626010047</v>
      </c>
      <c r="F91" s="200" t="n">
        <f aca="false">+SUM(F88:F90)</f>
        <v>0.770208964458568</v>
      </c>
      <c r="G91" s="200" t="n">
        <f aca="false">+SUM(G88:G90)</f>
        <v>0.777120257237886</v>
      </c>
      <c r="H91" s="200" t="n">
        <f aca="false">+SUM(H88:H90)</f>
        <v>0.783940567118876</v>
      </c>
      <c r="I91" s="200" t="n">
        <f aca="false">+SUM(I88:I90)</f>
        <v>0.790722894018209</v>
      </c>
      <c r="J91" s="200" t="n">
        <f aca="false">+SUM(J88:J90)</f>
        <v>0.797515031729079</v>
      </c>
      <c r="K91" s="200" t="n">
        <f aca="false">+SUM(K88:K90)</f>
        <v>0.80427277744698</v>
      </c>
      <c r="L91" s="200" t="n">
        <f aca="false">+SUM(L88:L90)</f>
        <v>0.81099575097153</v>
      </c>
      <c r="M91" s="200" t="n">
        <f aca="false">+SUM(M88:M90)</f>
        <v>0.817712537488438</v>
      </c>
      <c r="N91" s="200" t="n">
        <f aca="false">+SUM(N88:N90)</f>
        <v>0.824432552593878</v>
      </c>
      <c r="O91" s="200" t="n">
        <f aca="false">+SUM(O88:O90)</f>
        <v>0.831163912389531</v>
      </c>
      <c r="P91" s="200" t="n">
        <f aca="false">+SUM(P88:P90)</f>
        <v>0.83793221847608</v>
      </c>
      <c r="Q91" s="200" t="n">
        <f aca="false">+SUM(Q88:Q90)</f>
        <v>0.844760417217377</v>
      </c>
      <c r="R91" s="200" t="n">
        <f aca="false">+SUM(R88:R90)</f>
        <v>0.851722659385994</v>
      </c>
      <c r="S91" s="200" t="n">
        <f aca="false">+SUM(S88:S90)</f>
        <v>0.858901592797461</v>
      </c>
      <c r="T91" s="200" t="n">
        <f aca="false">+SUM(T88:T90)</f>
        <v>0.866317377268268</v>
      </c>
      <c r="U91" s="200" t="n">
        <f aca="false">+SUM(U88:U90)</f>
        <v>0.874009557534857</v>
      </c>
      <c r="V91" s="200" t="n">
        <f aca="false">+SUM(V88:V90)</f>
        <v>0.881983209424635</v>
      </c>
      <c r="W91" s="200" t="n">
        <f aca="false">+SUM(W88:W90)</f>
        <v>0.890204545975116</v>
      </c>
      <c r="X91" s="200" t="n">
        <f aca="false">+SUM(X88:X90)</f>
        <v>0.898750922542294</v>
      </c>
      <c r="Y91" s="200" t="n">
        <f aca="false">+SUM(Y88:Y90)</f>
        <v>0.907706483111175</v>
      </c>
      <c r="Z91" s="200" t="n">
        <f aca="false">+SUM(Z88:Z90)</f>
        <v>0.917209286491046</v>
      </c>
      <c r="AA91" s="200" t="n">
        <f aca="false">+SUM(AA88:AA90)</f>
        <v>0.927230618438716</v>
      </c>
    </row>
    <row r="92" customFormat="false" ht="12.75" hidden="false" customHeight="true" outlineLevel="0" collapsed="false"/>
    <row r="93" customFormat="false" ht="12.75" hidden="false" customHeight="true" outlineLevel="0" collapsed="false">
      <c r="A93" s="374" t="s">
        <v>364</v>
      </c>
      <c r="C93" s="375" t="n">
        <f aca="false">+'Common Assumpt'!$J$23</f>
        <v>0.666666666666667</v>
      </c>
      <c r="D93" s="200" t="n">
        <f aca="false">+D91-D85</f>
        <v>0.181203355998885</v>
      </c>
      <c r="E93" s="200" t="n">
        <f aca="false">+E91-E85</f>
        <v>0.179748566704415</v>
      </c>
      <c r="F93" s="200" t="n">
        <f aca="false">+F91-F85</f>
        <v>0.178160923066631</v>
      </c>
      <c r="G93" s="200" t="n">
        <f aca="false">+G91-G85</f>
        <v>0.176655825589</v>
      </c>
      <c r="H93" s="200" t="n">
        <f aca="false">+H91-H85</f>
        <v>0.175170541789526</v>
      </c>
      <c r="I93" s="200" t="n">
        <f aca="false">+I91-I85</f>
        <v>0.173693529682731</v>
      </c>
      <c r="J93" s="200" t="n">
        <f aca="false">+J91-J85</f>
        <v>0.172214381039666</v>
      </c>
      <c r="K93" s="200" t="n">
        <f aca="false">+K91-K85</f>
        <v>0.170742722066555</v>
      </c>
      <c r="L93" s="200" t="n">
        <f aca="false">+L91-L85</f>
        <v>0.169278635561022</v>
      </c>
      <c r="M93" s="200" t="n">
        <f aca="false">+M91-M85</f>
        <v>0.167815896422748</v>
      </c>
      <c r="N93" s="200" t="n">
        <f aca="false">+N91-N85</f>
        <v>0.166352454182953</v>
      </c>
      <c r="O93" s="200" t="n">
        <f aca="false">+O91-O85</f>
        <v>0.164886541368525</v>
      </c>
      <c r="P93" s="200" t="n">
        <f aca="false">+P91-P85</f>
        <v>0.163412582625353</v>
      </c>
      <c r="Q93" s="200" t="n">
        <f aca="false">+Q91-Q85</f>
        <v>0.161925580839949</v>
      </c>
      <c r="R93" s="200" t="n">
        <f aca="false">+R91-R85</f>
        <v>0.160409387927677</v>
      </c>
      <c r="S93" s="200" t="n">
        <f aca="false">+S91-S85</f>
        <v>0.158846005371809</v>
      </c>
      <c r="T93" s="200" t="n">
        <f aca="false">+T91-T85</f>
        <v>0.157231042895459</v>
      </c>
      <c r="U93" s="200" t="n">
        <f aca="false">+U91-U85</f>
        <v>0.155555888696903</v>
      </c>
      <c r="V93" s="200" t="n">
        <f aca="false">+V91-V85</f>
        <v>0.153819437394662</v>
      </c>
      <c r="W93" s="200" t="n">
        <f aca="false">+W91-W85</f>
        <v>0.152029046898992</v>
      </c>
      <c r="X93" s="200" t="n">
        <f aca="false">+X91-X85</f>
        <v>0.150167871251414</v>
      </c>
      <c r="Y93" s="200" t="n">
        <f aca="false">+Y91-Y85</f>
        <v>0.14821758610891</v>
      </c>
      <c r="Z93" s="200" t="n">
        <f aca="false">+Z91-Z85</f>
        <v>0.146148125900211</v>
      </c>
      <c r="AA93" s="200" t="n">
        <f aca="false">+AA91-AA85</f>
        <v>0.143965743830958</v>
      </c>
    </row>
    <row r="94" customFormat="false" ht="12.75" hidden="false" customHeight="true" outlineLevel="0" collapsed="false">
      <c r="A94" s="371" t="s">
        <v>365</v>
      </c>
      <c r="B94" s="376"/>
      <c r="C94" s="377" t="n">
        <f aca="false">+'Common Assumpt'!$K$23</f>
        <v>0.333333333333333</v>
      </c>
      <c r="D94" s="372" t="n">
        <f aca="false">+D90-D84</f>
        <v>-0.036556890552467</v>
      </c>
      <c r="E94" s="372" t="n">
        <f aca="false">+E90-E84</f>
        <v>-0.0373066314493135</v>
      </c>
      <c r="F94" s="372" t="n">
        <f aca="false">+F90-F84</f>
        <v>-0.0381248402231813</v>
      </c>
      <c r="G94" s="372" t="n">
        <f aca="false">+G90-G84</f>
        <v>-0.0389005079690258</v>
      </c>
      <c r="H94" s="372" t="n">
        <f aca="false">+H90-H84</f>
        <v>-0.0396659645283513</v>
      </c>
      <c r="I94" s="372" t="n">
        <f aca="false">+I90-I84</f>
        <v>-0.040427158184237</v>
      </c>
      <c r="J94" s="372" t="n">
        <f aca="false">+J90-J84</f>
        <v>-0.0411894529264626</v>
      </c>
      <c r="K94" s="372" t="n">
        <f aca="false">+K90-K84</f>
        <v>-0.041947887788849</v>
      </c>
      <c r="L94" s="372" t="n">
        <f aca="false">+L90-L84</f>
        <v>-0.0427024201007726</v>
      </c>
      <c r="M94" s="372" t="n">
        <f aca="false">+M90-M84</f>
        <v>-0.0434562580328711</v>
      </c>
      <c r="N94" s="372" t="n">
        <f aca="false">+N90-N84</f>
        <v>-0.0442104583157004</v>
      </c>
      <c r="O94" s="372" t="n">
        <f aca="false">+O90-O84</f>
        <v>-0.0449659318350378</v>
      </c>
      <c r="P94" s="372" t="n">
        <f aca="false">+P90-P84</f>
        <v>-0.0457255519080072</v>
      </c>
      <c r="Q94" s="372" t="n">
        <f aca="false">+Q90-Q84</f>
        <v>-0.0464918938493715</v>
      </c>
      <c r="R94" s="372" t="n">
        <f aca="false">+R90-R84</f>
        <v>-0.0472732797436451</v>
      </c>
      <c r="S94" s="372" t="n">
        <f aca="false">+S90-S84</f>
        <v>-0.0480789853148957</v>
      </c>
      <c r="T94" s="372" t="n">
        <f aca="false">+T90-T84</f>
        <v>-0.04891127313829</v>
      </c>
      <c r="U94" s="372" t="n">
        <f aca="false">+U90-U84</f>
        <v>-0.0497745813960257</v>
      </c>
      <c r="V94" s="372" t="n">
        <f aca="false">+V90-V84</f>
        <v>-0.0506694797580226</v>
      </c>
      <c r="W94" s="372" t="n">
        <f aca="false">+W90-W84</f>
        <v>-0.0515921762481819</v>
      </c>
      <c r="X94" s="372" t="n">
        <f aca="false">+X90-X84</f>
        <v>-0.0525513526076091</v>
      </c>
      <c r="Y94" s="372" t="n">
        <f aca="false">+Y90-Y84</f>
        <v>-0.0535564524783633</v>
      </c>
      <c r="Z94" s="372" t="n">
        <f aca="false">+Z90-Z84</f>
        <v>-0.0546229704674326</v>
      </c>
      <c r="AA94" s="372" t="n">
        <f aca="false">+AA90-AA84</f>
        <v>-0.0557476839198086</v>
      </c>
    </row>
    <row r="95" customFormat="false" ht="12.75" hidden="false" customHeight="true" outlineLevel="0" collapsed="false">
      <c r="A95" s="374" t="s">
        <v>366</v>
      </c>
      <c r="C95" s="375" t="n">
        <f aca="false">+SUM(C93:C94)</f>
        <v>1</v>
      </c>
      <c r="D95" s="200" t="n">
        <f aca="false">+D93*$C$93+D94*$C$94</f>
        <v>0.108616607148434</v>
      </c>
      <c r="E95" s="200" t="n">
        <f aca="false">+E93*$C$93+E94*$C$94</f>
        <v>0.107396833986505</v>
      </c>
      <c r="F95" s="200" t="n">
        <f aca="false">+F93*$C$93+F94*$C$94</f>
        <v>0.106065668636693</v>
      </c>
      <c r="G95" s="200" t="n">
        <f aca="false">+G93*$C$93+G94*$C$94</f>
        <v>0.104803714402991</v>
      </c>
      <c r="H95" s="200" t="n">
        <f aca="false">+H93*$C$93+H94*$C$94</f>
        <v>0.1035583730169</v>
      </c>
      <c r="I95" s="200" t="n">
        <f aca="false">+I93*$C$93+I94*$C$94</f>
        <v>0.102319967060409</v>
      </c>
      <c r="J95" s="200" t="n">
        <f aca="false">+J93*$C$93+J94*$C$94</f>
        <v>0.101079769717623</v>
      </c>
      <c r="K95" s="200" t="n">
        <f aca="false">+K93*$C$93+K94*$C$94</f>
        <v>0.0998458521147533</v>
      </c>
      <c r="L95" s="200" t="n">
        <f aca="false">+L93*$C$93+L94*$C$94</f>
        <v>0.0986182836737573</v>
      </c>
      <c r="M95" s="200" t="n">
        <f aca="false">+M93*$C$93+M94*$C$94</f>
        <v>0.0973918449375413</v>
      </c>
      <c r="N95" s="200" t="n">
        <f aca="false">+N93*$C$93+N94*$C$94</f>
        <v>0.0961648166834018</v>
      </c>
      <c r="O95" s="200" t="n">
        <f aca="false">+O93*$C$93+O94*$C$94</f>
        <v>0.0949357169673374</v>
      </c>
      <c r="P95" s="200" t="n">
        <f aca="false">+P93*$C$93+P94*$C$94</f>
        <v>0.0936998711142328</v>
      </c>
      <c r="Q95" s="200" t="n">
        <f aca="false">+Q93*$C$93+Q94*$C$94</f>
        <v>0.0924530892768425</v>
      </c>
      <c r="R95" s="200" t="n">
        <f aca="false">+R93*$C$93+R94*$C$94</f>
        <v>0.0911818320372363</v>
      </c>
      <c r="S95" s="200" t="n">
        <f aca="false">+S93*$C$93+S94*$C$94</f>
        <v>0.0898710084762408</v>
      </c>
      <c r="T95" s="200" t="n">
        <f aca="false">+T93*$C$93+T94*$C$94</f>
        <v>0.0885169375508761</v>
      </c>
      <c r="U95" s="200" t="n">
        <f aca="false">+U93*$C$93+U94*$C$94</f>
        <v>0.0871123986659265</v>
      </c>
      <c r="V95" s="200" t="n">
        <f aca="false">+V93*$C$93+V94*$C$94</f>
        <v>0.0856564650104337</v>
      </c>
      <c r="W95" s="200" t="n">
        <f aca="false">+W93*$C$93+W94*$C$94</f>
        <v>0.0841553058499337</v>
      </c>
      <c r="X95" s="200" t="n">
        <f aca="false">+X93*$C$93+X94*$C$94</f>
        <v>0.0825947966317395</v>
      </c>
      <c r="Y95" s="200" t="n">
        <f aca="false">+Y93*$C$93+Y94*$C$94</f>
        <v>0.0809595732464858</v>
      </c>
      <c r="Z95" s="200" t="n">
        <f aca="false">+Z93*$C$93+Z94*$C$94</f>
        <v>0.0792244271109967</v>
      </c>
      <c r="AA95" s="200" t="n">
        <f aca="false">+AA93*$C$93+AA94*$C$94</f>
        <v>0.0773946012473693</v>
      </c>
    </row>
    <row r="96" customFormat="false" ht="12.75" hidden="false" customHeight="true" outlineLevel="0" collapsed="false"/>
    <row r="97" customFormat="false" ht="12.75" hidden="false" customHeight="true" outlineLevel="0" collapsed="false">
      <c r="A97" s="360" t="s">
        <v>367</v>
      </c>
      <c r="B97" s="361"/>
      <c r="C97" s="361"/>
      <c r="D97" s="362"/>
      <c r="E97" s="362"/>
      <c r="F97" s="362"/>
      <c r="G97" s="362"/>
      <c r="H97" s="362"/>
      <c r="I97" s="362"/>
      <c r="J97" s="362"/>
      <c r="K97" s="363"/>
      <c r="L97" s="362"/>
      <c r="M97" s="362"/>
      <c r="N97" s="362"/>
      <c r="O97" s="362"/>
      <c r="P97" s="362"/>
      <c r="Q97" s="362"/>
      <c r="R97" s="362"/>
      <c r="S97" s="362"/>
      <c r="T97" s="362"/>
      <c r="U97" s="362"/>
      <c r="V97" s="362"/>
      <c r="W97" s="362"/>
      <c r="X97" s="362"/>
      <c r="Y97" s="362"/>
      <c r="Z97" s="362"/>
      <c r="AA97" s="364"/>
    </row>
    <row r="98" customFormat="false" ht="12.75" hidden="false" customHeight="true" outlineLevel="0" collapsed="false">
      <c r="A98" s="148"/>
      <c r="B98" s="148"/>
      <c r="C98" s="148"/>
    </row>
    <row r="99" customFormat="false" ht="12.75" hidden="false" customHeight="true" outlineLevel="0" collapsed="false">
      <c r="A99" s="148" t="s">
        <v>357</v>
      </c>
      <c r="B99" s="148"/>
      <c r="C99" s="148"/>
      <c r="D99" s="365" t="n">
        <v>0</v>
      </c>
      <c r="E99" s="365" t="n">
        <v>0</v>
      </c>
      <c r="F99" s="366" t="n">
        <f aca="false">+SUM(F$16,F$22)*NB</f>
        <v>0</v>
      </c>
      <c r="G99" s="366" t="n">
        <f aca="false">+SUM(G$16,G$22)*NB</f>
        <v>12.7348495226057</v>
      </c>
      <c r="H99" s="366" t="n">
        <f aca="false">+SUM(H$16,H$22)*NB</f>
        <v>12.7348495226057</v>
      </c>
      <c r="I99" s="366" t="n">
        <f aca="false">+SUM(I$16,I$22)*NB</f>
        <v>12.7348495226057</v>
      </c>
      <c r="J99" s="366" t="n">
        <f aca="false">+SUM(J$16,J$22)*NB</f>
        <v>9.5511371419543</v>
      </c>
      <c r="K99" s="366" t="n">
        <f aca="false">+SUM(K$16,K$22)*NB</f>
        <v>9.5511371419543</v>
      </c>
      <c r="L99" s="366" t="n">
        <f aca="false">+SUM(L$16,L$22)*NB</f>
        <v>12.7348495226057</v>
      </c>
      <c r="M99" s="366" t="n">
        <f aca="false">+SUM(M$16,M$22)*NB</f>
        <v>12.7348495226057</v>
      </c>
      <c r="N99" s="366" t="n">
        <f aca="false">+SUM(N$16,N$22)*NB</f>
        <v>12.7348495226057</v>
      </c>
      <c r="O99" s="366" t="n">
        <f aca="false">+SUM(O$16,O$22)*NB</f>
        <v>15.9185619032572</v>
      </c>
      <c r="P99" s="366" t="n">
        <f aca="false">+SUM(P$16,P$22)*NB</f>
        <v>15.9185619032572</v>
      </c>
      <c r="Q99" s="366" t="n">
        <f aca="false">+SUM(Q$16,Q$22)*NB</f>
        <v>15.9185619032572</v>
      </c>
      <c r="R99" s="366" t="n">
        <f aca="false">+SUM(R$16,R$22)*NB</f>
        <v>19.1022742839086</v>
      </c>
      <c r="S99" s="366" t="n">
        <f aca="false">+SUM(S$16,S$22)*NB</f>
        <v>19.1022742839086</v>
      </c>
      <c r="T99" s="366" t="n">
        <f aca="false">+SUM(T$16,T$22)*NB</f>
        <v>19.1022742839086</v>
      </c>
      <c r="U99" s="366" t="n">
        <f aca="false">+SUM(U$16,U$22)*NB</f>
        <v>19.1022742839086</v>
      </c>
      <c r="V99" s="366" t="n">
        <f aca="false">+SUM(V$16,V$22)*NB</f>
        <v>19.1022742839086</v>
      </c>
      <c r="W99" s="366" t="n">
        <f aca="false">+SUM(W$16,W$22)*NB</f>
        <v>19.1022742839086</v>
      </c>
      <c r="X99" s="366" t="n">
        <f aca="false">+SUM(X$16,X$22)*NB</f>
        <v>0</v>
      </c>
      <c r="Y99" s="366" t="n">
        <f aca="false">+SUM(Y$16,Y$22)*NB</f>
        <v>0</v>
      </c>
      <c r="Z99" s="366" t="n">
        <f aca="false">+SUM(Z$16,Z$22)*NB</f>
        <v>0</v>
      </c>
      <c r="AA99" s="366" t="n">
        <f aca="false">+SUM(AA$16,AA$22)*NB</f>
        <v>0</v>
      </c>
    </row>
    <row r="100" customFormat="false" ht="12.75" hidden="false" customHeight="true" outlineLevel="0" collapsed="false">
      <c r="A100" s="232" t="s">
        <v>358</v>
      </c>
      <c r="B100" s="232"/>
      <c r="C100" s="232"/>
      <c r="D100" s="367"/>
      <c r="E100" s="367"/>
      <c r="F100" s="368" t="n">
        <f aca="false">+SUM(F$16)*NB</f>
        <v>0</v>
      </c>
      <c r="G100" s="368" t="n">
        <f aca="false">+SUM(G$16)*NB</f>
        <v>12.7348495226057</v>
      </c>
      <c r="H100" s="368" t="n">
        <f aca="false">+SUM(H$16)*NB</f>
        <v>12.7348495226057</v>
      </c>
      <c r="I100" s="368" t="n">
        <f aca="false">+SUM(I$16)*NB</f>
        <v>12.7348495226057</v>
      </c>
      <c r="J100" s="368" t="n">
        <f aca="false">+SUM(J$16)*NB</f>
        <v>9.5511371419543</v>
      </c>
      <c r="K100" s="368" t="n">
        <f aca="false">+SUM(K$16)*NB</f>
        <v>9.5511371419543</v>
      </c>
      <c r="L100" s="368" t="n">
        <f aca="false">+SUM(L$16)*NB</f>
        <v>0</v>
      </c>
      <c r="M100" s="368" t="n">
        <f aca="false">+SUM(M$16)*NB</f>
        <v>0</v>
      </c>
      <c r="N100" s="368" t="n">
        <f aca="false">+SUM(N$16)*NB</f>
        <v>0</v>
      </c>
      <c r="O100" s="368" t="n">
        <f aca="false">+SUM(O$16)*NB</f>
        <v>0</v>
      </c>
      <c r="P100" s="368" t="n">
        <f aca="false">+SUM(P$16)*NB</f>
        <v>0</v>
      </c>
      <c r="Q100" s="368" t="n">
        <f aca="false">+SUM(Q$16)*NB</f>
        <v>0</v>
      </c>
      <c r="R100" s="368" t="n">
        <f aca="false">+SUM(R$16)*NB</f>
        <v>0</v>
      </c>
      <c r="S100" s="368" t="n">
        <f aca="false">+SUM(S$16)*NB</f>
        <v>0</v>
      </c>
      <c r="T100" s="368" t="n">
        <f aca="false">+SUM(T$16)*NB</f>
        <v>0</v>
      </c>
      <c r="U100" s="368" t="n">
        <f aca="false">+SUM(U$16)*NB</f>
        <v>0</v>
      </c>
      <c r="V100" s="368" t="n">
        <f aca="false">+SUM(V$16)*NB</f>
        <v>0</v>
      </c>
      <c r="W100" s="368" t="n">
        <f aca="false">+SUM(W$16)*NB</f>
        <v>0</v>
      </c>
      <c r="X100" s="368" t="n">
        <f aca="false">+SUM(X$16)*NB</f>
        <v>0</v>
      </c>
      <c r="Y100" s="368" t="n">
        <f aca="false">+SUM(Y$16)*NB</f>
        <v>0</v>
      </c>
      <c r="Z100" s="368" t="n">
        <f aca="false">+SUM(Z$16)*NB</f>
        <v>0</v>
      </c>
      <c r="AA100" s="368" t="n">
        <f aca="false">+SUM(AA$16)*NB</f>
        <v>0</v>
      </c>
    </row>
    <row r="101" customFormat="false" ht="12.75" hidden="false" customHeight="true" outlineLevel="0" collapsed="false">
      <c r="A101" s="232" t="s">
        <v>359</v>
      </c>
      <c r="B101" s="232"/>
      <c r="C101" s="232"/>
      <c r="D101" s="367"/>
      <c r="E101" s="367"/>
      <c r="F101" s="368" t="n">
        <f aca="false">+SUM(F$22)*NB</f>
        <v>0</v>
      </c>
      <c r="G101" s="368" t="n">
        <f aca="false">+SUM(G$22)*NB</f>
        <v>0</v>
      </c>
      <c r="H101" s="368" t="n">
        <f aca="false">+SUM(H$22)*NB</f>
        <v>0</v>
      </c>
      <c r="I101" s="368" t="n">
        <f aca="false">+SUM(I$22)*NB</f>
        <v>0</v>
      </c>
      <c r="J101" s="368" t="n">
        <f aca="false">+SUM(J$22)*NB</f>
        <v>0</v>
      </c>
      <c r="K101" s="368" t="n">
        <f aca="false">+SUM(K$22)*NB</f>
        <v>0</v>
      </c>
      <c r="L101" s="368" t="n">
        <f aca="false">+SUM(L$22)*NB</f>
        <v>12.7348495226057</v>
      </c>
      <c r="M101" s="368" t="n">
        <f aca="false">+SUM(M$22)*NB</f>
        <v>12.7348495226057</v>
      </c>
      <c r="N101" s="368" t="n">
        <f aca="false">+SUM(N$22)*NB</f>
        <v>12.7348495226057</v>
      </c>
      <c r="O101" s="368" t="n">
        <f aca="false">+SUM(O$22)*NB</f>
        <v>15.9185619032572</v>
      </c>
      <c r="P101" s="368" t="n">
        <f aca="false">+SUM(P$22)*NB</f>
        <v>15.9185619032572</v>
      </c>
      <c r="Q101" s="368" t="n">
        <f aca="false">+SUM(Q$22)*NB</f>
        <v>15.9185619032572</v>
      </c>
      <c r="R101" s="368" t="n">
        <f aca="false">+SUM(R$22)*NB</f>
        <v>19.1022742839086</v>
      </c>
      <c r="S101" s="368" t="n">
        <f aca="false">+SUM(S$22)*NB</f>
        <v>19.1022742839086</v>
      </c>
      <c r="T101" s="368" t="n">
        <f aca="false">+SUM(T$22)*NB</f>
        <v>19.1022742839086</v>
      </c>
      <c r="U101" s="368" t="n">
        <f aca="false">+SUM(U$22)*NB</f>
        <v>19.1022742839086</v>
      </c>
      <c r="V101" s="368" t="n">
        <f aca="false">+SUM(V$22)*NB</f>
        <v>19.1022742839086</v>
      </c>
      <c r="W101" s="368" t="n">
        <f aca="false">+SUM(W$22)*NB</f>
        <v>19.1022742839086</v>
      </c>
      <c r="X101" s="368" t="n">
        <f aca="false">+SUM(X$22)*NB</f>
        <v>0</v>
      </c>
      <c r="Y101" s="368" t="n">
        <f aca="false">+SUM(Y$22)*NB</f>
        <v>0</v>
      </c>
      <c r="Z101" s="368" t="n">
        <f aca="false">+SUM(Z$22)*NB</f>
        <v>0</v>
      </c>
      <c r="AA101" s="368" t="n">
        <f aca="false">+SUM(AA$22)*NB</f>
        <v>0</v>
      </c>
    </row>
    <row r="102" customFormat="false" ht="12.75" hidden="false" customHeight="true" outlineLevel="0" collapsed="false">
      <c r="A102" s="148"/>
      <c r="B102" s="148"/>
      <c r="C102" s="148"/>
    </row>
    <row r="103" customFormat="false" ht="12.75" hidden="false" customHeight="true" outlineLevel="0" collapsed="false">
      <c r="A103" s="195" t="s">
        <v>360</v>
      </c>
    </row>
    <row r="104" customFormat="false" ht="12.75" hidden="false" customHeight="true" outlineLevel="0" collapsed="false">
      <c r="A104" s="369" t="s">
        <v>55</v>
      </c>
      <c r="B104" s="369"/>
      <c r="C104" s="369"/>
      <c r="D104" s="247" t="n">
        <f aca="false">+$H104</f>
        <v>0.774188586338549</v>
      </c>
      <c r="E104" s="247" t="n">
        <f aca="false">+$H104</f>
        <v>0.774188586338549</v>
      </c>
      <c r="F104" s="247" t="n">
        <f aca="false">+$H104</f>
        <v>0.774188586338549</v>
      </c>
      <c r="G104" s="247" t="n">
        <f aca="false">+$H104</f>
        <v>0.774188586338549</v>
      </c>
      <c r="H104" s="370" t="n">
        <f aca="false">('Common Assumpt'!$G$26)</f>
        <v>0.774188586338549</v>
      </c>
      <c r="I104" s="247" t="n">
        <f aca="false">+$H104</f>
        <v>0.774188586338549</v>
      </c>
      <c r="J104" s="247" t="n">
        <f aca="false">+$H104</f>
        <v>0.774188586338549</v>
      </c>
      <c r="K104" s="247" t="n">
        <f aca="false">+$H104</f>
        <v>0.774188586338549</v>
      </c>
      <c r="L104" s="247" t="n">
        <f aca="false">+$H104</f>
        <v>0.774188586338549</v>
      </c>
      <c r="M104" s="247" t="n">
        <f aca="false">+$H104</f>
        <v>0.774188586338549</v>
      </c>
      <c r="N104" s="247" t="n">
        <f aca="false">+$H104</f>
        <v>0.774188586338549</v>
      </c>
      <c r="O104" s="247" t="n">
        <f aca="false">+$H104</f>
        <v>0.774188586338549</v>
      </c>
      <c r="P104" s="247" t="n">
        <f aca="false">+$H104</f>
        <v>0.774188586338549</v>
      </c>
      <c r="Q104" s="247" t="n">
        <f aca="false">+$H104</f>
        <v>0.774188586338549</v>
      </c>
      <c r="R104" s="247" t="n">
        <f aca="false">+$H104</f>
        <v>0.774188586338549</v>
      </c>
      <c r="S104" s="247" t="n">
        <f aca="false">+$H104</f>
        <v>0.774188586338549</v>
      </c>
      <c r="T104" s="247" t="n">
        <f aca="false">+$H104</f>
        <v>0.774188586338549</v>
      </c>
      <c r="U104" s="247" t="n">
        <f aca="false">+$H104</f>
        <v>0.774188586338549</v>
      </c>
      <c r="V104" s="247" t="n">
        <f aca="false">+$H104</f>
        <v>0.774188586338549</v>
      </c>
      <c r="W104" s="247" t="n">
        <f aca="false">+$H104</f>
        <v>0.774188586338549</v>
      </c>
      <c r="X104" s="247" t="n">
        <f aca="false">+$H104</f>
        <v>0.774188586338549</v>
      </c>
      <c r="Y104" s="247" t="n">
        <f aca="false">+$H104</f>
        <v>0.774188586338549</v>
      </c>
      <c r="Z104" s="247" t="n">
        <f aca="false">+$H104</f>
        <v>0.774188586338549</v>
      </c>
      <c r="AA104" s="247" t="n">
        <f aca="false">+$H104</f>
        <v>0.774188586338549</v>
      </c>
    </row>
    <row r="105" customFormat="false" ht="12.75" hidden="false" customHeight="true" outlineLevel="0" collapsed="false">
      <c r="A105" s="369" t="s">
        <v>361</v>
      </c>
      <c r="B105" s="369"/>
      <c r="C105" s="369"/>
      <c r="D105" s="247" t="n">
        <f aca="false">E105/(1+HLOOKUP(E$27,USInf97!$M$2:$AY$3,2)*'Common Assumpt'!$D$21)</f>
        <v>0.200857185885577</v>
      </c>
      <c r="E105" s="247" t="n">
        <f aca="false">F105/(1+HLOOKUP(F$27,USInf97!$M$2:$AY$3,2)*'Common Assumpt'!$D$21)</f>
        <v>0.204976541892286</v>
      </c>
      <c r="F105" s="247" t="n">
        <f aca="false">G105/(1+HLOOKUP(G$27,USInf97!$M$2:$AY$3,2)*'Common Assumpt'!$D$21)</f>
        <v>0.209472085941639</v>
      </c>
      <c r="G105" s="247" t="n">
        <f aca="false">H105/(1+HLOOKUP(H$27,USInf97!$M$2:$AY$3,2)*'Common Assumpt'!$D$21)</f>
        <v>0.213733893722826</v>
      </c>
      <c r="H105" s="370" t="n">
        <f aca="false">'Common Assumpt'!$H$26</f>
        <v>0.21793959743833</v>
      </c>
      <c r="I105" s="247" t="n">
        <f aca="false">H105*(1+HLOOKUP(I27,USInf97!$M$2:$AY$3,2)*'Common Assumpt'!$D$21)</f>
        <v>0.222121879173035</v>
      </c>
      <c r="J105" s="247" t="n">
        <f aca="false">I105*(1+HLOOKUP(J27,USInf97!$M$2:$AY$3,2)*'Common Assumpt'!$D$21)</f>
        <v>0.226310210686598</v>
      </c>
      <c r="K105" s="247" t="n">
        <f aca="false">J105*(1+HLOOKUP(K27,USInf97!$M$2:$AY$3,2)*'Common Assumpt'!$D$21)</f>
        <v>0.23047733458128</v>
      </c>
      <c r="L105" s="247" t="n">
        <f aca="false">K105*(1+HLOOKUP(L27,USInf97!$M$2:$AY$3,2)*'Common Assumpt'!$D$21)</f>
        <v>0.234623016408765</v>
      </c>
      <c r="M105" s="247" t="n">
        <f aca="false">L105*(1+HLOOKUP(M27,USInf97!$M$2:$AY$3,2)*'Common Assumpt'!$D$21)</f>
        <v>0.238764883054611</v>
      </c>
      <c r="N105" s="247" t="n">
        <f aca="false">M105*(1+HLOOKUP(N27,USInf97!$M$2:$AY$3,2)*'Common Assumpt'!$D$21)</f>
        <v>0.242908740590464</v>
      </c>
      <c r="O105" s="247" t="n">
        <f aca="false">N105*(1+HLOOKUP(O27,USInf97!$M$2:$AY$3,2)*'Common Assumpt'!$D$21)</f>
        <v>0.247059593762383</v>
      </c>
      <c r="P105" s="247" t="n">
        <f aca="false">O105*(1+HLOOKUP(P27,USInf97!$M$2:$AY$3,2)*'Common Assumpt'!$D$21)</f>
        <v>0.251233229645879</v>
      </c>
      <c r="Q105" s="247" t="n">
        <f aca="false">P105*(1+HLOOKUP(Q27,USInf97!$M$2:$AY$3,2)*'Common Assumpt'!$D$21)</f>
        <v>0.255443797980394</v>
      </c>
      <c r="R105" s="247" t="n">
        <f aca="false">Q105*(1+HLOOKUP(R27,USInf97!$M$2:$AY$3,2)*'Common Assumpt'!$D$21)</f>
        <v>0.259737023400899</v>
      </c>
      <c r="S105" s="247" t="n">
        <f aca="false">R105*(1+HLOOKUP(S27,USInf97!$M$2:$AY$3,2)*'Common Assumpt'!$D$21)</f>
        <v>0.264163870193611</v>
      </c>
      <c r="T105" s="247" t="n">
        <f aca="false">S105*(1+HLOOKUP(T27,USInf97!$M$2:$AY$3,2)*'Common Assumpt'!$D$21)</f>
        <v>0.268736769790033</v>
      </c>
      <c r="U105" s="247" t="n">
        <f aca="false">T105*(1+HLOOKUP(U27,USInf97!$M$2:$AY$3,2)*'Common Assumpt'!$D$21)</f>
        <v>0.273480107217808</v>
      </c>
      <c r="V105" s="247" t="n">
        <f aca="false">U105*(1+HLOOKUP(V27,USInf97!$M$2:$AY$3,2)*'Common Assumpt'!$D$21)</f>
        <v>0.278397012455859</v>
      </c>
      <c r="W105" s="247" t="n">
        <f aca="false">V105*(1+HLOOKUP(W27,USInf97!$M$2:$AY$3,2)*'Common Assumpt'!$D$21)</f>
        <v>0.283466650973772</v>
      </c>
      <c r="X105" s="247" t="n">
        <f aca="false">W105*(1+HLOOKUP(X27,USInf97!$M$2:$AY$3,2)*'Common Assumpt'!$D$21)</f>
        <v>0.288736723493917</v>
      </c>
      <c r="Y105" s="247" t="n">
        <f aca="false">X105*(1+HLOOKUP(Y27,USInf97!$M$2:$AY$3,2)*'Common Assumpt'!$D$21)</f>
        <v>0.29425911690656</v>
      </c>
      <c r="Z105" s="247" t="n">
        <f aca="false">Y105*(1+HLOOKUP(Z27,USInf97!$M$2:$AY$3,2)*'Common Assumpt'!$D$21)</f>
        <v>0.300118964359213</v>
      </c>
      <c r="AA105" s="247" t="n">
        <f aca="false">Z105*(1+HLOOKUP(AA27,USInf97!$M$2:$AY$3,2)*'Common Assumpt'!$D$21)</f>
        <v>0.306298559383786</v>
      </c>
    </row>
    <row r="106" customFormat="false" ht="12.75" hidden="false" customHeight="true" outlineLevel="0" collapsed="false">
      <c r="A106" s="371" t="s">
        <v>57</v>
      </c>
      <c r="B106" s="371"/>
      <c r="C106" s="371"/>
      <c r="D106" s="372" t="n">
        <f aca="false">E106/(1+HLOOKUP(E$27,USInf97!$M$2:$AY$3,2)*'Common Assumpt'!$D$21)</f>
        <v>0.444944255863387</v>
      </c>
      <c r="E106" s="372" t="n">
        <f aca="false">F106/(1+HLOOKUP(F$27,USInf97!$M$2:$AY$3,2)*'Common Assumpt'!$D$21)</f>
        <v>0.454069564400198</v>
      </c>
      <c r="F106" s="372" t="n">
        <f aca="false">G106/(1+HLOOKUP(G$27,USInf97!$M$2:$AY$3,2)*'Common Assumpt'!$D$21)</f>
        <v>0.464028214835935</v>
      </c>
      <c r="G106" s="372" t="n">
        <f aca="false">H106/(1+HLOOKUP(H$27,USInf97!$M$2:$AY$3,2)*'Common Assumpt'!$D$21)</f>
        <v>0.473469086385901</v>
      </c>
      <c r="H106" s="373" t="n">
        <f aca="false">'Common Assumpt'!$I$26</f>
        <v>0.482785674696278</v>
      </c>
      <c r="I106" s="372" t="n">
        <f aca="false">H106*(1+HLOOKUP(I27,USInf97!$M$2:$AY$3,2)*'Common Assumpt'!$D$21)</f>
        <v>0.49205037800303</v>
      </c>
      <c r="J106" s="372" t="n">
        <f aca="false">I106*(1+HLOOKUP(J27,USInf97!$M$2:$AY$3,2)*'Common Assumpt'!$D$21)</f>
        <v>0.501328482943092</v>
      </c>
      <c r="K106" s="372" t="n">
        <f aca="false">J106*(1+HLOOKUP(K27,USInf97!$M$2:$AY$3,2)*'Common Assumpt'!$D$21)</f>
        <v>0.510559608193776</v>
      </c>
      <c r="L106" s="372" t="n">
        <f aca="false">K106*(1+HLOOKUP(L27,USInf97!$M$2:$AY$3,2)*'Common Assumpt'!$D$21)</f>
        <v>0.519743234398852</v>
      </c>
      <c r="M106" s="372" t="n">
        <f aca="false">L106*(1+HLOOKUP(M27,USInf97!$M$2:$AY$3,2)*'Common Assumpt'!$D$21)</f>
        <v>0.528918409110656</v>
      </c>
      <c r="N106" s="372" t="n">
        <f aca="false">M106*(1+HLOOKUP(N27,USInf97!$M$2:$AY$3,2)*'Common Assumpt'!$D$21)</f>
        <v>0.538097994095703</v>
      </c>
      <c r="O106" s="372" t="n">
        <f aca="false">N106*(1+HLOOKUP(O27,USInf97!$M$2:$AY$3,2)*'Common Assumpt'!$D$21)</f>
        <v>0.547293076002454</v>
      </c>
      <c r="P106" s="372" t="n">
        <f aca="false">O106*(1+HLOOKUP(P27,USInf97!$M$2:$AY$3,2)*'Common Assumpt'!$D$21)</f>
        <v>0.556538626786408</v>
      </c>
      <c r="Q106" s="372" t="n">
        <f aca="false">P106*(1+HLOOKUP(Q27,USInf97!$M$2:$AY$3,2)*'Common Assumpt'!$D$21)</f>
        <v>0.565865991332029</v>
      </c>
      <c r="R106" s="372" t="n">
        <f aca="false">Q106*(1+HLOOKUP(R27,USInf97!$M$2:$AY$3,2)*'Common Assumpt'!$D$21)</f>
        <v>0.575376460084034</v>
      </c>
      <c r="S106" s="372" t="n">
        <f aca="false">R106*(1+HLOOKUP(S27,USInf97!$M$2:$AY$3,2)*'Common Assumpt'!$D$21)</f>
        <v>0.585182930503901</v>
      </c>
      <c r="T106" s="372" t="n">
        <f aca="false">S106*(1+HLOOKUP(T27,USInf97!$M$2:$AY$3,2)*'Common Assumpt'!$D$21)</f>
        <v>0.595312941034005</v>
      </c>
      <c r="U106" s="372" t="n">
        <f aca="false">T106*(1+HLOOKUP(U27,USInf97!$M$2:$AY$3,2)*'Common Assumpt'!$D$21)</f>
        <v>0.605820510045314</v>
      </c>
      <c r="V106" s="372" t="n">
        <f aca="false">U106*(1+HLOOKUP(V27,USInf97!$M$2:$AY$3,2)*'Common Assumpt'!$D$21)</f>
        <v>0.616712571151566</v>
      </c>
      <c r="W106" s="372" t="n">
        <f aca="false">V106*(1+HLOOKUP(W27,USInf97!$M$2:$AY$3,2)*'Common Assumpt'!$D$21)</f>
        <v>0.627942971139019</v>
      </c>
      <c r="X106" s="372" t="n">
        <f aca="false">W106*(1+HLOOKUP(X27,USInf97!$M$2:$AY$3,2)*'Common Assumpt'!$D$21)</f>
        <v>0.639617377934491</v>
      </c>
      <c r="Y106" s="372" t="n">
        <f aca="false">X106*(1+HLOOKUP(Y27,USInf97!$M$2:$AY$3,2)*'Common Assumpt'!$D$21)</f>
        <v>0.651850732776837</v>
      </c>
      <c r="Z106" s="372" t="n">
        <f aca="false">Y106*(1+HLOOKUP(Z27,USInf97!$M$2:$AY$3,2)*'Common Assumpt'!$D$21)</f>
        <v>0.66483162491071</v>
      </c>
      <c r="AA106" s="372" t="n">
        <f aca="false">Z106*(1+HLOOKUP(AA27,USInf97!$M$2:$AY$3,2)*'Common Assumpt'!$D$21)</f>
        <v>0.678520830490401</v>
      </c>
    </row>
    <row r="107" customFormat="false" ht="12.75" hidden="false" customHeight="true" outlineLevel="0" collapsed="false">
      <c r="A107" s="374" t="s">
        <v>368</v>
      </c>
      <c r="B107" s="374"/>
      <c r="C107" s="374"/>
      <c r="D107" s="200" t="n">
        <f aca="false">+SUM(D104:D106)</f>
        <v>1.41999002808751</v>
      </c>
      <c r="E107" s="200" t="n">
        <f aca="false">+SUM(E104:E106)</f>
        <v>1.43323469263103</v>
      </c>
      <c r="F107" s="200" t="n">
        <f aca="false">+SUM(F104:F106)</f>
        <v>1.44768888711612</v>
      </c>
      <c r="G107" s="200" t="n">
        <f aca="false">+SUM(G104:G106)</f>
        <v>1.46139156644728</v>
      </c>
      <c r="H107" s="200" t="n">
        <f aca="false">+SUM(H104:H106)</f>
        <v>1.47491385847316</v>
      </c>
      <c r="I107" s="200" t="n">
        <f aca="false">+SUM(I104:I106)</f>
        <v>1.48836084351461</v>
      </c>
      <c r="J107" s="200" t="n">
        <f aca="false">+SUM(J104:J106)</f>
        <v>1.50182727996824</v>
      </c>
      <c r="K107" s="200" t="n">
        <f aca="false">+SUM(K104:K106)</f>
        <v>1.5152255291136</v>
      </c>
      <c r="L107" s="200" t="n">
        <f aca="false">+SUM(L104:L106)</f>
        <v>1.52855483714617</v>
      </c>
      <c r="M107" s="200" t="n">
        <f aca="false">+SUM(M104:M106)</f>
        <v>1.54187187850382</v>
      </c>
      <c r="N107" s="200" t="n">
        <f aca="false">+SUM(N104:N106)</f>
        <v>1.55519532102472</v>
      </c>
      <c r="O107" s="200" t="n">
        <f aca="false">+SUM(O104:O106)</f>
        <v>1.56854125610338</v>
      </c>
      <c r="P107" s="200" t="n">
        <f aca="false">+SUM(P104:P106)</f>
        <v>1.58196044277084</v>
      </c>
      <c r="Q107" s="200" t="n">
        <f aca="false">+SUM(Q104:Q106)</f>
        <v>1.59549837565097</v>
      </c>
      <c r="R107" s="200" t="n">
        <f aca="false">+SUM(R104:R106)</f>
        <v>1.60930206982348</v>
      </c>
      <c r="S107" s="200" t="n">
        <f aca="false">+SUM(S104:S106)</f>
        <v>1.62353538703606</v>
      </c>
      <c r="T107" s="200" t="n">
        <f aca="false">+SUM(T104:T106)</f>
        <v>1.63823829716259</v>
      </c>
      <c r="U107" s="200" t="n">
        <f aca="false">+SUM(U104:U106)</f>
        <v>1.65348920360167</v>
      </c>
      <c r="V107" s="200" t="n">
        <f aca="false">+SUM(V104:V106)</f>
        <v>1.66929816994597</v>
      </c>
      <c r="W107" s="200" t="n">
        <f aca="false">+SUM(W104:W106)</f>
        <v>1.68559820845134</v>
      </c>
      <c r="X107" s="200" t="n">
        <f aca="false">+SUM(X104:X106)</f>
        <v>1.70254268776696</v>
      </c>
      <c r="Y107" s="200" t="n">
        <f aca="false">+SUM(Y104:Y106)</f>
        <v>1.72029843602195</v>
      </c>
      <c r="Z107" s="200" t="n">
        <f aca="false">+SUM(Z104:Z106)</f>
        <v>1.73913917560847</v>
      </c>
      <c r="AA107" s="200" t="n">
        <f aca="false">+SUM(AA104:AA106)</f>
        <v>1.75900797621274</v>
      </c>
    </row>
    <row r="108" customFormat="false" ht="12.75" hidden="false" customHeight="true" outlineLevel="0" collapsed="false">
      <c r="A108" s="374"/>
      <c r="B108" s="374"/>
      <c r="C108" s="374"/>
      <c r="D108" s="200"/>
      <c r="E108" s="200"/>
      <c r="F108" s="200"/>
      <c r="G108" s="200"/>
      <c r="H108" s="200"/>
      <c r="I108" s="200"/>
      <c r="J108" s="200"/>
      <c r="K108" s="200"/>
      <c r="L108" s="200"/>
      <c r="M108" s="200"/>
      <c r="N108" s="200"/>
      <c r="O108" s="200"/>
      <c r="P108" s="200"/>
      <c r="Q108" s="200"/>
      <c r="R108" s="200"/>
      <c r="S108" s="200"/>
      <c r="T108" s="200"/>
      <c r="U108" s="200"/>
      <c r="V108" s="200"/>
      <c r="W108" s="200"/>
      <c r="X108" s="200"/>
      <c r="Y108" s="200"/>
      <c r="Z108" s="200"/>
      <c r="AA108" s="200"/>
    </row>
    <row r="109" customFormat="false" ht="12.75" hidden="false" customHeight="true" outlineLevel="0" collapsed="false">
      <c r="A109" s="195" t="s">
        <v>363</v>
      </c>
    </row>
    <row r="110" customFormat="false" ht="12.75" hidden="false" customHeight="true" outlineLevel="0" collapsed="false">
      <c r="A110" s="369" t="s">
        <v>55</v>
      </c>
      <c r="B110" s="369"/>
      <c r="C110" s="369"/>
      <c r="D110" s="247" t="n">
        <f aca="false">+$H110</f>
        <v>0.921090216950425</v>
      </c>
      <c r="E110" s="247" t="n">
        <f aca="false">+$H110</f>
        <v>0.921090216950425</v>
      </c>
      <c r="F110" s="247" t="n">
        <f aca="false">+$H110</f>
        <v>0.921090216950425</v>
      </c>
      <c r="G110" s="247" t="n">
        <f aca="false">+$H110</f>
        <v>0.921090216950425</v>
      </c>
      <c r="H110" s="370" t="n">
        <f aca="false">+'Common Assumpt'!$G$31</f>
        <v>0.921090216950425</v>
      </c>
      <c r="I110" s="247" t="n">
        <f aca="false">+$H110</f>
        <v>0.921090216950425</v>
      </c>
      <c r="J110" s="247" t="n">
        <f aca="false">+$H110</f>
        <v>0.921090216950425</v>
      </c>
      <c r="K110" s="247" t="n">
        <f aca="false">+$H110</f>
        <v>0.921090216950425</v>
      </c>
      <c r="L110" s="247" t="n">
        <f aca="false">+$H110</f>
        <v>0.921090216950425</v>
      </c>
      <c r="M110" s="247" t="n">
        <f aca="false">+$H110</f>
        <v>0.921090216950425</v>
      </c>
      <c r="N110" s="247" t="n">
        <f aca="false">+$H110</f>
        <v>0.921090216950425</v>
      </c>
      <c r="O110" s="247" t="n">
        <f aca="false">+$H110</f>
        <v>0.921090216950425</v>
      </c>
      <c r="P110" s="247" t="n">
        <f aca="false">+$H110</f>
        <v>0.921090216950425</v>
      </c>
      <c r="Q110" s="247" t="n">
        <f aca="false">+$H110</f>
        <v>0.921090216950425</v>
      </c>
      <c r="R110" s="247" t="n">
        <f aca="false">+$H110</f>
        <v>0.921090216950425</v>
      </c>
      <c r="S110" s="247" t="n">
        <f aca="false">+$H110</f>
        <v>0.921090216950425</v>
      </c>
      <c r="T110" s="247" t="n">
        <f aca="false">+$H110</f>
        <v>0.921090216950425</v>
      </c>
      <c r="U110" s="247" t="n">
        <f aca="false">+$H110</f>
        <v>0.921090216950425</v>
      </c>
      <c r="V110" s="247" t="n">
        <f aca="false">+$H110</f>
        <v>0.921090216950425</v>
      </c>
      <c r="W110" s="247" t="n">
        <f aca="false">+$H110</f>
        <v>0.921090216950425</v>
      </c>
      <c r="X110" s="247" t="n">
        <f aca="false">+$H110</f>
        <v>0.921090216950425</v>
      </c>
      <c r="Y110" s="247" t="n">
        <f aca="false">+$H110</f>
        <v>0.921090216950425</v>
      </c>
      <c r="Z110" s="247" t="n">
        <f aca="false">+$H110</f>
        <v>0.921090216950425</v>
      </c>
      <c r="AA110" s="247" t="n">
        <f aca="false">+$H110</f>
        <v>0.921090216950425</v>
      </c>
    </row>
    <row r="111" customFormat="false" ht="12.75" hidden="false" customHeight="true" outlineLevel="0" collapsed="false">
      <c r="A111" s="369" t="s">
        <v>361</v>
      </c>
      <c r="B111" s="369"/>
      <c r="C111" s="369"/>
      <c r="D111" s="247" t="n">
        <f aca="false">E111/(1+HLOOKUP(E$27,USInf97!$M$2:$AY$3,2)*'Common Assumpt'!$D$21)</f>
        <v>0.238989538080844</v>
      </c>
      <c r="E111" s="247" t="n">
        <f aca="false">F111/(1+HLOOKUP(F$27,USInf97!$M$2:$AY$3,2)*'Common Assumpt'!$D$21)</f>
        <v>0.243890945938837</v>
      </c>
      <c r="F111" s="247" t="n">
        <f aca="false">G111/(1+HLOOKUP(G$27,USInf97!$M$2:$AY$3,2)*'Common Assumpt'!$D$21)</f>
        <v>0.24923996041915</v>
      </c>
      <c r="G111" s="247" t="n">
        <f aca="false">H111/(1+HLOOKUP(H$27,USInf97!$M$2:$AY$3,2)*'Common Assumpt'!$D$21)</f>
        <v>0.25431086424828</v>
      </c>
      <c r="H111" s="370" t="n">
        <f aca="false">'Common Assumpt'!$H$31</f>
        <v>0.259315012762268</v>
      </c>
      <c r="I111" s="247" t="n">
        <f aca="false">H111*(1+HLOOKUP(I$27,USInf97!$M$2:$AY$3,2)*'Common Assumpt'!$D$21)</f>
        <v>0.264291292677244</v>
      </c>
      <c r="J111" s="247" t="n">
        <f aca="false">I111*(1+HLOOKUP(J$27,USInf97!$M$2:$AY$3,2)*'Common Assumpt'!$D$21)</f>
        <v>0.269274770910013</v>
      </c>
      <c r="K111" s="247" t="n">
        <f aca="false">J111*(1+HLOOKUP(K$27,USInf97!$M$2:$AY$3,2)*'Common Assumpt'!$D$21)</f>
        <v>0.274233015298058</v>
      </c>
      <c r="L111" s="247" t="n">
        <f aca="false">K111*(1+HLOOKUP(L$27,USInf97!$M$2:$AY$3,2)*'Common Assumpt'!$D$21)</f>
        <v>0.2791657468835</v>
      </c>
      <c r="M111" s="247" t="n">
        <f aca="false">L111*(1+HLOOKUP(M$27,USInf97!$M$2:$AY$3,2)*'Common Assumpt'!$D$21)</f>
        <v>0.284093938982373</v>
      </c>
      <c r="N111" s="247" t="n">
        <f aca="false">M111*(1+HLOOKUP(N$27,USInf97!$M$2:$AY$3,2)*'Common Assumpt'!$D$21)</f>
        <v>0.28902449993791</v>
      </c>
      <c r="O111" s="247" t="n">
        <f aca="false">N111*(1+HLOOKUP(O$27,USInf97!$M$2:$AY$3,2)*'Common Assumpt'!$D$21)</f>
        <v>0.293963384637625</v>
      </c>
      <c r="P111" s="247" t="n">
        <f aca="false">O111*(1+HLOOKUP(P$27,USInf97!$M$2:$AY$3,2)*'Common Assumpt'!$D$21)</f>
        <v>0.298929377303094</v>
      </c>
      <c r="Q111" s="247" t="n">
        <f aca="false">P111*(1+HLOOKUP(Q$27,USInf97!$M$2:$AY$3,2)*'Common Assumpt'!$D$21)</f>
        <v>0.303939313974698</v>
      </c>
      <c r="R111" s="247" t="n">
        <f aca="false">Q111*(1+HLOOKUP(R$27,USInf97!$M$2:$AY$3,2)*'Common Assumpt'!$D$21)</f>
        <v>0.30904760002182</v>
      </c>
      <c r="S111" s="247" t="n">
        <f aca="false">R111*(1+HLOOKUP(S$27,USInf97!$M$2:$AY$3,2)*'Common Assumpt'!$D$21)</f>
        <v>0.314314875202842</v>
      </c>
      <c r="T111" s="247" t="n">
        <f aca="false">S111*(1+HLOOKUP(T$27,USInf97!$M$2:$AY$3,2)*'Common Assumpt'!$D$21)</f>
        <v>0.319755931032737</v>
      </c>
      <c r="U111" s="247" t="n">
        <f aca="false">T111*(1+HLOOKUP(U$27,USInf97!$M$2:$AY$3,2)*'Common Assumpt'!$D$21)</f>
        <v>0.32539978198996</v>
      </c>
      <c r="V111" s="247" t="n">
        <f aca="false">U111*(1+HLOOKUP(V$27,USInf97!$M$2:$AY$3,2)*'Common Assumpt'!$D$21)</f>
        <v>0.331250152273941</v>
      </c>
      <c r="W111" s="247" t="n">
        <f aca="false">V111*(1+HLOOKUP(W$27,USInf97!$M$2:$AY$3,2)*'Common Assumpt'!$D$21)</f>
        <v>0.337282251958555</v>
      </c>
      <c r="X111" s="247" t="n">
        <f aca="false">W111*(1+HLOOKUP(X$27,USInf97!$M$2:$AY$3,2)*'Common Assumpt'!$D$21)</f>
        <v>0.34355283765699</v>
      </c>
      <c r="Y111" s="247" t="n">
        <f aca="false">X111*(1+HLOOKUP(Y$27,USInf97!$M$2:$AY$3,2)*'Common Assumpt'!$D$21)</f>
        <v>0.350123646886291</v>
      </c>
      <c r="Z111" s="247" t="n">
        <f aca="false">Y111*(1+HLOOKUP(Z$27,USInf97!$M$2:$AY$3,2)*'Common Assumpt'!$D$21)</f>
        <v>0.357095975159035</v>
      </c>
      <c r="AA111" s="247" t="n">
        <f aca="false">Z111*(1+HLOOKUP(AA$27,USInf97!$M$2:$AY$3,2)*'Common Assumpt'!$D$21)</f>
        <v>0.364448754468065</v>
      </c>
    </row>
    <row r="112" customFormat="false" ht="12.75" hidden="false" customHeight="true" outlineLevel="0" collapsed="false">
      <c r="A112" s="371" t="s">
        <v>57</v>
      </c>
      <c r="B112" s="371"/>
      <c r="C112" s="371"/>
      <c r="D112" s="372" t="n">
        <f aca="false">E112/(1+HLOOKUP(E$27,USInf97!$M$2:$AY$3,2)*'Common Assumpt'!$D$21)</f>
        <v>0.497328713846554</v>
      </c>
      <c r="E112" s="372" t="n">
        <f aca="false">F112/(1+HLOOKUP(F$27,USInf97!$M$2:$AY$3,2)*'Common Assumpt'!$D$21)</f>
        <v>0.507528368967979</v>
      </c>
      <c r="F112" s="372" t="n">
        <f aca="false">G112/(1+HLOOKUP(G$27,USInf97!$M$2:$AY$3,2)*'Common Assumpt'!$D$21)</f>
        <v>0.518659477522784</v>
      </c>
      <c r="G112" s="372" t="n">
        <f aca="false">H112/(1+HLOOKUP(H$27,USInf97!$M$2:$AY$3,2)*'Common Assumpt'!$D$21)</f>
        <v>0.529211847721213</v>
      </c>
      <c r="H112" s="373" t="n">
        <f aca="false">'Common Assumpt'!$I$31</f>
        <v>0.539625302487242</v>
      </c>
      <c r="I112" s="372" t="n">
        <f aca="false">H112*(1+HLOOKUP(I$27,USInf97!$M$2:$AY$3,2)*'Common Assumpt'!$D$21)</f>
        <v>0.549980763691648</v>
      </c>
      <c r="J112" s="372" t="n">
        <f aca="false">I112*(1+HLOOKUP(J$27,USInf97!$M$2:$AY$3,2)*'Common Assumpt'!$D$21)</f>
        <v>0.560351204338917</v>
      </c>
      <c r="K112" s="372" t="n">
        <f aca="false">J112*(1+HLOOKUP(K$27,USInf97!$M$2:$AY$3,2)*'Common Assumpt'!$D$21)</f>
        <v>0.570669134254364</v>
      </c>
      <c r="L112" s="372" t="n">
        <f aca="false">K112*(1+HLOOKUP(L$27,USInf97!$M$2:$AY$3,2)*'Common Assumpt'!$D$21)</f>
        <v>0.580933972936583</v>
      </c>
      <c r="M112" s="372" t="n">
        <f aca="false">L112*(1+HLOOKUP(M$27,USInf97!$M$2:$AY$3,2)*'Common Assumpt'!$D$21)</f>
        <v>0.59118936510899</v>
      </c>
      <c r="N112" s="372" t="n">
        <f aca="false">M112*(1+HLOOKUP(N$27,USInf97!$M$2:$AY$3,2)*'Common Assumpt'!$D$21)</f>
        <v>0.601449686787714</v>
      </c>
      <c r="O112" s="372" t="n">
        <f aca="false">N112*(1+HLOOKUP(O$27,USInf97!$M$2:$AY$3,2)*'Common Assumpt'!$D$21)</f>
        <v>0.611727329881509</v>
      </c>
      <c r="P112" s="372" t="n">
        <f aca="false">O112*(1+HLOOKUP(P$27,USInf97!$M$2:$AY$3,2)*'Common Assumpt'!$D$21)</f>
        <v>0.622061383686214</v>
      </c>
      <c r="Q112" s="372" t="n">
        <f aca="false">P112*(1+HLOOKUP(Q$27,USInf97!$M$2:$AY$3,2)*'Common Assumpt'!$D$21)</f>
        <v>0.632486883402017</v>
      </c>
      <c r="R112" s="372" t="n">
        <f aca="false">Q112*(1+HLOOKUP(R$27,USInf97!$M$2:$AY$3,2)*'Common Assumpt'!$D$21)</f>
        <v>0.643117044664206</v>
      </c>
      <c r="S112" s="372" t="n">
        <f aca="false">R112*(1+HLOOKUP(S$27,USInf97!$M$2:$AY$3,2)*'Common Assumpt'!$D$21)</f>
        <v>0.654078056649456</v>
      </c>
      <c r="T112" s="372" t="n">
        <f aca="false">S112*(1+HLOOKUP(T$27,USInf97!$M$2:$AY$3,2)*'Common Assumpt'!$D$21)</f>
        <v>0.665400699973422</v>
      </c>
      <c r="U112" s="372" t="n">
        <f aca="false">T112*(1+HLOOKUP(U$27,USInf97!$M$2:$AY$3,2)*'Common Assumpt'!$D$21)</f>
        <v>0.67714535273202</v>
      </c>
      <c r="V112" s="372" t="n">
        <f aca="false">U112*(1+HLOOKUP(V$27,USInf97!$M$2:$AY$3,2)*'Common Assumpt'!$D$21)</f>
        <v>0.689319764851577</v>
      </c>
      <c r="W112" s="372" t="n">
        <f aca="false">V112*(1+HLOOKUP(W$27,USInf97!$M$2:$AY$3,2)*'Common Assumpt'!$D$21)</f>
        <v>0.701872349379057</v>
      </c>
      <c r="X112" s="372" t="n">
        <f aca="false">W112*(1+HLOOKUP(X$27,USInf97!$M$2:$AY$3,2)*'Common Assumpt'!$D$21)</f>
        <v>0.71492121480434</v>
      </c>
      <c r="Y112" s="372" t="n">
        <f aca="false">X112*(1+HLOOKUP(Y$27,USInf97!$M$2:$AY$3,2)*'Common Assumpt'!$D$21)</f>
        <v>0.728594834700762</v>
      </c>
      <c r="Z112" s="372" t="n">
        <f aca="false">Y112*(1+HLOOKUP(Z$27,USInf97!$M$2:$AY$3,2)*'Common Assumpt'!$D$21)</f>
        <v>0.743104001420968</v>
      </c>
      <c r="AA112" s="372" t="n">
        <f aca="false">Z112*(1+HLOOKUP(AA$27,USInf97!$M$2:$AY$3,2)*'Common Assumpt'!$D$21)</f>
        <v>0.758404873192687</v>
      </c>
    </row>
    <row r="113" customFormat="false" ht="12.75" hidden="false" customHeight="true" outlineLevel="0" collapsed="false">
      <c r="A113" s="374" t="s">
        <v>368</v>
      </c>
      <c r="B113" s="374"/>
      <c r="C113" s="374"/>
      <c r="D113" s="200" t="n">
        <f aca="false">+SUM(D110:D112)</f>
        <v>1.65740846887782</v>
      </c>
      <c r="E113" s="200" t="n">
        <f aca="false">+SUM(E110:E112)</f>
        <v>1.67250953185724</v>
      </c>
      <c r="F113" s="200" t="n">
        <f aca="false">+SUM(F110:F112)</f>
        <v>1.68898965489236</v>
      </c>
      <c r="G113" s="200" t="n">
        <f aca="false">+SUM(G110:G112)</f>
        <v>1.70461292891992</v>
      </c>
      <c r="H113" s="200" t="n">
        <f aca="false">+SUM(H110:H112)</f>
        <v>1.72003053219993</v>
      </c>
      <c r="I113" s="200" t="n">
        <f aca="false">+SUM(I110:I112)</f>
        <v>1.73536227331932</v>
      </c>
      <c r="J113" s="200" t="n">
        <f aca="false">+SUM(J110:J112)</f>
        <v>1.75071619219936</v>
      </c>
      <c r="K113" s="200" t="n">
        <f aca="false">+SUM(K110:K112)</f>
        <v>1.76599236650285</v>
      </c>
      <c r="L113" s="200" t="n">
        <f aca="false">+SUM(L110:L112)</f>
        <v>1.78118993677051</v>
      </c>
      <c r="M113" s="200" t="n">
        <f aca="false">+SUM(M110:M112)</f>
        <v>1.79637352104179</v>
      </c>
      <c r="N113" s="200" t="n">
        <f aca="false">+SUM(N110:N112)</f>
        <v>1.81156440367605</v>
      </c>
      <c r="O113" s="200" t="n">
        <f aca="false">+SUM(O110:O112)</f>
        <v>1.82678093146956</v>
      </c>
      <c r="P113" s="200" t="n">
        <f aca="false">+SUM(P110:P112)</f>
        <v>1.84208097793973</v>
      </c>
      <c r="Q113" s="200" t="n">
        <f aca="false">+SUM(Q110:Q112)</f>
        <v>1.85751641432714</v>
      </c>
      <c r="R113" s="200" t="n">
        <f aca="false">+SUM(R110:R112)</f>
        <v>1.87325486163645</v>
      </c>
      <c r="S113" s="200" t="n">
        <f aca="false">+SUM(S110:S112)</f>
        <v>1.88948314880272</v>
      </c>
      <c r="T113" s="200" t="n">
        <f aca="false">+SUM(T110:T112)</f>
        <v>1.90624684795658</v>
      </c>
      <c r="U113" s="200" t="n">
        <f aca="false">+SUM(U110:U112)</f>
        <v>1.92363535167241</v>
      </c>
      <c r="V113" s="200" t="n">
        <f aca="false">+SUM(V110:V112)</f>
        <v>1.94166013407594</v>
      </c>
      <c r="W113" s="200" t="n">
        <f aca="false">+SUM(W110:W112)</f>
        <v>1.96024481828804</v>
      </c>
      <c r="X113" s="200" t="n">
        <f aca="false">+SUM(X110:X112)</f>
        <v>1.97956426941176</v>
      </c>
      <c r="Y113" s="200" t="n">
        <f aca="false">+SUM(Y110:Y112)</f>
        <v>1.99980869853748</v>
      </c>
      <c r="Z113" s="200" t="n">
        <f aca="false">+SUM(Z110:Z112)</f>
        <v>2.02129019353043</v>
      </c>
      <c r="AA113" s="200" t="n">
        <f aca="false">+SUM(AA110:AA112)</f>
        <v>2.04394384461118</v>
      </c>
    </row>
    <row r="114" customFormat="false" ht="12.75" hidden="false" customHeight="true" outlineLevel="0" collapsed="false"/>
    <row r="115" customFormat="false" ht="12.75" hidden="false" customHeight="true" outlineLevel="0" collapsed="false">
      <c r="A115" s="374" t="s">
        <v>364</v>
      </c>
      <c r="C115" s="375" t="n">
        <f aca="false">+'Common Assumpt'!$J$23</f>
        <v>0.666666666666667</v>
      </c>
      <c r="D115" s="200" t="n">
        <f aca="false">+D113-D107</f>
        <v>0.237418440790311</v>
      </c>
      <c r="E115" s="200" t="n">
        <f aca="false">+E113-E107</f>
        <v>0.239274839226208</v>
      </c>
      <c r="F115" s="200" t="n">
        <f aca="false">+F113-F107</f>
        <v>0.241300767776237</v>
      </c>
      <c r="G115" s="200" t="n">
        <f aca="false">+G113-G107</f>
        <v>0.243221362472642</v>
      </c>
      <c r="H115" s="200" t="n">
        <f aca="false">+H113-H107</f>
        <v>0.245116673726778</v>
      </c>
      <c r="I115" s="200" t="n">
        <f aca="false">+I113-I107</f>
        <v>0.247001429804704</v>
      </c>
      <c r="J115" s="200" t="n">
        <f aca="false">+J113-J107</f>
        <v>0.248888912231116</v>
      </c>
      <c r="K115" s="200" t="n">
        <f aca="false">+K113-K107</f>
        <v>0.250766837389242</v>
      </c>
      <c r="L115" s="200" t="n">
        <f aca="false">+L113-L107</f>
        <v>0.252635099624343</v>
      </c>
      <c r="M115" s="200" t="n">
        <f aca="false">+M113-M107</f>
        <v>0.254501642537973</v>
      </c>
      <c r="N115" s="200" t="n">
        <f aca="false">+N113-N107</f>
        <v>0.256369082651333</v>
      </c>
      <c r="O115" s="200" t="n">
        <f aca="false">+O113-O107</f>
        <v>0.258239675366174</v>
      </c>
      <c r="P115" s="200" t="n">
        <f aca="false">+P113-P107</f>
        <v>0.260120535168898</v>
      </c>
      <c r="Q115" s="200" t="n">
        <f aca="false">+Q113-Q107</f>
        <v>0.262018038676169</v>
      </c>
      <c r="R115" s="200" t="n">
        <f aca="false">+R113-R107</f>
        <v>0.26395279181297</v>
      </c>
      <c r="S115" s="200" t="n">
        <f aca="false">+S113-S107</f>
        <v>0.265947761766663</v>
      </c>
      <c r="T115" s="200" t="n">
        <f aca="false">+T113-T107</f>
        <v>0.268008550793998</v>
      </c>
      <c r="U115" s="200" t="n">
        <f aca="false">+U113-U107</f>
        <v>0.270146148070735</v>
      </c>
      <c r="V115" s="200" t="n">
        <f aca="false">+V113-V107</f>
        <v>0.27236196412997</v>
      </c>
      <c r="W115" s="200" t="n">
        <f aca="false">+W113-W107</f>
        <v>0.274646609836699</v>
      </c>
      <c r="X115" s="200" t="n">
        <f aca="false">+X113-X107</f>
        <v>0.277021581644799</v>
      </c>
      <c r="Y115" s="200" t="n">
        <f aca="false">+Y113-Y107</f>
        <v>0.279510262515533</v>
      </c>
      <c r="Z115" s="200" t="n">
        <f aca="false">+Z113-Z107</f>
        <v>0.282151017921957</v>
      </c>
      <c r="AA115" s="200" t="n">
        <f aca="false">+AA113-AA107</f>
        <v>0.284935868398442</v>
      </c>
    </row>
    <row r="116" customFormat="false" ht="12.75" hidden="false" customHeight="true" outlineLevel="0" collapsed="false">
      <c r="A116" s="371" t="s">
        <v>365</v>
      </c>
      <c r="B116" s="376"/>
      <c r="C116" s="377" t="n">
        <f aca="false">+'Common Assumpt'!$K$23</f>
        <v>0.333333333333333</v>
      </c>
      <c r="D116" s="372" t="n">
        <f aca="false">+D112-D106</f>
        <v>0.0523844579831672</v>
      </c>
      <c r="E116" s="372" t="n">
        <f aca="false">+E112-E106</f>
        <v>0.0534588045677803</v>
      </c>
      <c r="F116" s="372" t="n">
        <f aca="false">+F112-F106</f>
        <v>0.0546312626868488</v>
      </c>
      <c r="G116" s="372" t="n">
        <f aca="false">+G112-G106</f>
        <v>0.055742761335312</v>
      </c>
      <c r="H116" s="372" t="n">
        <f aca="false">+H112-H106</f>
        <v>0.0568396277909636</v>
      </c>
      <c r="I116" s="372" t="n">
        <f aca="false">+I112-I106</f>
        <v>0.0579303856886183</v>
      </c>
      <c r="J116" s="372" t="n">
        <f aca="false">+J112-J106</f>
        <v>0.0590227213958249</v>
      </c>
      <c r="K116" s="372" t="n">
        <f aca="false">+K112-K106</f>
        <v>0.0601095260605877</v>
      </c>
      <c r="L116" s="372" t="n">
        <f aca="false">+L112-L106</f>
        <v>0.0611907385377314</v>
      </c>
      <c r="M116" s="372" t="n">
        <f aca="false">+M112-M106</f>
        <v>0.0622709559983345</v>
      </c>
      <c r="N116" s="372" t="n">
        <f aca="false">+N112-N106</f>
        <v>0.0633516926920109</v>
      </c>
      <c r="O116" s="372" t="n">
        <f aca="false">+O112-O106</f>
        <v>0.0644342538790551</v>
      </c>
      <c r="P116" s="372" t="n">
        <f aca="false">+P112-P106</f>
        <v>0.0655227568998065</v>
      </c>
      <c r="Q116" s="372" t="n">
        <f aca="false">+Q112-Q106</f>
        <v>0.0666208920699879</v>
      </c>
      <c r="R116" s="372" t="n">
        <f aca="false">+R112-R106</f>
        <v>0.067740584580172</v>
      </c>
      <c r="S116" s="372" t="n">
        <f aca="false">+S112-S106</f>
        <v>0.0688951261455549</v>
      </c>
      <c r="T116" s="372" t="n">
        <f aca="false">+T112-T106</f>
        <v>0.070087758939417</v>
      </c>
      <c r="U116" s="372" t="n">
        <f aca="false">+U112-U106</f>
        <v>0.0713248426867059</v>
      </c>
      <c r="V116" s="372" t="n">
        <f aca="false">+V112-V106</f>
        <v>0.0726071937000107</v>
      </c>
      <c r="W116" s="372" t="n">
        <f aca="false">+W112-W106</f>
        <v>0.0739293782400387</v>
      </c>
      <c r="X116" s="372" t="n">
        <f aca="false">+X112-X106</f>
        <v>0.0753038368698487</v>
      </c>
      <c r="Y116" s="372" t="n">
        <f aca="false">+Y112-Y106</f>
        <v>0.0767441019239251</v>
      </c>
      <c r="Z116" s="372" t="n">
        <f aca="false">+Z112-Z106</f>
        <v>0.0782723765102582</v>
      </c>
      <c r="AA116" s="372" t="n">
        <f aca="false">+AA112-AA106</f>
        <v>0.0798840427022866</v>
      </c>
    </row>
    <row r="117" customFormat="false" ht="12.75" hidden="false" customHeight="true" outlineLevel="0" collapsed="false">
      <c r="A117" s="374" t="s">
        <v>366</v>
      </c>
      <c r="C117" s="375" t="n">
        <f aca="false">+SUM(C115:C116)</f>
        <v>1</v>
      </c>
      <c r="D117" s="200" t="n">
        <f aca="false">+D115*$C$115+D116*$C$116</f>
        <v>0.175740446521263</v>
      </c>
      <c r="E117" s="200" t="n">
        <f aca="false">+E115*$C$115+E116*$C$116</f>
        <v>0.177336161006732</v>
      </c>
      <c r="F117" s="200" t="n">
        <f aca="false">+F115*$C$115+F116*$C$116</f>
        <v>0.179077599413108</v>
      </c>
      <c r="G117" s="200" t="n">
        <f aca="false">+G115*$C$115+G116*$C$116</f>
        <v>0.180728495426865</v>
      </c>
      <c r="H117" s="200" t="n">
        <f aca="false">+H115*$C$115+H116*$C$116</f>
        <v>0.18235765841484</v>
      </c>
      <c r="I117" s="200" t="n">
        <f aca="false">+I115*$C$115+I116*$C$116</f>
        <v>0.183977748432675</v>
      </c>
      <c r="J117" s="200" t="n">
        <f aca="false">+J115*$C$115+J116*$C$116</f>
        <v>0.185600181952686</v>
      </c>
      <c r="K117" s="200" t="n">
        <f aca="false">+K115*$C$115+K116*$C$116</f>
        <v>0.187214400279691</v>
      </c>
      <c r="L117" s="200" t="n">
        <f aca="false">+L115*$C$115+L116*$C$116</f>
        <v>0.188820312595472</v>
      </c>
      <c r="M117" s="200" t="n">
        <f aca="false">+M115*$C$115+M116*$C$116</f>
        <v>0.19042474702476</v>
      </c>
      <c r="N117" s="200" t="n">
        <f aca="false">+N115*$C$115+N116*$C$116</f>
        <v>0.192029952664892</v>
      </c>
      <c r="O117" s="200" t="n">
        <f aca="false">+O115*$C$115+O116*$C$116</f>
        <v>0.193637868203801</v>
      </c>
      <c r="P117" s="200" t="n">
        <f aca="false">+P115*$C$115+P116*$C$116</f>
        <v>0.195254609079201</v>
      </c>
      <c r="Q117" s="200" t="n">
        <f aca="false">+Q115*$C$115+Q116*$C$116</f>
        <v>0.196885656474109</v>
      </c>
      <c r="R117" s="200" t="n">
        <f aca="false">+R115*$C$115+R116*$C$116</f>
        <v>0.198548722735371</v>
      </c>
      <c r="S117" s="200" t="n">
        <f aca="false">+S115*$C$115+S116*$C$116</f>
        <v>0.20026354989296</v>
      </c>
      <c r="T117" s="200" t="n">
        <f aca="false">+T115*$C$115+T116*$C$116</f>
        <v>0.202034953509137</v>
      </c>
      <c r="U117" s="200" t="n">
        <f aca="false">+U115*$C$115+U116*$C$116</f>
        <v>0.203872379609392</v>
      </c>
      <c r="V117" s="200" t="n">
        <f aca="false">+V115*$C$115+V116*$C$116</f>
        <v>0.205777040653317</v>
      </c>
      <c r="W117" s="200" t="n">
        <f aca="false">+W115*$C$115+W116*$C$116</f>
        <v>0.207740865971146</v>
      </c>
      <c r="X117" s="200" t="n">
        <f aca="false">+X115*$C$115+X116*$C$116</f>
        <v>0.209782333386482</v>
      </c>
      <c r="Y117" s="200" t="n">
        <f aca="false">+Y115*$C$115+Y116*$C$116</f>
        <v>0.21192154231833</v>
      </c>
      <c r="Z117" s="200" t="n">
        <f aca="false">+Z115*$C$115+Z116*$C$116</f>
        <v>0.214191470784724</v>
      </c>
      <c r="AA117" s="200" t="n">
        <f aca="false">+AA115*$C$115+AA116*$C$116</f>
        <v>0.216585259833057</v>
      </c>
    </row>
    <row r="118" customFormat="false" ht="12.75" hidden="false" customHeight="true" outlineLevel="0" collapsed="false"/>
    <row r="119" customFormat="false" ht="12.75" hidden="false" customHeight="true" outlineLevel="0" collapsed="false"/>
    <row r="120" customFormat="false" ht="12.75" hidden="false" customHeight="true" outlineLevel="0" collapsed="false">
      <c r="A120" s="378" t="s">
        <v>369</v>
      </c>
    </row>
    <row r="121" customFormat="false" ht="12.75" hidden="false" customHeight="true" outlineLevel="0" collapsed="false">
      <c r="A121" s="360" t="s">
        <v>370</v>
      </c>
      <c r="B121" s="361"/>
      <c r="C121" s="361"/>
      <c r="D121" s="362"/>
      <c r="E121" s="362"/>
      <c r="F121" s="362"/>
      <c r="G121" s="362"/>
      <c r="H121" s="362"/>
      <c r="I121" s="362"/>
      <c r="J121" s="362"/>
      <c r="K121" s="363"/>
      <c r="L121" s="362"/>
      <c r="M121" s="362"/>
      <c r="N121" s="362"/>
      <c r="O121" s="362"/>
      <c r="P121" s="362"/>
      <c r="Q121" s="362"/>
      <c r="R121" s="362"/>
      <c r="S121" s="362"/>
      <c r="T121" s="362"/>
      <c r="U121" s="362"/>
      <c r="V121" s="362"/>
      <c r="W121" s="362"/>
      <c r="X121" s="362"/>
      <c r="Y121" s="362"/>
      <c r="Z121" s="362"/>
      <c r="AA121" s="364"/>
    </row>
    <row r="122" customFormat="false" ht="12.75" hidden="false" customHeight="true" outlineLevel="0" collapsed="false"/>
    <row r="123" customFormat="false" ht="12.75" hidden="false" customHeight="true" outlineLevel="0" collapsed="false">
      <c r="A123" s="146" t="s">
        <v>371</v>
      </c>
      <c r="D123" s="379" t="n">
        <f aca="false">+D51</f>
        <v>0</v>
      </c>
      <c r="E123" s="200" t="n">
        <f aca="false">+E51</f>
        <v>0</v>
      </c>
      <c r="F123" s="200" t="n">
        <f aca="false">+F51</f>
        <v>0</v>
      </c>
      <c r="G123" s="200" t="n">
        <f aca="false">+G51</f>
        <v>0.350667663064834</v>
      </c>
      <c r="H123" s="200" t="n">
        <f aca="false">+H51</f>
        <v>0.366019570035514</v>
      </c>
      <c r="I123" s="200" t="n">
        <f aca="false">+I51</f>
        <v>0.382843793958084</v>
      </c>
      <c r="J123" s="200" t="n">
        <f aca="false">+J51</f>
        <v>0.410810106639752</v>
      </c>
      <c r="K123" s="200" t="n">
        <f aca="false">+K51</f>
        <v>0.432951448802963</v>
      </c>
      <c r="L123" s="200" t="n">
        <f aca="false">+L51</f>
        <v>0.343457721156358</v>
      </c>
      <c r="M123" s="200" t="n">
        <f aca="false">+M51</f>
        <v>0.347133880954491</v>
      </c>
      <c r="N123" s="200" t="n">
        <f aca="false">+N51</f>
        <v>0.349893072159589</v>
      </c>
      <c r="O123" s="200" t="n">
        <f aca="false">+O51</f>
        <v>0.336771320355082</v>
      </c>
      <c r="P123" s="200" t="n">
        <f aca="false">+P51</f>
        <v>0.340130039894974</v>
      </c>
      <c r="Q123" s="200" t="n">
        <f aca="false">+Q51</f>
        <v>0.343998041724664</v>
      </c>
      <c r="R123" s="200" t="n">
        <f aca="false">+R51</f>
        <v>0.33258003584915</v>
      </c>
      <c r="S123" s="200" t="n">
        <f aca="false">+S51</f>
        <v>0.336164721345101</v>
      </c>
      <c r="T123" s="200" t="n">
        <f aca="false">+T51</f>
        <v>0.340090602885262</v>
      </c>
      <c r="U123" s="200" t="n">
        <f aca="false">+U51</f>
        <v>0.344461990665219</v>
      </c>
      <c r="V123" s="200" t="n">
        <f aca="false">+V51</f>
        <v>0.348525053948001</v>
      </c>
      <c r="W123" s="200" t="n">
        <f aca="false">+W51</f>
        <v>0.352333449435843</v>
      </c>
      <c r="X123" s="200" t="n">
        <f aca="false">+X51</f>
        <v>0</v>
      </c>
      <c r="Y123" s="200" t="n">
        <f aca="false">+Y51</f>
        <v>0</v>
      </c>
      <c r="Z123" s="200" t="n">
        <f aca="false">+Z51</f>
        <v>0</v>
      </c>
      <c r="AA123" s="200" t="n">
        <f aca="false">+AA51</f>
        <v>0</v>
      </c>
    </row>
    <row r="124" customFormat="false" ht="12.75" hidden="false" customHeight="true" outlineLevel="0" collapsed="false">
      <c r="D124" s="200"/>
      <c r="E124" s="200"/>
      <c r="F124" s="200"/>
      <c r="G124" s="200"/>
      <c r="H124" s="200"/>
      <c r="I124" s="200"/>
      <c r="J124" s="200"/>
      <c r="K124" s="200"/>
      <c r="L124" s="200"/>
      <c r="M124" s="200"/>
      <c r="N124" s="200"/>
      <c r="O124" s="200"/>
      <c r="P124" s="200"/>
      <c r="Q124" s="200"/>
      <c r="R124" s="200"/>
      <c r="S124" s="200"/>
      <c r="T124" s="200"/>
      <c r="U124" s="200"/>
      <c r="V124" s="200"/>
      <c r="W124" s="200"/>
      <c r="X124" s="200"/>
      <c r="Y124" s="200"/>
      <c r="Z124" s="200"/>
      <c r="AA124" s="200"/>
    </row>
    <row r="125" customFormat="false" ht="12.75" hidden="false" customHeight="true" outlineLevel="0" collapsed="false">
      <c r="A125" s="0" t="s">
        <v>372</v>
      </c>
      <c r="D125" s="200" t="n">
        <f aca="false">+D71-D123</f>
        <v>0.272237636928568</v>
      </c>
      <c r="E125" s="200" t="n">
        <f aca="false">+E71-E123</f>
        <v>0.277433525594798</v>
      </c>
      <c r="F125" s="200" t="n">
        <f aca="false">+F71-F123</f>
        <v>0.277232550317645</v>
      </c>
      <c r="G125" s="200" t="n">
        <f aca="false">+G71-G123</f>
        <v>-0.0739644564555109</v>
      </c>
      <c r="H125" s="200" t="n">
        <f aca="false">+H71-H123</f>
        <v>-0.0891575485774852</v>
      </c>
      <c r="I125" s="200" t="n">
        <f aca="false">+I71-I123</f>
        <v>-0.105757691676821</v>
      </c>
      <c r="J125" s="200" t="n">
        <f aca="false">+J71-J123</f>
        <v>-0.133252783738064</v>
      </c>
      <c r="K125" s="200" t="n">
        <f aca="false">+K71-K123</f>
        <v>-0.154694337803004</v>
      </c>
      <c r="L125" s="200" t="n">
        <f aca="false">+L71-L123</f>
        <v>-0.0647513405174441</v>
      </c>
      <c r="M125" s="200" t="n">
        <f aca="false">+M71-M123</f>
        <v>-0.0676171842899233</v>
      </c>
      <c r="N125" s="200" t="n">
        <f aca="false">+N71-N123</f>
        <v>-0.0700578892432483</v>
      </c>
      <c r="O125" s="200" t="n">
        <f aca="false">+O71-O123</f>
        <v>-0.0561319951742572</v>
      </c>
      <c r="P125" s="200" t="n">
        <f aca="false">+P71-P123</f>
        <v>-0.0587855635979798</v>
      </c>
      <c r="Q125" s="200" t="n">
        <f aca="false">+Q71-Q123</f>
        <v>-0.061677807366569</v>
      </c>
      <c r="R125" s="200" t="n">
        <f aca="false">+R71-R123</f>
        <v>-0.0494078824910948</v>
      </c>
      <c r="S125" s="200" t="n">
        <f aca="false">+S71-S123</f>
        <v>-0.0521620522907798</v>
      </c>
      <c r="T125" s="200" t="n">
        <f aca="false">+T71-T123</f>
        <v>-0.0551044508108571</v>
      </c>
      <c r="U125" s="200" t="n">
        <f aca="false">+U71-U123</f>
        <v>-0.0582886105149577</v>
      </c>
      <c r="V125" s="200" t="n">
        <f aca="false">+V71-V123</f>
        <v>-0.0613691589837013</v>
      </c>
      <c r="W125" s="200" t="n">
        <f aca="false">+W71-W123</f>
        <v>-0.064365111656447</v>
      </c>
      <c r="X125" s="200" t="n">
        <f aca="false">+X71-X123</f>
        <v>0.289285473507838</v>
      </c>
      <c r="Y125" s="200" t="n">
        <f aca="false">+Y71-Y123</f>
        <v>0.289285473507838</v>
      </c>
      <c r="Z125" s="200" t="n">
        <f aca="false">+Z71-Z123</f>
        <v>0.289285473507838</v>
      </c>
      <c r="AA125" s="200" t="n">
        <f aca="false">+AA71-AA123</f>
        <v>0.289285473507838</v>
      </c>
    </row>
    <row r="126" customFormat="false" ht="12.75" hidden="false" customHeight="true" outlineLevel="0" collapsed="false">
      <c r="A126" s="146" t="s">
        <v>373</v>
      </c>
      <c r="D126" s="200" t="n">
        <f aca="false">+D73</f>
        <v>0.02</v>
      </c>
      <c r="E126" s="200" t="n">
        <f aca="false">+E73</f>
        <v>0.02</v>
      </c>
      <c r="F126" s="200" t="n">
        <f aca="false">+F73</f>
        <v>0.02</v>
      </c>
      <c r="G126" s="200" t="n">
        <f aca="false">+G73</f>
        <v>0.02</v>
      </c>
      <c r="H126" s="200" t="n">
        <f aca="false">+H73</f>
        <v>0.02</v>
      </c>
      <c r="I126" s="200" t="n">
        <f aca="false">+I73</f>
        <v>0.02</v>
      </c>
      <c r="J126" s="200" t="n">
        <f aca="false">+J73</f>
        <v>0.02</v>
      </c>
      <c r="K126" s="200" t="n">
        <f aca="false">+K73</f>
        <v>0.02</v>
      </c>
      <c r="L126" s="200" t="n">
        <f aca="false">+L73</f>
        <v>0.02</v>
      </c>
      <c r="M126" s="200" t="n">
        <f aca="false">+M73</f>
        <v>0.02</v>
      </c>
      <c r="N126" s="200" t="n">
        <f aca="false">+N73</f>
        <v>0.02</v>
      </c>
      <c r="O126" s="200" t="n">
        <f aca="false">+O73</f>
        <v>0.02</v>
      </c>
      <c r="P126" s="200" t="n">
        <f aca="false">+P73</f>
        <v>0.02</v>
      </c>
      <c r="Q126" s="200" t="n">
        <f aca="false">+Q73</f>
        <v>0.02</v>
      </c>
      <c r="R126" s="200" t="n">
        <f aca="false">+R73</f>
        <v>0.02</v>
      </c>
      <c r="S126" s="200" t="n">
        <f aca="false">+S73</f>
        <v>0.02</v>
      </c>
      <c r="T126" s="200" t="n">
        <f aca="false">+T73</f>
        <v>0.02</v>
      </c>
      <c r="U126" s="200" t="n">
        <f aca="false">+U73</f>
        <v>0.02</v>
      </c>
      <c r="V126" s="200" t="n">
        <f aca="false">+V73</f>
        <v>0.02</v>
      </c>
      <c r="W126" s="200" t="n">
        <f aca="false">+W73</f>
        <v>0.02</v>
      </c>
      <c r="X126" s="200" t="n">
        <f aca="false">+X73</f>
        <v>0.02</v>
      </c>
      <c r="Y126" s="200" t="n">
        <f aca="false">+Y73</f>
        <v>0.02</v>
      </c>
      <c r="Z126" s="200" t="n">
        <f aca="false">+Z73</f>
        <v>0.02</v>
      </c>
      <c r="AA126" s="200" t="n">
        <f aca="false">+AA73</f>
        <v>0.02</v>
      </c>
    </row>
    <row r="127" customFormat="false" ht="12.75" hidden="false" customHeight="true" outlineLevel="0" collapsed="false">
      <c r="A127" s="157" t="s">
        <v>374</v>
      </c>
      <c r="B127" s="376"/>
      <c r="C127" s="376"/>
      <c r="D127" s="372" t="n">
        <f aca="false">+D36</f>
        <v>0.086318326471106</v>
      </c>
      <c r="E127" s="372" t="n">
        <f aca="false">+E36</f>
        <v>0.086318326471106</v>
      </c>
      <c r="F127" s="372" t="n">
        <f aca="false">+F36</f>
        <v>0.086318326471106</v>
      </c>
      <c r="G127" s="372" t="n">
        <f aca="false">+G36</f>
        <v>0.086318326471106</v>
      </c>
      <c r="H127" s="372" t="n">
        <f aca="false">+H36</f>
        <v>0.086318326471106</v>
      </c>
      <c r="I127" s="372" t="n">
        <f aca="false">+I36</f>
        <v>0.086318326471106</v>
      </c>
      <c r="J127" s="372" t="n">
        <f aca="false">+J36</f>
        <v>0.086318326471106</v>
      </c>
      <c r="K127" s="372" t="n">
        <f aca="false">+K36</f>
        <v>0.086318326471106</v>
      </c>
      <c r="L127" s="372" t="n">
        <f aca="false">+L36</f>
        <v>0.086318326471106</v>
      </c>
      <c r="M127" s="372" t="n">
        <f aca="false">+M36</f>
        <v>0.086318326471106</v>
      </c>
      <c r="N127" s="372" t="n">
        <f aca="false">+N36</f>
        <v>0.086318326471106</v>
      </c>
      <c r="O127" s="372" t="n">
        <f aca="false">+O36</f>
        <v>0.086318326471106</v>
      </c>
      <c r="P127" s="372" t="n">
        <f aca="false">+P36</f>
        <v>0.086318326471106</v>
      </c>
      <c r="Q127" s="372" t="n">
        <f aca="false">+Q36</f>
        <v>0.086318326471106</v>
      </c>
      <c r="R127" s="372" t="n">
        <f aca="false">+R36</f>
        <v>0.086318326471106</v>
      </c>
      <c r="S127" s="372" t="n">
        <f aca="false">+S36</f>
        <v>0.086318326471106</v>
      </c>
      <c r="T127" s="372" t="n">
        <f aca="false">+T36</f>
        <v>0.086318326471106</v>
      </c>
      <c r="U127" s="372" t="n">
        <f aca="false">+U36</f>
        <v>0.086318326471106</v>
      </c>
      <c r="V127" s="372" t="n">
        <f aca="false">+V36</f>
        <v>0.086318326471106</v>
      </c>
      <c r="W127" s="372" t="n">
        <f aca="false">+W36</f>
        <v>0.086318326471106</v>
      </c>
      <c r="X127" s="372" t="n">
        <f aca="false">+X36</f>
        <v>0.086318326471106</v>
      </c>
      <c r="Y127" s="372" t="n">
        <f aca="false">+Y36</f>
        <v>0.086318326471106</v>
      </c>
      <c r="Z127" s="372" t="n">
        <f aca="false">+Z36</f>
        <v>0.086318326471106</v>
      </c>
      <c r="AA127" s="372" t="n">
        <f aca="false">+AA36</f>
        <v>0.086318326471106</v>
      </c>
    </row>
    <row r="128" customFormat="false" ht="12.75" hidden="false" customHeight="true" outlineLevel="0" collapsed="false">
      <c r="A128" s="232" t="s">
        <v>375</v>
      </c>
      <c r="B128" s="171"/>
      <c r="C128" s="171"/>
      <c r="D128" s="247" t="n">
        <f aca="false">+SUM(D125:D127)</f>
        <v>0.378555963399674</v>
      </c>
      <c r="E128" s="247" t="n">
        <f aca="false">+SUM(E125:E127)</f>
        <v>0.383751852065904</v>
      </c>
      <c r="F128" s="247" t="n">
        <f aca="false">+SUM(F125:F127)</f>
        <v>0.383550876788751</v>
      </c>
      <c r="G128" s="247" t="n">
        <f aca="false">+SUM(G125:G127)</f>
        <v>0.0323538700155951</v>
      </c>
      <c r="H128" s="247" t="n">
        <f aca="false">+SUM(H125:H127)</f>
        <v>0.0171607778936208</v>
      </c>
      <c r="I128" s="247" t="n">
        <f aca="false">+SUM(I125:I127)</f>
        <v>0.000560634794285031</v>
      </c>
      <c r="J128" s="247" t="n">
        <f aca="false">+SUM(J125:J127)</f>
        <v>-0.0269344572669583</v>
      </c>
      <c r="K128" s="247" t="n">
        <f aca="false">+SUM(K125:K127)</f>
        <v>-0.0483760113318979</v>
      </c>
      <c r="L128" s="247" t="n">
        <f aca="false">+SUM(L125:L127)</f>
        <v>0.0415669859536619</v>
      </c>
      <c r="M128" s="247" t="n">
        <f aca="false">+SUM(M125:M127)</f>
        <v>0.0387011421811828</v>
      </c>
      <c r="N128" s="247" t="n">
        <f aca="false">+SUM(N125:N127)</f>
        <v>0.0362604372278577</v>
      </c>
      <c r="O128" s="247" t="n">
        <f aca="false">+SUM(O125:O127)</f>
        <v>0.0501863312968488</v>
      </c>
      <c r="P128" s="247" t="n">
        <f aca="false">+SUM(P125:P127)</f>
        <v>0.0475327628731262</v>
      </c>
      <c r="Q128" s="247" t="n">
        <f aca="false">+SUM(Q125:Q127)</f>
        <v>0.044640519104537</v>
      </c>
      <c r="R128" s="247" t="n">
        <f aca="false">+SUM(R125:R127)</f>
        <v>0.0569104439800112</v>
      </c>
      <c r="S128" s="247" t="n">
        <f aca="false">+SUM(S125:S127)</f>
        <v>0.0541562741803263</v>
      </c>
      <c r="T128" s="247" t="n">
        <f aca="false">+SUM(T125:T127)</f>
        <v>0.0512138756602489</v>
      </c>
      <c r="U128" s="247" t="n">
        <f aca="false">+SUM(U125:U127)</f>
        <v>0.0480297159561484</v>
      </c>
      <c r="V128" s="247" t="n">
        <f aca="false">+SUM(V125:V127)</f>
        <v>0.0449491674874047</v>
      </c>
      <c r="W128" s="247" t="n">
        <f aca="false">+SUM(W125:W127)</f>
        <v>0.041953214814659</v>
      </c>
      <c r="X128" s="247" t="n">
        <f aca="false">+SUM(X125:X127)</f>
        <v>0.395603799978944</v>
      </c>
      <c r="Y128" s="247" t="n">
        <f aca="false">+SUM(Y125:Y127)</f>
        <v>0.395603799978944</v>
      </c>
      <c r="Z128" s="247" t="n">
        <f aca="false">+SUM(Z125:Z127)</f>
        <v>0.395603799978944</v>
      </c>
      <c r="AA128" s="247" t="n">
        <f aca="false">+SUM(AA125:AA127)</f>
        <v>0.395603799978944</v>
      </c>
    </row>
    <row r="129" customFormat="false" ht="12.75" hidden="false" customHeight="true" outlineLevel="0" collapsed="false">
      <c r="A129" s="146"/>
    </row>
    <row r="130" customFormat="false" ht="12.75" hidden="false" customHeight="true" outlineLevel="0" collapsed="false">
      <c r="A130" s="157" t="s">
        <v>376</v>
      </c>
      <c r="B130" s="376"/>
      <c r="C130" s="376"/>
      <c r="D130" s="372" t="n">
        <f aca="false">+D95</f>
        <v>0.108616607148434</v>
      </c>
      <c r="E130" s="372" t="n">
        <f aca="false">+E95</f>
        <v>0.107396833986505</v>
      </c>
      <c r="F130" s="372" t="n">
        <f aca="false">+F95</f>
        <v>0.106065668636693</v>
      </c>
      <c r="G130" s="372" t="n">
        <f aca="false">+G95</f>
        <v>0.104803714402991</v>
      </c>
      <c r="H130" s="372" t="n">
        <f aca="false">+H95</f>
        <v>0.1035583730169</v>
      </c>
      <c r="I130" s="372" t="n">
        <f aca="false">+I95</f>
        <v>0.102319967060409</v>
      </c>
      <c r="J130" s="372" t="n">
        <f aca="false">+J95</f>
        <v>0.101079769717623</v>
      </c>
      <c r="K130" s="372" t="n">
        <f aca="false">+K95</f>
        <v>0.0998458521147533</v>
      </c>
      <c r="L130" s="372" t="n">
        <f aca="false">+L95</f>
        <v>0.0986182836737573</v>
      </c>
      <c r="M130" s="372" t="n">
        <f aca="false">+M95</f>
        <v>0.0973918449375413</v>
      </c>
      <c r="N130" s="372" t="n">
        <f aca="false">+N95</f>
        <v>0.0961648166834018</v>
      </c>
      <c r="O130" s="372" t="n">
        <f aca="false">+O95</f>
        <v>0.0949357169673374</v>
      </c>
      <c r="P130" s="372" t="n">
        <f aca="false">+P95</f>
        <v>0.0936998711142328</v>
      </c>
      <c r="Q130" s="372" t="n">
        <f aca="false">+Q95</f>
        <v>0.0924530892768425</v>
      </c>
      <c r="R130" s="372" t="n">
        <f aca="false">+R95</f>
        <v>0.0911818320372363</v>
      </c>
      <c r="S130" s="372" t="n">
        <f aca="false">+S95</f>
        <v>0.0898710084762408</v>
      </c>
      <c r="T130" s="372" t="n">
        <f aca="false">+T95</f>
        <v>0.0885169375508761</v>
      </c>
      <c r="U130" s="372" t="n">
        <f aca="false">+U95</f>
        <v>0.0871123986659265</v>
      </c>
      <c r="V130" s="372" t="n">
        <f aca="false">+V95</f>
        <v>0.0856564650104337</v>
      </c>
      <c r="W130" s="372" t="n">
        <f aca="false">+W95</f>
        <v>0.0841553058499337</v>
      </c>
      <c r="X130" s="372" t="n">
        <f aca="false">+X95</f>
        <v>0.0825947966317395</v>
      </c>
      <c r="Y130" s="372" t="n">
        <f aca="false">+Y95</f>
        <v>0.0809595732464858</v>
      </c>
      <c r="Z130" s="372" t="n">
        <f aca="false">+Z95</f>
        <v>0.0792244271109967</v>
      </c>
      <c r="AA130" s="372" t="n">
        <f aca="false">+AA95</f>
        <v>0.0773946012473693</v>
      </c>
    </row>
    <row r="131" customFormat="false" ht="12.75" hidden="false" customHeight="true" outlineLevel="0" collapsed="false">
      <c r="A131" s="232" t="s">
        <v>377</v>
      </c>
      <c r="D131" s="200" t="n">
        <f aca="false">+D$128+D130</f>
        <v>0.487172570548109</v>
      </c>
      <c r="E131" s="200" t="n">
        <f aca="false">+E$128+E130</f>
        <v>0.49114868605241</v>
      </c>
      <c r="F131" s="200" t="n">
        <f aca="false">+F$128+F130</f>
        <v>0.489616545425444</v>
      </c>
      <c r="G131" s="200" t="n">
        <f aca="false">+G$128+G130</f>
        <v>0.137157584418586</v>
      </c>
      <c r="H131" s="200" t="n">
        <f aca="false">+H$128+H130</f>
        <v>0.120719150910521</v>
      </c>
      <c r="I131" s="200" t="n">
        <f aca="false">+I$128+I130</f>
        <v>0.102880601854694</v>
      </c>
      <c r="J131" s="200" t="n">
        <f aca="false">+J$128+J130</f>
        <v>0.0741453124506649</v>
      </c>
      <c r="K131" s="200" t="n">
        <f aca="false">+K$128+K130</f>
        <v>0.0514698407828555</v>
      </c>
      <c r="L131" s="200" t="n">
        <f aca="false">+L$128+L130</f>
        <v>0.140185269627419</v>
      </c>
      <c r="M131" s="200" t="n">
        <f aca="false">+M$128+M130</f>
        <v>0.136092987118724</v>
      </c>
      <c r="N131" s="200" t="n">
        <f aca="false">+N$128+N130</f>
        <v>0.132425253911259</v>
      </c>
      <c r="O131" s="200" t="n">
        <f aca="false">+O$128+O130</f>
        <v>0.145122048264186</v>
      </c>
      <c r="P131" s="200" t="n">
        <f aca="false">+P$128+P130</f>
        <v>0.141232633987359</v>
      </c>
      <c r="Q131" s="200" t="n">
        <f aca="false">+Q$128+Q130</f>
        <v>0.13709360838138</v>
      </c>
      <c r="R131" s="200" t="n">
        <f aca="false">+R$128+R130</f>
        <v>0.148092276017248</v>
      </c>
      <c r="S131" s="200" t="n">
        <f aca="false">+S$128+S130</f>
        <v>0.144027282656567</v>
      </c>
      <c r="T131" s="200" t="n">
        <f aca="false">+T$128+T130</f>
        <v>0.139730813211125</v>
      </c>
      <c r="U131" s="200" t="n">
        <f aca="false">+U$128+U130</f>
        <v>0.135142114622075</v>
      </c>
      <c r="V131" s="200" t="n">
        <f aca="false">+V$128+V130</f>
        <v>0.130605632497838</v>
      </c>
      <c r="W131" s="200" t="n">
        <f aca="false">+W$128+W130</f>
        <v>0.126108520664593</v>
      </c>
      <c r="X131" s="200" t="n">
        <f aca="false">+X$128+X130</f>
        <v>0.478198596610683</v>
      </c>
      <c r="Y131" s="200" t="n">
        <f aca="false">+Y$128+Y130</f>
        <v>0.476563373225429</v>
      </c>
      <c r="Z131" s="200" t="n">
        <f aca="false">+Z$128+Z130</f>
        <v>0.47482822708994</v>
      </c>
      <c r="AA131" s="200" t="n">
        <f aca="false">+AA$128+AA130</f>
        <v>0.472998401226313</v>
      </c>
    </row>
    <row r="132" customFormat="false" ht="12.75" hidden="false" customHeight="true" outlineLevel="0" collapsed="false">
      <c r="A132" s="232" t="s">
        <v>378</v>
      </c>
      <c r="C132" s="375" t="n">
        <f aca="false">'Common Assumpt'!$I$49</f>
        <v>0.749413010253415</v>
      </c>
      <c r="D132" s="200" t="n">
        <f aca="false">IF(arb="Y",$C$214,IF(D131&lt;0,D131,D$131*$C132))</f>
        <v>0.365093462607352</v>
      </c>
      <c r="E132" s="200" t="n">
        <f aca="false">IF(arb="Y",$C$214,IF(E131&lt;0,E131,E$131*$C132))</f>
        <v>0.368073215296546</v>
      </c>
      <c r="F132" s="200" t="n">
        <f aca="false">IF(arb="Y",$C$214,IF(F131&lt;0,F131,F$131*$C132))</f>
        <v>0.36692500917716</v>
      </c>
      <c r="G132" s="200" t="n">
        <f aca="false">IF(arb="Y",$C$214,IF(G131&lt;0,G131,G$131*$C132))</f>
        <v>0.10278767821822</v>
      </c>
      <c r="H132" s="200" t="n">
        <f aca="false">IF(arb="Y",$C$214,IF(H131&lt;0,H131,H$131*$C132))</f>
        <v>0.0904685022790898</v>
      </c>
      <c r="I132" s="200" t="n">
        <f aca="false">IF(arb="Y",$C$214,IF(I131&lt;0,I131,I$131*$C132))</f>
        <v>0.077100061532609</v>
      </c>
      <c r="J132" s="200" t="n">
        <f aca="false">IF(arb="Y",$C$214,IF(J131&lt;0,J131,J$131*$C132))</f>
        <v>0.0555654617998328</v>
      </c>
      <c r="K132" s="200" t="n">
        <f aca="false">IF(arb="Y",$C$214,IF(K131&lt;0,K131,K$131*$C132))</f>
        <v>0.0385721683183437</v>
      </c>
      <c r="L132" s="200" t="n">
        <f aca="false">IF(arb="Y",$C$214,IF(L131&lt;0,L131,L$131*$C132))</f>
        <v>0.105056664904671</v>
      </c>
      <c r="M132" s="200" t="n">
        <f aca="false">IF(arb="Y",$C$214,IF(M131&lt;0,M131,M$131*$C132))</f>
        <v>0.101989855151022</v>
      </c>
      <c r="N132" s="200" t="n">
        <f aca="false">IF(arb="Y",$C$214,IF(N131&lt;0,N131,N$131*$C132))</f>
        <v>0.0992412081672098</v>
      </c>
      <c r="O132" s="200" t="n">
        <f aca="false">IF(arb="Y",$C$214,IF(O131&lt;0,O131,O$131*$C132))</f>
        <v>0.108756351043805</v>
      </c>
      <c r="P132" s="200" t="n">
        <f aca="false">IF(arb="Y",$C$214,IF(P131&lt;0,P131,P$131*$C132))</f>
        <v>0.105841573382485</v>
      </c>
      <c r="Q132" s="200" t="n">
        <f aca="false">IF(arb="Y",$C$214,IF(Q131&lt;0,Q131,Q$131*$C132))</f>
        <v>0.102739733743592</v>
      </c>
      <c r="R132" s="200" t="n">
        <f aca="false">IF(arb="Y",$C$214,IF(R131&lt;0,R131,R$131*$C132))</f>
        <v>0.110982278365365</v>
      </c>
      <c r="S132" s="200" t="n">
        <f aca="false">IF(arb="Y",$C$214,IF(S131&lt;0,S131,S$131*$C132))</f>
        <v>0.107935919454277</v>
      </c>
      <c r="T132" s="200" t="n">
        <f aca="false">IF(arb="Y",$C$214,IF(T131&lt;0,T131,T$131*$C132))</f>
        <v>0.104716089353707</v>
      </c>
      <c r="U132" s="200" t="n">
        <f aca="false">IF(arb="Y",$C$214,IF(U131&lt;0,U131,U$131*$C132))</f>
        <v>0.101277258930941</v>
      </c>
      <c r="V132" s="200" t="n">
        <f aca="false">IF(arb="Y",$C$214,IF(V131&lt;0,V131,V$131*$C132))</f>
        <v>0.0978775602062563</v>
      </c>
      <c r="W132" s="200" t="n">
        <f aca="false">IF(arb="Y",$C$214,IF(W131&lt;0,W131,W$131*$C132))</f>
        <v>0.0945073660898574</v>
      </c>
      <c r="X132" s="200" t="n">
        <f aca="false">IF(arb="Y",$C$214,IF(X131&lt;0,X131,X$131*$C132))</f>
        <v>0.358368249784971</v>
      </c>
      <c r="Y132" s="200" t="n">
        <f aca="false">IF(arb="Y",$C$214,IF(Y131&lt;0,Y131,Y$131*$C132))</f>
        <v>0.357142792105391</v>
      </c>
      <c r="Z132" s="200" t="n">
        <f aca="false">IF(arb="Y",$C$214,IF(Z131&lt;0,Z131,Z$131*$C132))</f>
        <v>0.355842451016764</v>
      </c>
      <c r="AA132" s="200" t="n">
        <f aca="false">IF(arb="Y",$C$214,IF(AA131&lt;0,AA131,AA$131*$C132))</f>
        <v>0.354471155708064</v>
      </c>
    </row>
    <row r="133" customFormat="false" ht="12.75" hidden="false" customHeight="true" outlineLevel="0" collapsed="false">
      <c r="A133" s="232" t="s">
        <v>379</v>
      </c>
      <c r="C133" s="375"/>
      <c r="D133" s="200" t="n">
        <f aca="false">+D132+D123</f>
        <v>0.365093462607352</v>
      </c>
      <c r="E133" s="200" t="n">
        <f aca="false">+E132+E123</f>
        <v>0.368073215296546</v>
      </c>
      <c r="F133" s="200" t="n">
        <f aca="false">+F132+F123</f>
        <v>0.36692500917716</v>
      </c>
      <c r="G133" s="200" t="n">
        <f aca="false">+G132+G123</f>
        <v>0.453455341283054</v>
      </c>
      <c r="H133" s="200" t="n">
        <f aca="false">+H132+H123</f>
        <v>0.456488072314603</v>
      </c>
      <c r="I133" s="200" t="n">
        <f aca="false">+I132+I123</f>
        <v>0.459943855490693</v>
      </c>
      <c r="J133" s="200" t="n">
        <f aca="false">+J132+J123</f>
        <v>0.466375568439585</v>
      </c>
      <c r="K133" s="200" t="n">
        <f aca="false">+K132+K123</f>
        <v>0.471523617121307</v>
      </c>
      <c r="L133" s="200" t="n">
        <f aca="false">+L132+L123</f>
        <v>0.448514386061029</v>
      </c>
      <c r="M133" s="200" t="n">
        <f aca="false">+M132+M123</f>
        <v>0.449123736105514</v>
      </c>
      <c r="N133" s="200" t="n">
        <f aca="false">+N132+N123</f>
        <v>0.449134280326798</v>
      </c>
      <c r="O133" s="200" t="n">
        <f aca="false">+O132+O123</f>
        <v>0.445527671398887</v>
      </c>
      <c r="P133" s="200" t="n">
        <f aca="false">+P132+P123</f>
        <v>0.445971613277459</v>
      </c>
      <c r="Q133" s="200" t="n">
        <f aca="false">+Q132+Q123</f>
        <v>0.446737775468256</v>
      </c>
      <c r="R133" s="200" t="n">
        <f aca="false">+R132+R123</f>
        <v>0.443562314214515</v>
      </c>
      <c r="S133" s="200" t="n">
        <f aca="false">+S132+S123</f>
        <v>0.444100640799379</v>
      </c>
      <c r="T133" s="200" t="n">
        <f aca="false">+T132+T123</f>
        <v>0.444806692238969</v>
      </c>
      <c r="U133" s="200" t="n">
        <f aca="false">+U132+U123</f>
        <v>0.44573924959616</v>
      </c>
      <c r="V133" s="200" t="n">
        <f aca="false">+V132+V123</f>
        <v>0.446402614154257</v>
      </c>
      <c r="W133" s="200" t="n">
        <f aca="false">+W132+W123</f>
        <v>0.446840815525701</v>
      </c>
      <c r="X133" s="200" t="n">
        <f aca="false">+X132+X123</f>
        <v>0.358368249784971</v>
      </c>
      <c r="Y133" s="200" t="n">
        <f aca="false">+Y132+Y123</f>
        <v>0.357142792105391</v>
      </c>
      <c r="Z133" s="200" t="n">
        <f aca="false">+Z132+Z123</f>
        <v>0.355842451016764</v>
      </c>
      <c r="AA133" s="200" t="n">
        <f aca="false">+AA132+AA123</f>
        <v>0.354471155708064</v>
      </c>
    </row>
    <row r="134" customFormat="false" ht="12.75" hidden="false" customHeight="true" outlineLevel="0" collapsed="false">
      <c r="A134" s="146"/>
    </row>
    <row r="135" customFormat="false" ht="12.75" hidden="false" customHeight="true" outlineLevel="0" collapsed="false">
      <c r="A135" s="157" t="s">
        <v>380</v>
      </c>
      <c r="B135" s="376"/>
      <c r="C135" s="376"/>
      <c r="D135" s="372" t="n">
        <f aca="false">+D117</f>
        <v>0.175740446521263</v>
      </c>
      <c r="E135" s="372" t="n">
        <f aca="false">+E117</f>
        <v>0.177336161006732</v>
      </c>
      <c r="F135" s="372" t="n">
        <f aca="false">+F117</f>
        <v>0.179077599413108</v>
      </c>
      <c r="G135" s="372" t="n">
        <f aca="false">+G117</f>
        <v>0.180728495426865</v>
      </c>
      <c r="H135" s="372" t="n">
        <f aca="false">+H117</f>
        <v>0.18235765841484</v>
      </c>
      <c r="I135" s="372" t="n">
        <f aca="false">+I117</f>
        <v>0.183977748432675</v>
      </c>
      <c r="J135" s="372" t="n">
        <f aca="false">+J117</f>
        <v>0.185600181952686</v>
      </c>
      <c r="K135" s="372" t="n">
        <f aca="false">+K117</f>
        <v>0.187214400279691</v>
      </c>
      <c r="L135" s="372" t="n">
        <f aca="false">+L117</f>
        <v>0.188820312595472</v>
      </c>
      <c r="M135" s="372" t="n">
        <f aca="false">+M117</f>
        <v>0.19042474702476</v>
      </c>
      <c r="N135" s="372" t="n">
        <f aca="false">+N117</f>
        <v>0.192029952664892</v>
      </c>
      <c r="O135" s="372" t="n">
        <f aca="false">+O117</f>
        <v>0.193637868203801</v>
      </c>
      <c r="P135" s="372" t="n">
        <f aca="false">+P117</f>
        <v>0.195254609079201</v>
      </c>
      <c r="Q135" s="372" t="n">
        <f aca="false">+Q117</f>
        <v>0.196885656474109</v>
      </c>
      <c r="R135" s="372" t="n">
        <f aca="false">+R117</f>
        <v>0.198548722735371</v>
      </c>
      <c r="S135" s="372" t="n">
        <f aca="false">+S117</f>
        <v>0.20026354989296</v>
      </c>
      <c r="T135" s="372" t="n">
        <f aca="false">+T117</f>
        <v>0.202034953509137</v>
      </c>
      <c r="U135" s="372" t="n">
        <f aca="false">+U117</f>
        <v>0.203872379609392</v>
      </c>
      <c r="V135" s="372" t="n">
        <f aca="false">+V117</f>
        <v>0.205777040653317</v>
      </c>
      <c r="W135" s="372" t="n">
        <f aca="false">+W117</f>
        <v>0.207740865971146</v>
      </c>
      <c r="X135" s="372" t="n">
        <f aca="false">+X117</f>
        <v>0.209782333386482</v>
      </c>
      <c r="Y135" s="372" t="n">
        <f aca="false">+Y117</f>
        <v>0.21192154231833</v>
      </c>
      <c r="Z135" s="372" t="n">
        <f aca="false">+Z117</f>
        <v>0.214191470784724</v>
      </c>
      <c r="AA135" s="372" t="n">
        <f aca="false">+AA117</f>
        <v>0.216585259833057</v>
      </c>
    </row>
    <row r="136" customFormat="false" ht="12.75" hidden="false" customHeight="true" outlineLevel="0" collapsed="false">
      <c r="A136" s="232" t="s">
        <v>381</v>
      </c>
      <c r="D136" s="200" t="n">
        <f aca="false">+D$128+D135</f>
        <v>0.554296409920937</v>
      </c>
      <c r="E136" s="200" t="n">
        <f aca="false">+E$128+E135</f>
        <v>0.561088013072637</v>
      </c>
      <c r="F136" s="200" t="n">
        <f aca="false">+F$128+F135</f>
        <v>0.562628476201858</v>
      </c>
      <c r="G136" s="200" t="n">
        <f aca="false">+G$128+G135</f>
        <v>0.21308236544246</v>
      </c>
      <c r="H136" s="200" t="n">
        <f aca="false">+H$128+H135</f>
        <v>0.199518436308461</v>
      </c>
      <c r="I136" s="200" t="n">
        <f aca="false">+I$128+I135</f>
        <v>0.184538383226961</v>
      </c>
      <c r="J136" s="200" t="n">
        <f aca="false">+J$128+J135</f>
        <v>0.158665724685727</v>
      </c>
      <c r="K136" s="200" t="n">
        <f aca="false">+K$128+K135</f>
        <v>0.138838388947793</v>
      </c>
      <c r="L136" s="200" t="n">
        <f aca="false">+L$128+L135</f>
        <v>0.230387298549134</v>
      </c>
      <c r="M136" s="200" t="n">
        <f aca="false">+M$128+M135</f>
        <v>0.229125889205943</v>
      </c>
      <c r="N136" s="200" t="n">
        <f aca="false">+N$128+N135</f>
        <v>0.22829038989275</v>
      </c>
      <c r="O136" s="200" t="n">
        <f aca="false">+O$128+O135</f>
        <v>0.24382419950065</v>
      </c>
      <c r="P136" s="200" t="n">
        <f aca="false">+P$128+P135</f>
        <v>0.242787371952327</v>
      </c>
      <c r="Q136" s="200" t="n">
        <f aca="false">+Q$128+Q135</f>
        <v>0.241526175578646</v>
      </c>
      <c r="R136" s="200" t="n">
        <f aca="false">+R$128+R135</f>
        <v>0.255459166715382</v>
      </c>
      <c r="S136" s="200" t="n">
        <f aca="false">+S$128+S135</f>
        <v>0.254419824073286</v>
      </c>
      <c r="T136" s="200" t="n">
        <f aca="false">+T$128+T135</f>
        <v>0.253248829169386</v>
      </c>
      <c r="U136" s="200" t="n">
        <f aca="false">+U$128+U135</f>
        <v>0.25190209556554</v>
      </c>
      <c r="V136" s="200" t="n">
        <f aca="false">+V$128+V135</f>
        <v>0.250726208140722</v>
      </c>
      <c r="W136" s="200" t="n">
        <f aca="false">+W$128+W135</f>
        <v>0.249694080785805</v>
      </c>
      <c r="X136" s="200" t="n">
        <f aca="false">+X$128+X135</f>
        <v>0.605386133365426</v>
      </c>
      <c r="Y136" s="200" t="n">
        <f aca="false">+Y$128+Y135</f>
        <v>0.607525342297274</v>
      </c>
      <c r="Z136" s="200" t="n">
        <f aca="false">+Z$128+Z135</f>
        <v>0.609795270763668</v>
      </c>
      <c r="AA136" s="200" t="n">
        <f aca="false">+AA$128+AA135</f>
        <v>0.612189059812</v>
      </c>
    </row>
    <row r="137" customFormat="false" ht="12.75" hidden="false" customHeight="true" outlineLevel="0" collapsed="false">
      <c r="A137" s="232" t="s">
        <v>382</v>
      </c>
      <c r="C137" s="375" t="n">
        <f aca="false">'Common Assumpt'!$I$49</f>
        <v>0.749413010253415</v>
      </c>
      <c r="D137" s="200" t="n">
        <f aca="false">IF(arb="Y",$C$214,D$136*$C137)</f>
        <v>0.41539694113151</v>
      </c>
      <c r="E137" s="200" t="n">
        <f aca="false">IF(arb="Y",$C$214,E$136*$C137)</f>
        <v>0.420486656893872</v>
      </c>
      <c r="F137" s="200" t="n">
        <f aca="false">IF(arb="Y",$C$214,F$136*$C137)</f>
        <v>0.421641100004726</v>
      </c>
      <c r="G137" s="200" t="n">
        <f aca="false">IF(arb="Y",$C$214,G$136*$C137)</f>
        <v>0.159686696918153</v>
      </c>
      <c r="H137" s="200" t="n">
        <f aca="false">IF(arb="Y",$C$214,H$136*$C137)</f>
        <v>0.149521711954978</v>
      </c>
      <c r="I137" s="200" t="n">
        <f aca="false">IF(arb="Y",$C$214,I$136*$C137)</f>
        <v>0.138295465281415</v>
      </c>
      <c r="J137" s="200" t="n">
        <f aca="false">IF(arb="Y",$C$214,J$136*$C137)</f>
        <v>0.118906158360771</v>
      </c>
      <c r="K137" s="200" t="n">
        <f aca="false">IF(arb="Y",$C$214,K$136*$C137)</f>
        <v>0.1040472950001</v>
      </c>
      <c r="L137" s="200" t="n">
        <f aca="false">IF(arb="Y",$C$214,L$136*$C137)</f>
        <v>0.172655238929859</v>
      </c>
      <c r="M137" s="200" t="n">
        <f aca="false">IF(arb="Y",$C$214,M$136*$C137)</f>
        <v>0.171709922356816</v>
      </c>
      <c r="N137" s="200" t="n">
        <f aca="false">IF(arb="Y",$C$214,N$136*$C137)</f>
        <v>0.171083788301452</v>
      </c>
      <c r="O137" s="200" t="n">
        <f aca="false">IF(arb="Y",$C$214,O$136*$C137)</f>
        <v>0.182725027320411</v>
      </c>
      <c r="P137" s="200" t="n">
        <f aca="false">IF(arb="Y",$C$214,P$136*$C137)</f>
        <v>0.181948015266309</v>
      </c>
      <c r="Q137" s="200" t="n">
        <f aca="false">IF(arb="Y",$C$214,Q$136*$C137)</f>
        <v>0.181002858295388</v>
      </c>
      <c r="R137" s="200" t="n">
        <f aca="false">IF(arb="Y",$C$214,R$136*$C137)</f>
        <v>0.191444423125003</v>
      </c>
      <c r="S137" s="200" t="n">
        <f aca="false">IF(arb="Y",$C$214,S$136*$C137)</f>
        <v>0.190665526226906</v>
      </c>
      <c r="T137" s="200" t="n">
        <f aca="false">IF(arb="Y",$C$214,T$136*$C137)</f>
        <v>0.189787967410983</v>
      </c>
      <c r="U137" s="200" t="n">
        <f aca="false">IF(arb="Y",$C$214,U$136*$C137)</f>
        <v>0.188778707726915</v>
      </c>
      <c r="V137" s="200" t="n">
        <f aca="false">IF(arb="Y",$C$214,V$136*$C137)</f>
        <v>0.187897482392162</v>
      </c>
      <c r="W137" s="200" t="n">
        <f aca="false">IF(arb="Y",$C$214,W$136*$C137)</f>
        <v>0.187123992724149</v>
      </c>
      <c r="X137" s="200" t="n">
        <f aca="false">IF(arb="Y",$C$214,X$136*$C137)</f>
        <v>0.453684244571059</v>
      </c>
      <c r="Y137" s="200" t="n">
        <f aca="false">IF(arb="Y",$C$214,Y$136*$C137)</f>
        <v>0.455287395576236</v>
      </c>
      <c r="Z137" s="200" t="n">
        <f aca="false">IF(arb="Y",$C$214,Z$136*$C137)</f>
        <v>0.456988509501296</v>
      </c>
      <c r="AA137" s="200" t="n">
        <f aca="false">IF(arb="Y",$C$214,AA$136*$C137)</f>
        <v>0.458782446157919</v>
      </c>
    </row>
    <row r="138" customFormat="false" ht="12.75" hidden="false" customHeight="true" outlineLevel="0" collapsed="false">
      <c r="A138" s="232" t="s">
        <v>383</v>
      </c>
      <c r="C138" s="375"/>
      <c r="D138" s="200" t="n">
        <f aca="false">IF(D137&lt;0,D137,D123+D137)</f>
        <v>0.41539694113151</v>
      </c>
      <c r="E138" s="200" t="n">
        <f aca="false">IF(E137&lt;0,E137,E123+E137)</f>
        <v>0.420486656893872</v>
      </c>
      <c r="F138" s="200" t="n">
        <f aca="false">IF(F137&lt;0,F137,F123+F137)</f>
        <v>0.421641100004726</v>
      </c>
      <c r="G138" s="200" t="n">
        <f aca="false">IF(G137&lt;0,G137,G123+G137)</f>
        <v>0.510354359982986</v>
      </c>
      <c r="H138" s="200" t="n">
        <f aca="false">IF(H137&lt;0,H137,H123+H137)</f>
        <v>0.515541281990491</v>
      </c>
      <c r="I138" s="200" t="n">
        <f aca="false">IF(I137&lt;0,I137,I123+I137)</f>
        <v>0.521139259239499</v>
      </c>
      <c r="J138" s="200" t="n">
        <f aca="false">IF(J137&lt;0,J137,J123+J137)</f>
        <v>0.529716265000522</v>
      </c>
      <c r="K138" s="200" t="n">
        <f aca="false">IF(K137&lt;0,K137,K123+K137)</f>
        <v>0.536998743803063</v>
      </c>
      <c r="L138" s="200" t="n">
        <f aca="false">IF(L137&lt;0,L137,L123+L137)</f>
        <v>0.516112960086217</v>
      </c>
      <c r="M138" s="200" t="n">
        <f aca="false">IF(M137&lt;0,M137,M123+M137)</f>
        <v>0.518843803311307</v>
      </c>
      <c r="N138" s="200" t="n">
        <f aca="false">IF(N137&lt;0,N137,N123+N137)</f>
        <v>0.52097686046104</v>
      </c>
      <c r="O138" s="200" t="n">
        <f aca="false">IF(O137&lt;0,O137,O123+O137)</f>
        <v>0.519496347675494</v>
      </c>
      <c r="P138" s="200" t="n">
        <f aca="false">IF(P137&lt;0,P137,P123+P137)</f>
        <v>0.522078055161283</v>
      </c>
      <c r="Q138" s="200" t="n">
        <f aca="false">IF(Q137&lt;0,Q137,Q123+Q137)</f>
        <v>0.525000900020052</v>
      </c>
      <c r="R138" s="200" t="n">
        <f aca="false">IF(R137&lt;0,R137,R123+R137)</f>
        <v>0.524024458974154</v>
      </c>
      <c r="S138" s="200" t="n">
        <f aca="false">IF(S137&lt;0,S137,S123+S137)</f>
        <v>0.526830247572007</v>
      </c>
      <c r="T138" s="200" t="n">
        <f aca="false">IF(T137&lt;0,T137,T123+T137)</f>
        <v>0.529878570296244</v>
      </c>
      <c r="U138" s="200" t="n">
        <f aca="false">IF(U137&lt;0,U137,U123+U137)</f>
        <v>0.533240698392133</v>
      </c>
      <c r="V138" s="200" t="n">
        <f aca="false">IF(V137&lt;0,V137,V123+V137)</f>
        <v>0.536422536340163</v>
      </c>
      <c r="W138" s="200" t="n">
        <f aca="false">IF(W137&lt;0,W137,W123+W137)</f>
        <v>0.539457442159992</v>
      </c>
      <c r="X138" s="200" t="n">
        <f aca="false">IF(X137&lt;0,X137,X123+X137)</f>
        <v>0.453684244571059</v>
      </c>
      <c r="Y138" s="200" t="n">
        <f aca="false">IF(Y137&lt;0,Y137,Y123+Y137)</f>
        <v>0.455287395576236</v>
      </c>
      <c r="Z138" s="200" t="n">
        <f aca="false">IF(Z137&lt;0,Z137,Z123+Z137)</f>
        <v>0.456988509501296</v>
      </c>
      <c r="AA138" s="200" t="n">
        <f aca="false">IF(AA137&lt;0,AA137,AA123+AA137)</f>
        <v>0.458782446157919</v>
      </c>
    </row>
    <row r="139" customFormat="false" ht="12.75" hidden="false" customHeight="true" outlineLevel="0" collapsed="false">
      <c r="G139" s="200"/>
      <c r="H139" s="200"/>
      <c r="I139" s="200"/>
      <c r="J139" s="200"/>
    </row>
    <row r="140" customFormat="false" ht="12.75" hidden="false" customHeight="true" outlineLevel="0" collapsed="false">
      <c r="G140" s="200"/>
      <c r="H140" s="200"/>
      <c r="I140" s="200"/>
      <c r="J140" s="200"/>
    </row>
    <row r="141" customFormat="false" ht="15.75" hidden="false" customHeight="true" outlineLevel="0" collapsed="false">
      <c r="A141" s="380" t="s">
        <v>384</v>
      </c>
      <c r="B141" s="381"/>
      <c r="C141" s="381"/>
      <c r="D141" s="382" t="n">
        <f aca="false">+D$4</f>
        <v>1999</v>
      </c>
      <c r="E141" s="382" t="n">
        <f aca="false">+E$4</f>
        <v>2000</v>
      </c>
      <c r="F141" s="382" t="n">
        <f aca="false">+F$4</f>
        <v>2001</v>
      </c>
      <c r="G141" s="382" t="n">
        <f aca="false">+G$4</f>
        <v>2002</v>
      </c>
      <c r="H141" s="382" t="n">
        <f aca="false">+H$4</f>
        <v>2003</v>
      </c>
      <c r="I141" s="382" t="n">
        <f aca="false">+I$4</f>
        <v>2004</v>
      </c>
      <c r="J141" s="382" t="n">
        <f aca="false">+J$4</f>
        <v>2005</v>
      </c>
      <c r="K141" s="382" t="n">
        <f aca="false">+K$4</f>
        <v>2006</v>
      </c>
      <c r="L141" s="382" t="n">
        <f aca="false">+L$4</f>
        <v>2007</v>
      </c>
      <c r="M141" s="382" t="n">
        <f aca="false">+M$4</f>
        <v>2008</v>
      </c>
      <c r="N141" s="382" t="n">
        <f aca="false">+N$4</f>
        <v>2009</v>
      </c>
      <c r="O141" s="382" t="n">
        <f aca="false">+O$4</f>
        <v>2010</v>
      </c>
      <c r="P141" s="382" t="n">
        <f aca="false">+P$4</f>
        <v>2011</v>
      </c>
      <c r="Q141" s="382" t="n">
        <f aca="false">+Q$4</f>
        <v>2012</v>
      </c>
      <c r="R141" s="382" t="n">
        <f aca="false">+R$4</f>
        <v>2013</v>
      </c>
      <c r="S141" s="382" t="n">
        <f aca="false">+S$4</f>
        <v>2014</v>
      </c>
      <c r="T141" s="382" t="n">
        <f aca="false">+T$4</f>
        <v>2015</v>
      </c>
      <c r="U141" s="382" t="n">
        <f aca="false">+U$4</f>
        <v>2016</v>
      </c>
      <c r="V141" s="382" t="n">
        <f aca="false">+V$4</f>
        <v>2017</v>
      </c>
      <c r="W141" s="382" t="n">
        <f aca="false">+W$4</f>
        <v>2018</v>
      </c>
      <c r="X141" s="382" t="n">
        <f aca="false">+X$4</f>
        <v>2019</v>
      </c>
      <c r="Y141" s="382" t="n">
        <f aca="false">+Y$4</f>
        <v>2020</v>
      </c>
      <c r="Z141" s="382" t="n">
        <f aca="false">+Z$4</f>
        <v>2021</v>
      </c>
      <c r="AA141" s="383" t="n">
        <f aca="false">+AA$4</f>
        <v>2022</v>
      </c>
    </row>
    <row r="142" customFormat="false" ht="12.75" hidden="false" customHeight="true" outlineLevel="0" collapsed="false"/>
    <row r="143" customFormat="false" ht="12.75" hidden="false" customHeight="true" outlineLevel="0" collapsed="false">
      <c r="A143" s="309" t="s">
        <v>385</v>
      </c>
      <c r="B143" s="384"/>
      <c r="C143" s="384"/>
      <c r="D143" s="384"/>
      <c r="E143" s="384"/>
      <c r="F143" s="384"/>
      <c r="G143" s="384"/>
      <c r="H143" s="384"/>
      <c r="I143" s="384"/>
      <c r="J143" s="384"/>
      <c r="K143" s="384"/>
      <c r="L143" s="384"/>
      <c r="M143" s="384"/>
      <c r="N143" s="384"/>
      <c r="O143" s="384"/>
      <c r="P143" s="384"/>
      <c r="Q143" s="384"/>
      <c r="R143" s="384"/>
      <c r="S143" s="384"/>
      <c r="T143" s="384"/>
      <c r="U143" s="384"/>
      <c r="V143" s="384"/>
      <c r="W143" s="384"/>
      <c r="X143" s="384"/>
      <c r="Y143" s="384"/>
      <c r="Z143" s="384"/>
      <c r="AA143" s="385"/>
    </row>
    <row r="144" customFormat="false" ht="12.75" hidden="false" customHeight="true" outlineLevel="0" collapsed="false">
      <c r="A144" s="333" t="s">
        <v>386</v>
      </c>
      <c r="B144" s="131"/>
      <c r="C144" s="131"/>
      <c r="D144" s="386" t="n">
        <f aca="false">D77</f>
        <v>0</v>
      </c>
      <c r="E144" s="386" t="n">
        <f aca="false">E77</f>
        <v>0</v>
      </c>
      <c r="F144" s="386" t="n">
        <f aca="false">F77</f>
        <v>0</v>
      </c>
      <c r="G144" s="386" t="n">
        <f aca="false">G77</f>
        <v>34.8157079435498</v>
      </c>
      <c r="H144" s="386" t="n">
        <f aca="false">H77</f>
        <v>32.767725123341</v>
      </c>
      <c r="I144" s="386" t="n">
        <f aca="false">I77</f>
        <v>30.7197423031322</v>
      </c>
      <c r="J144" s="386" t="n">
        <f aca="false">J77</f>
        <v>30.7197423031322</v>
      </c>
      <c r="K144" s="386" t="n">
        <f aca="false">K77</f>
        <v>28.6717594829234</v>
      </c>
      <c r="L144" s="386" t="n">
        <f aca="false">L77</f>
        <v>34.8157079435498</v>
      </c>
      <c r="M144" s="386" t="n">
        <f aca="false">M77</f>
        <v>34.8157079435498</v>
      </c>
      <c r="N144" s="386" t="n">
        <f aca="false">N77</f>
        <v>34.8157079435498</v>
      </c>
      <c r="O144" s="386" t="n">
        <f aca="false">O77</f>
        <v>34.8157079435498</v>
      </c>
      <c r="P144" s="386" t="n">
        <f aca="false">P77</f>
        <v>34.8157079435498</v>
      </c>
      <c r="Q144" s="386" t="n">
        <f aca="false">Q77</f>
        <v>34.8157079435498</v>
      </c>
      <c r="R144" s="386" t="n">
        <f aca="false">R77</f>
        <v>34.8157079435498</v>
      </c>
      <c r="S144" s="386" t="n">
        <f aca="false">S77</f>
        <v>34.8157079435498</v>
      </c>
      <c r="T144" s="386" t="n">
        <f aca="false">T77</f>
        <v>34.8157079435498</v>
      </c>
      <c r="U144" s="386" t="n">
        <f aca="false">U77</f>
        <v>34.8157079435498</v>
      </c>
      <c r="V144" s="386" t="n">
        <f aca="false">V77</f>
        <v>34.8157079435498</v>
      </c>
      <c r="W144" s="386" t="n">
        <f aca="false">W77</f>
        <v>34.8157079435498</v>
      </c>
      <c r="X144" s="386" t="n">
        <f aca="false">X77</f>
        <v>0</v>
      </c>
      <c r="Y144" s="386" t="n">
        <f aca="false">Y77</f>
        <v>0</v>
      </c>
      <c r="Z144" s="386" t="n">
        <f aca="false">Z77</f>
        <v>0</v>
      </c>
      <c r="AA144" s="387" t="n">
        <f aca="false">AA77</f>
        <v>0</v>
      </c>
    </row>
    <row r="145" customFormat="false" ht="12.75" hidden="false" customHeight="true" outlineLevel="0" collapsed="false">
      <c r="A145" s="330" t="s">
        <v>387</v>
      </c>
      <c r="B145" s="283"/>
      <c r="C145" s="283"/>
      <c r="D145" s="388" t="n">
        <f aca="false">+D99</f>
        <v>0</v>
      </c>
      <c r="E145" s="388" t="n">
        <f aca="false">+E99</f>
        <v>0</v>
      </c>
      <c r="F145" s="388" t="n">
        <f aca="false">+F99</f>
        <v>0</v>
      </c>
      <c r="G145" s="388" t="n">
        <f aca="false">+G99</f>
        <v>12.7348495226057</v>
      </c>
      <c r="H145" s="388" t="n">
        <f aca="false">+H99</f>
        <v>12.7348495226057</v>
      </c>
      <c r="I145" s="388" t="n">
        <f aca="false">+I99</f>
        <v>12.7348495226057</v>
      </c>
      <c r="J145" s="388" t="n">
        <f aca="false">+J99</f>
        <v>9.5511371419543</v>
      </c>
      <c r="K145" s="388" t="n">
        <f aca="false">+K99</f>
        <v>9.5511371419543</v>
      </c>
      <c r="L145" s="388" t="n">
        <f aca="false">+L99</f>
        <v>12.7348495226057</v>
      </c>
      <c r="M145" s="388" t="n">
        <f aca="false">+M99</f>
        <v>12.7348495226057</v>
      </c>
      <c r="N145" s="388" t="n">
        <f aca="false">+N99</f>
        <v>12.7348495226057</v>
      </c>
      <c r="O145" s="388" t="n">
        <f aca="false">+O99</f>
        <v>15.9185619032572</v>
      </c>
      <c r="P145" s="388" t="n">
        <f aca="false">+P99</f>
        <v>15.9185619032572</v>
      </c>
      <c r="Q145" s="388" t="n">
        <f aca="false">+Q99</f>
        <v>15.9185619032572</v>
      </c>
      <c r="R145" s="388" t="n">
        <f aca="false">+R99</f>
        <v>19.1022742839086</v>
      </c>
      <c r="S145" s="388" t="n">
        <f aca="false">+S99</f>
        <v>19.1022742839086</v>
      </c>
      <c r="T145" s="388" t="n">
        <f aca="false">+T99</f>
        <v>19.1022742839086</v>
      </c>
      <c r="U145" s="388" t="n">
        <f aca="false">+U99</f>
        <v>19.1022742839086</v>
      </c>
      <c r="V145" s="388" t="n">
        <f aca="false">+V99</f>
        <v>19.1022742839086</v>
      </c>
      <c r="W145" s="388" t="n">
        <f aca="false">+W99</f>
        <v>19.1022742839086</v>
      </c>
      <c r="X145" s="388" t="n">
        <f aca="false">+X99</f>
        <v>0</v>
      </c>
      <c r="Y145" s="388" t="n">
        <f aca="false">+Y99</f>
        <v>0</v>
      </c>
      <c r="Z145" s="388" t="n">
        <f aca="false">+Z99</f>
        <v>0</v>
      </c>
      <c r="AA145" s="389" t="n">
        <f aca="false">+AA99</f>
        <v>0</v>
      </c>
    </row>
    <row r="146" customFormat="false" ht="12.75" hidden="false" customHeight="true" outlineLevel="0" collapsed="false">
      <c r="A146" s="390" t="s">
        <v>388</v>
      </c>
      <c r="B146" s="391"/>
      <c r="C146" s="391"/>
      <c r="D146" s="392" t="n">
        <f aca="false">+SUM(D144:D145)</f>
        <v>0</v>
      </c>
      <c r="E146" s="392" t="n">
        <f aca="false">+SUM(E144:E145)</f>
        <v>0</v>
      </c>
      <c r="F146" s="392" t="n">
        <f aca="false">+SUM(F144:F145)</f>
        <v>0</v>
      </c>
      <c r="G146" s="392" t="n">
        <f aca="false">+SUM(G144:G145)</f>
        <v>47.5505574661556</v>
      </c>
      <c r="H146" s="392" t="n">
        <f aca="false">+SUM(H144:H145)</f>
        <v>45.5025746459468</v>
      </c>
      <c r="I146" s="392" t="n">
        <f aca="false">+SUM(I144:I145)</f>
        <v>43.4545918257379</v>
      </c>
      <c r="J146" s="392" t="n">
        <f aca="false">+SUM(J144:J145)</f>
        <v>40.2708794450865</v>
      </c>
      <c r="K146" s="392" t="n">
        <f aca="false">+SUM(K144:K145)</f>
        <v>38.2228966248777</v>
      </c>
      <c r="L146" s="392" t="n">
        <f aca="false">+SUM(L144:L145)</f>
        <v>47.5505574661556</v>
      </c>
      <c r="M146" s="392" t="n">
        <f aca="false">+SUM(M144:M145)</f>
        <v>47.5505574661556</v>
      </c>
      <c r="N146" s="392" t="n">
        <f aca="false">+SUM(N144:N145)</f>
        <v>47.5505574661556</v>
      </c>
      <c r="O146" s="392" t="n">
        <f aca="false">+SUM(O144:O145)</f>
        <v>50.734269846807</v>
      </c>
      <c r="P146" s="392" t="n">
        <f aca="false">+SUM(P144:P145)</f>
        <v>50.734269846807</v>
      </c>
      <c r="Q146" s="392" t="n">
        <f aca="false">+SUM(Q144:Q145)</f>
        <v>50.734269846807</v>
      </c>
      <c r="R146" s="392" t="n">
        <f aca="false">+SUM(R144:R145)</f>
        <v>53.9179822274584</v>
      </c>
      <c r="S146" s="392" t="n">
        <f aca="false">+SUM(S144:S145)</f>
        <v>53.9179822274584</v>
      </c>
      <c r="T146" s="392" t="n">
        <f aca="false">+SUM(T144:T145)</f>
        <v>53.9179822274584</v>
      </c>
      <c r="U146" s="392" t="n">
        <f aca="false">+SUM(U144:U145)</f>
        <v>53.9179822274584</v>
      </c>
      <c r="V146" s="392" t="n">
        <f aca="false">+SUM(V144:V145)</f>
        <v>53.9179822274584</v>
      </c>
      <c r="W146" s="392" t="n">
        <f aca="false">+SUM(W144:W145)</f>
        <v>53.9179822274584</v>
      </c>
      <c r="X146" s="392" t="n">
        <f aca="false">+SUM(X144:X145)</f>
        <v>0</v>
      </c>
      <c r="Y146" s="392" t="n">
        <f aca="false">+SUM(Y144:Y145)</f>
        <v>0</v>
      </c>
      <c r="Z146" s="392" t="n">
        <f aca="false">+SUM(Z144:Z145)</f>
        <v>0</v>
      </c>
      <c r="AA146" s="393" t="n">
        <f aca="false">+SUM(AA144:AA145)</f>
        <v>0</v>
      </c>
    </row>
    <row r="147" customFormat="false" ht="12.75" hidden="false" customHeight="true" outlineLevel="0" collapsed="false"/>
    <row r="148" customFormat="false" ht="12.75" hidden="false" customHeight="true" outlineLevel="0" collapsed="false">
      <c r="A148" s="309" t="s">
        <v>389</v>
      </c>
      <c r="B148" s="310"/>
      <c r="C148" s="310"/>
      <c r="D148" s="310"/>
      <c r="E148" s="310"/>
      <c r="F148" s="310"/>
      <c r="G148" s="310"/>
      <c r="H148" s="310"/>
      <c r="I148" s="310"/>
      <c r="J148" s="310"/>
      <c r="K148" s="310"/>
      <c r="L148" s="310"/>
      <c r="M148" s="310"/>
      <c r="N148" s="310"/>
      <c r="O148" s="310"/>
      <c r="P148" s="310"/>
      <c r="Q148" s="310"/>
      <c r="R148" s="310"/>
      <c r="S148" s="310"/>
      <c r="T148" s="310"/>
      <c r="U148" s="310"/>
      <c r="V148" s="310"/>
      <c r="W148" s="310"/>
      <c r="X148" s="310"/>
      <c r="Y148" s="310"/>
      <c r="Z148" s="310"/>
      <c r="AA148" s="311"/>
    </row>
    <row r="149" customFormat="false" ht="12.75" hidden="false" customHeight="true" outlineLevel="0" collapsed="false">
      <c r="A149" s="394"/>
      <c r="B149" s="395"/>
      <c r="C149" s="395"/>
      <c r="D149" s="395"/>
      <c r="E149" s="395"/>
      <c r="F149" s="395"/>
      <c r="G149" s="395"/>
      <c r="H149" s="395"/>
      <c r="I149" s="395"/>
      <c r="J149" s="395"/>
      <c r="K149" s="395"/>
      <c r="L149" s="395"/>
      <c r="M149" s="395"/>
      <c r="N149" s="395"/>
      <c r="O149" s="395"/>
      <c r="P149" s="395"/>
      <c r="Q149" s="395"/>
      <c r="R149" s="395"/>
      <c r="S149" s="395"/>
      <c r="T149" s="395"/>
      <c r="U149" s="395"/>
      <c r="V149" s="395"/>
      <c r="W149" s="395"/>
      <c r="X149" s="395"/>
      <c r="Y149" s="395"/>
      <c r="Z149" s="395"/>
      <c r="AA149" s="396"/>
    </row>
    <row r="150" customFormat="false" ht="12.75" hidden="false" customHeight="true" outlineLevel="0" collapsed="false">
      <c r="A150" s="330" t="s">
        <v>390</v>
      </c>
      <c r="B150" s="283"/>
      <c r="C150" s="283"/>
      <c r="D150" s="299" t="n">
        <f aca="false">+D133</f>
        <v>0.365093462607352</v>
      </c>
      <c r="E150" s="299" t="n">
        <f aca="false">+E133</f>
        <v>0.368073215296546</v>
      </c>
      <c r="F150" s="299" t="n">
        <f aca="false">+F133</f>
        <v>0.36692500917716</v>
      </c>
      <c r="G150" s="299" t="n">
        <f aca="false">+G133</f>
        <v>0.453455341283054</v>
      </c>
      <c r="H150" s="299" t="n">
        <f aca="false">+H133</f>
        <v>0.456488072314603</v>
      </c>
      <c r="I150" s="299" t="n">
        <f aca="false">+I133</f>
        <v>0.459943855490693</v>
      </c>
      <c r="J150" s="299" t="n">
        <f aca="false">+J133</f>
        <v>0.466375568439585</v>
      </c>
      <c r="K150" s="299" t="n">
        <f aca="false">+K133</f>
        <v>0.471523617121307</v>
      </c>
      <c r="L150" s="299" t="n">
        <f aca="false">+L133</f>
        <v>0.448514386061029</v>
      </c>
      <c r="M150" s="299" t="n">
        <f aca="false">+M133</f>
        <v>0.449123736105514</v>
      </c>
      <c r="N150" s="299" t="n">
        <f aca="false">+N133</f>
        <v>0.449134280326798</v>
      </c>
      <c r="O150" s="299" t="n">
        <f aca="false">+O133</f>
        <v>0.445527671398887</v>
      </c>
      <c r="P150" s="299" t="n">
        <f aca="false">+P133</f>
        <v>0.445971613277459</v>
      </c>
      <c r="Q150" s="299" t="n">
        <f aca="false">+Q133</f>
        <v>0.446737775468256</v>
      </c>
      <c r="R150" s="299" t="n">
        <f aca="false">+R133</f>
        <v>0.443562314214515</v>
      </c>
      <c r="S150" s="299" t="n">
        <f aca="false">+S133</f>
        <v>0.444100640799379</v>
      </c>
      <c r="T150" s="299" t="n">
        <f aca="false">+T133</f>
        <v>0.444806692238969</v>
      </c>
      <c r="U150" s="299" t="n">
        <f aca="false">+U133</f>
        <v>0.44573924959616</v>
      </c>
      <c r="V150" s="299" t="n">
        <f aca="false">+V133</f>
        <v>0.446402614154257</v>
      </c>
      <c r="W150" s="299" t="n">
        <f aca="false">+W133</f>
        <v>0.446840815525701</v>
      </c>
      <c r="X150" s="299" t="n">
        <f aca="false">+X133</f>
        <v>0.358368249784971</v>
      </c>
      <c r="Y150" s="299" t="n">
        <f aca="false">+Y133</f>
        <v>0.357142792105391</v>
      </c>
      <c r="Z150" s="299" t="n">
        <f aca="false">+Z133</f>
        <v>0.355842451016764</v>
      </c>
      <c r="AA150" s="397" t="n">
        <f aca="false">+AA133</f>
        <v>0.354471155708064</v>
      </c>
    </row>
    <row r="151" customFormat="false" ht="12.75" hidden="false" customHeight="true" outlineLevel="0" collapsed="false">
      <c r="A151" s="333" t="s">
        <v>391</v>
      </c>
      <c r="B151" s="131"/>
      <c r="C151" s="131"/>
      <c r="D151" s="398" t="n">
        <v>0</v>
      </c>
      <c r="E151" s="398" t="n">
        <v>0</v>
      </c>
      <c r="F151" s="398" t="n">
        <f aca="false">+F150*F$144</f>
        <v>0</v>
      </c>
      <c r="G151" s="398" t="n">
        <f aca="false">+G150*G$144</f>
        <v>15.7873687275535</v>
      </c>
      <c r="H151" s="398" t="n">
        <f aca="false">+H150*H$144</f>
        <v>14.9580756756887</v>
      </c>
      <c r="I151" s="398" t="n">
        <f aca="false">+I150*I$144</f>
        <v>14.1293567145832</v>
      </c>
      <c r="J151" s="398" t="n">
        <f aca="false">+J150*J$144</f>
        <v>14.3269372789408</v>
      </c>
      <c r="K151" s="398" t="n">
        <f aca="false">+K150*K$144</f>
        <v>13.5194117406202</v>
      </c>
      <c r="L151" s="398" t="n">
        <f aca="false">+L150*L$144</f>
        <v>15.6153458735813</v>
      </c>
      <c r="M151" s="398" t="n">
        <f aca="false">+M150*M$144</f>
        <v>15.6365608267655</v>
      </c>
      <c r="N151" s="398" t="n">
        <f aca="false">+N150*N$144</f>
        <v>15.6369279312943</v>
      </c>
      <c r="O151" s="398" t="n">
        <f aca="false">+O150*O$144</f>
        <v>15.5113612881935</v>
      </c>
      <c r="P151" s="398" t="n">
        <f aca="false">+P150*P$144</f>
        <v>15.5268174389818</v>
      </c>
      <c r="Q151" s="398" t="n">
        <f aca="false">+Q150*Q$144</f>
        <v>15.553491918054</v>
      </c>
      <c r="R151" s="398" t="n">
        <f aca="false">+R150*R$144</f>
        <v>15.4429359864576</v>
      </c>
      <c r="S151" s="398" t="n">
        <f aca="false">+S150*S$144</f>
        <v>15.4616782076145</v>
      </c>
      <c r="T151" s="398" t="n">
        <f aca="false">+T150*T$144</f>
        <v>15.4862598883284</v>
      </c>
      <c r="U151" s="398" t="n">
        <f aca="false">+U150*U$144</f>
        <v>15.518727532917</v>
      </c>
      <c r="V151" s="398" t="n">
        <f aca="false">+V150*V$144</f>
        <v>15.5418230396318</v>
      </c>
      <c r="W151" s="398" t="n">
        <f aca="false">+W150*W$144</f>
        <v>15.5570793306004</v>
      </c>
      <c r="X151" s="398" t="n">
        <f aca="false">+X150*X$144</f>
        <v>0</v>
      </c>
      <c r="Y151" s="398" t="n">
        <f aca="false">+Y150*Y$144</f>
        <v>0</v>
      </c>
      <c r="Z151" s="398" t="n">
        <f aca="false">+Z150*Z$144</f>
        <v>0</v>
      </c>
      <c r="AA151" s="399" t="n">
        <f aca="false">+AA150*AA$144</f>
        <v>0</v>
      </c>
    </row>
    <row r="152" customFormat="false" ht="12.75" hidden="false" customHeight="true" outlineLevel="0" collapsed="false">
      <c r="A152" s="333"/>
      <c r="B152" s="131"/>
      <c r="C152" s="131"/>
      <c r="D152" s="302"/>
      <c r="E152" s="302"/>
      <c r="F152" s="302"/>
      <c r="G152" s="302"/>
      <c r="H152" s="302"/>
      <c r="I152" s="302"/>
      <c r="J152" s="302"/>
      <c r="K152" s="302"/>
      <c r="L152" s="302"/>
      <c r="M152" s="302"/>
      <c r="N152" s="302"/>
      <c r="O152" s="302"/>
      <c r="P152" s="302"/>
      <c r="Q152" s="302"/>
      <c r="R152" s="302"/>
      <c r="S152" s="302"/>
      <c r="T152" s="302"/>
      <c r="U152" s="302"/>
      <c r="V152" s="302"/>
      <c r="W152" s="302"/>
      <c r="X152" s="302"/>
      <c r="Y152" s="302"/>
      <c r="Z152" s="302"/>
      <c r="AA152" s="400"/>
    </row>
    <row r="153" customFormat="false" ht="12.75" hidden="false" customHeight="true" outlineLevel="0" collapsed="false">
      <c r="A153" s="330" t="s">
        <v>392</v>
      </c>
      <c r="B153" s="283"/>
      <c r="C153" s="283"/>
      <c r="D153" s="299" t="n">
        <f aca="false">+D138</f>
        <v>0.41539694113151</v>
      </c>
      <c r="E153" s="299" t="n">
        <f aca="false">+E138</f>
        <v>0.420486656893872</v>
      </c>
      <c r="F153" s="299" t="n">
        <f aca="false">+F138</f>
        <v>0.421641100004726</v>
      </c>
      <c r="G153" s="299" t="n">
        <f aca="false">+G138</f>
        <v>0.510354359982986</v>
      </c>
      <c r="H153" s="299" t="n">
        <f aca="false">+H138</f>
        <v>0.515541281990491</v>
      </c>
      <c r="I153" s="299" t="n">
        <f aca="false">+I138</f>
        <v>0.521139259239499</v>
      </c>
      <c r="J153" s="299" t="n">
        <f aca="false">+J138</f>
        <v>0.529716265000522</v>
      </c>
      <c r="K153" s="299" t="n">
        <f aca="false">+K138</f>
        <v>0.536998743803063</v>
      </c>
      <c r="L153" s="299" t="n">
        <f aca="false">+L138</f>
        <v>0.516112960086217</v>
      </c>
      <c r="M153" s="299" t="n">
        <f aca="false">+M138</f>
        <v>0.518843803311307</v>
      </c>
      <c r="N153" s="299" t="n">
        <f aca="false">+N138</f>
        <v>0.52097686046104</v>
      </c>
      <c r="O153" s="299" t="n">
        <f aca="false">+O138</f>
        <v>0.519496347675494</v>
      </c>
      <c r="P153" s="299" t="n">
        <f aca="false">+P138</f>
        <v>0.522078055161283</v>
      </c>
      <c r="Q153" s="299" t="n">
        <f aca="false">+Q138</f>
        <v>0.525000900020052</v>
      </c>
      <c r="R153" s="299" t="n">
        <f aca="false">+R138</f>
        <v>0.524024458974154</v>
      </c>
      <c r="S153" s="299" t="n">
        <f aca="false">+S138</f>
        <v>0.526830247572007</v>
      </c>
      <c r="T153" s="299" t="n">
        <f aca="false">+T138</f>
        <v>0.529878570296244</v>
      </c>
      <c r="U153" s="299" t="n">
        <f aca="false">+U138</f>
        <v>0.533240698392133</v>
      </c>
      <c r="V153" s="299" t="n">
        <f aca="false">+V138</f>
        <v>0.536422536340163</v>
      </c>
      <c r="W153" s="299" t="n">
        <f aca="false">+W138</f>
        <v>0.539457442159992</v>
      </c>
      <c r="X153" s="299" t="n">
        <f aca="false">+X138</f>
        <v>0.453684244571059</v>
      </c>
      <c r="Y153" s="299" t="n">
        <f aca="false">+Y138</f>
        <v>0.455287395576236</v>
      </c>
      <c r="Z153" s="299" t="n">
        <f aca="false">+Z138</f>
        <v>0.456988509501296</v>
      </c>
      <c r="AA153" s="397" t="n">
        <f aca="false">+AA138</f>
        <v>0.458782446157919</v>
      </c>
    </row>
    <row r="154" customFormat="false" ht="12.75" hidden="false" customHeight="true" outlineLevel="0" collapsed="false">
      <c r="A154" s="333" t="s">
        <v>393</v>
      </c>
      <c r="B154" s="131"/>
      <c r="C154" s="131"/>
      <c r="D154" s="398" t="n">
        <v>0</v>
      </c>
      <c r="E154" s="398" t="n">
        <v>0</v>
      </c>
      <c r="F154" s="398" t="n">
        <f aca="false">+F153*F$145</f>
        <v>0</v>
      </c>
      <c r="G154" s="398" t="n">
        <f aca="false">+G153*G$145</f>
        <v>6.49928597758909</v>
      </c>
      <c r="H154" s="398" t="n">
        <f aca="false">+H153*H$145</f>
        <v>6.56534064884016</v>
      </c>
      <c r="I154" s="398" t="n">
        <f aca="false">+I153*I$145</f>
        <v>6.63663004673724</v>
      </c>
      <c r="J154" s="398" t="n">
        <f aca="false">+J153*J$145</f>
        <v>5.0593926933438</v>
      </c>
      <c r="K154" s="398" t="n">
        <f aca="false">+K153*K$145</f>
        <v>5.12894864712024</v>
      </c>
      <c r="L154" s="398" t="n">
        <f aca="false">+L153*L$145</f>
        <v>6.57262088336459</v>
      </c>
      <c r="M154" s="398" t="n">
        <f aca="false">+M153*M$145</f>
        <v>6.60739776090595</v>
      </c>
      <c r="N154" s="398" t="n">
        <f aca="false">+N153*N$145</f>
        <v>6.63456192273091</v>
      </c>
      <c r="O154" s="398" t="n">
        <f aca="false">+O153*O$145</f>
        <v>8.26963476898836</v>
      </c>
      <c r="P154" s="398" t="n">
        <f aca="false">+P153*P$145</f>
        <v>8.31073183941699</v>
      </c>
      <c r="Q154" s="398" t="n">
        <f aca="false">+Q153*Q$145</f>
        <v>8.35725932623492</v>
      </c>
      <c r="R154" s="398" t="n">
        <f aca="false">+R153*R$145</f>
        <v>10.0100589468011</v>
      </c>
      <c r="S154" s="398" t="n">
        <f aca="false">+S153*S$145</f>
        <v>10.06365589018</v>
      </c>
      <c r="T154" s="398" t="n">
        <f aca="false">+T153*T$145</f>
        <v>10.1218857869642</v>
      </c>
      <c r="U154" s="398" t="n">
        <f aca="false">+U153*U$145</f>
        <v>10.1861100800295</v>
      </c>
      <c r="V154" s="398" t="n">
        <f aca="false">+V153*V$145</f>
        <v>10.2468904212397</v>
      </c>
      <c r="W154" s="398" t="n">
        <f aca="false">+W153*W$145</f>
        <v>10.3048640246359</v>
      </c>
      <c r="X154" s="398" t="n">
        <f aca="false">+X153*X$145</f>
        <v>0</v>
      </c>
      <c r="Y154" s="398" t="n">
        <f aca="false">+Y153*Y$145</f>
        <v>0</v>
      </c>
      <c r="Z154" s="398" t="n">
        <f aca="false">+Z153*Z$145</f>
        <v>0</v>
      </c>
      <c r="AA154" s="399" t="n">
        <f aca="false">+AA153*AA$145</f>
        <v>0</v>
      </c>
    </row>
    <row r="155" customFormat="false" ht="12.75" hidden="false" customHeight="true" outlineLevel="0" collapsed="false">
      <c r="A155" s="321"/>
      <c r="B155" s="131"/>
      <c r="C155" s="131"/>
      <c r="D155" s="131"/>
      <c r="E155" s="131"/>
      <c r="F155" s="131"/>
      <c r="G155" s="131"/>
      <c r="H155" s="131"/>
      <c r="I155" s="131"/>
      <c r="J155" s="131"/>
      <c r="K155" s="131"/>
      <c r="L155" s="131"/>
      <c r="M155" s="131"/>
      <c r="N155" s="131"/>
      <c r="O155" s="131"/>
      <c r="P155" s="131"/>
      <c r="Q155" s="131"/>
      <c r="R155" s="131"/>
      <c r="S155" s="131"/>
      <c r="T155" s="131"/>
      <c r="U155" s="131"/>
      <c r="V155" s="131"/>
      <c r="W155" s="131"/>
      <c r="X155" s="131"/>
      <c r="Y155" s="131"/>
      <c r="Z155" s="131"/>
      <c r="AA155" s="324"/>
    </row>
    <row r="156" customFormat="false" ht="12.75" hidden="false" customHeight="true" outlineLevel="0" collapsed="false">
      <c r="A156" s="333" t="s">
        <v>394</v>
      </c>
      <c r="B156" s="131"/>
      <c r="C156" s="131"/>
      <c r="D156" s="401" t="n">
        <v>0</v>
      </c>
      <c r="E156" s="401" t="n">
        <v>0</v>
      </c>
      <c r="F156" s="401" t="n">
        <f aca="false">+F151*IF(SUM(F$15,F$21)&gt;0,F$15/SUM(F$15,F$21),0)+F154*IF(SUM(F$16,F$22)&gt;0,F$16/SUM(F$16,F$22),0)</f>
        <v>0</v>
      </c>
      <c r="G156" s="401" t="n">
        <f aca="false">+G151*IF(SUM(G$15,G$21)&gt;0,G$15/SUM(G$15,G$21),0)+G154*IF(SUM(G$16,G$22)&gt;0,G$16/SUM(G$16,G$22),0)</f>
        <v>22.2866547051426</v>
      </c>
      <c r="H156" s="401" t="n">
        <f aca="false">+H151*IF(SUM(H$15,H$21)&gt;0,H$15/SUM(H$15,H$21),0)+H154*IF(SUM(H$16,H$22)&gt;0,H$16/SUM(H$16,H$22),0)</f>
        <v>21.5234163245289</v>
      </c>
      <c r="I156" s="401" t="n">
        <f aca="false">+I151*IF(SUM(I$15,I$21)&gt;0,I$15/SUM(I$15,I$21),0)+I154*IF(SUM(I$16,I$22)&gt;0,I$16/SUM(I$16,I$22),0)</f>
        <v>20.7659867613204</v>
      </c>
      <c r="J156" s="401" t="n">
        <f aca="false">+J151*IF(SUM(J$15,J$21)&gt;0,J$15/SUM(J$15,J$21),0)+J154*IF(SUM(J$16,J$22)&gt;0,J$16/SUM(J$16,J$22),0)</f>
        <v>19.3863299722846</v>
      </c>
      <c r="K156" s="401" t="n">
        <f aca="false">+K151*IF(SUM(K$15,K$21)&gt;0,K$15/SUM(K$15,K$21),0)+K154*IF(SUM(K$16,K$22)&gt;0,K$16/SUM(K$16,K$22),0)</f>
        <v>18.6483603877404</v>
      </c>
      <c r="L156" s="401" t="n">
        <f aca="false">+L151*IF(SUM(L$15,L$21)&gt;0,L$15/SUM(L$15,L$21),0)+L154*IF(SUM(L$16,L$22)&gt;0,L$16/SUM(L$16,L$22),0)</f>
        <v>0</v>
      </c>
      <c r="M156" s="401" t="n">
        <f aca="false">+M151*IF(SUM(M$15,M$21)&gt;0,M$15/SUM(M$15,M$21),0)+M154*IF(SUM(M$16,M$22)&gt;0,M$16/SUM(M$16,M$22),0)</f>
        <v>0</v>
      </c>
      <c r="N156" s="401" t="n">
        <f aca="false">+N151*IF(SUM(N$15,N$21)&gt;0,N$15/SUM(N$15,N$21),0)+N154*IF(SUM(N$16,N$22)&gt;0,N$16/SUM(N$16,N$22),0)</f>
        <v>0</v>
      </c>
      <c r="O156" s="401" t="n">
        <f aca="false">+O151*IF(SUM(O$15,O$21)&gt;0,O$15/SUM(O$15,O$21),0)+O154*IF(SUM(O$16,O$22)&gt;0,O$16/SUM(O$16,O$22),0)</f>
        <v>0</v>
      </c>
      <c r="P156" s="401" t="n">
        <f aca="false">+P151*IF(SUM(P$15,P$21)&gt;0,P$15/SUM(P$15,P$21),0)+P154*IF(SUM(P$16,P$22)&gt;0,P$16/SUM(P$16,P$22),0)</f>
        <v>0</v>
      </c>
      <c r="Q156" s="401" t="n">
        <f aca="false">+Q151*IF(SUM(Q$15,Q$21)&gt;0,Q$15/SUM(Q$15,Q$21),0)+Q154*IF(SUM(Q$16,Q$22)&gt;0,Q$16/SUM(Q$16,Q$22),0)</f>
        <v>0</v>
      </c>
      <c r="R156" s="401" t="n">
        <f aca="false">+R151*IF(SUM(R$15,R$21)&gt;0,R$15/SUM(R$15,R$21),0)+R154*IF(SUM(R$16,R$22)&gt;0,R$16/SUM(R$16,R$22),0)</f>
        <v>0</v>
      </c>
      <c r="S156" s="401" t="n">
        <f aca="false">+S151*IF(SUM(S$15,S$21)&gt;0,S$15/SUM(S$15,S$21),0)+S154*IF(SUM(S$16,S$22)&gt;0,S$16/SUM(S$16,S$22),0)</f>
        <v>0</v>
      </c>
      <c r="T156" s="401" t="n">
        <f aca="false">+T151*IF(SUM(T$15,T$21)&gt;0,T$15/SUM(T$15,T$21),0)+T154*IF(SUM(T$16,T$22)&gt;0,T$16/SUM(T$16,T$22),0)</f>
        <v>0</v>
      </c>
      <c r="U156" s="401" t="n">
        <f aca="false">+U151*IF(SUM(U$15,U$21)&gt;0,U$15/SUM(U$15,U$21),0)+U154*IF(SUM(U$16,U$22)&gt;0,U$16/SUM(U$16,U$22),0)</f>
        <v>0</v>
      </c>
      <c r="V156" s="401" t="n">
        <f aca="false">+V151*IF(SUM(V$15,V$21)&gt;0,V$15/SUM(V$15,V$21),0)+V154*IF(SUM(V$16,V$22)&gt;0,V$16/SUM(V$16,V$22),0)</f>
        <v>0</v>
      </c>
      <c r="W156" s="401" t="n">
        <f aca="false">+W151*IF(SUM(W$15,W$21)&gt;0,W$15/SUM(W$15,W$21),0)+W154*IF(SUM(W$16,W$22)&gt;0,W$16/SUM(W$16,W$22),0)</f>
        <v>0</v>
      </c>
      <c r="X156" s="401" t="n">
        <f aca="false">+X151*IF(SUM(X$15,X$21)&gt;0,X$15/SUM(X$15,X$21),0)+X154*IF(SUM(X$16,X$22)&gt;0,X$16/SUM(X$16,X$22),0)</f>
        <v>0</v>
      </c>
      <c r="Y156" s="401" t="n">
        <f aca="false">+Y151*IF(SUM(Y$15,Y$21)&gt;0,Y$15/SUM(Y$15,Y$21),0)+Y154*IF(SUM(Y$16,Y$22)&gt;0,Y$16/SUM(Y$16,Y$22),0)</f>
        <v>0</v>
      </c>
      <c r="Z156" s="401" t="n">
        <f aca="false">+Z151*IF(SUM(Z$15,Z$21)&gt;0,Z$15/SUM(Z$15,Z$21),0)+Z154*IF(SUM(Z$16,Z$22)&gt;0,Z$16/SUM(Z$16,Z$22),0)</f>
        <v>0</v>
      </c>
      <c r="AA156" s="402" t="n">
        <f aca="false">+AA151*IF(SUM(AA$15,AA$21)&gt;0,AA$15/SUM(AA$15,AA$21),0)+AA154*IF(SUM(AA$16,AA$22)&gt;0,AA$16/SUM(AA$16,AA$22),0)</f>
        <v>0</v>
      </c>
    </row>
    <row r="157" customFormat="false" ht="12.75" hidden="false" customHeight="true" outlineLevel="0" collapsed="false">
      <c r="A157" s="390" t="s">
        <v>395</v>
      </c>
      <c r="B157" s="391"/>
      <c r="C157" s="391"/>
      <c r="D157" s="403" t="n">
        <f aca="false">SUM(D151,D154)-D156</f>
        <v>0</v>
      </c>
      <c r="E157" s="403" t="n">
        <f aca="false">SUM(E151,E154)-E156</f>
        <v>0</v>
      </c>
      <c r="F157" s="403" t="n">
        <f aca="false">SUM(F151,F154)-F156</f>
        <v>0</v>
      </c>
      <c r="G157" s="403" t="n">
        <f aca="false">SUM(G151,G154)-G156</f>
        <v>0</v>
      </c>
      <c r="H157" s="403" t="n">
        <f aca="false">SUM(H151,H154)-H156</f>
        <v>0</v>
      </c>
      <c r="I157" s="403" t="n">
        <f aca="false">SUM(I151,I154)-I156</f>
        <v>0</v>
      </c>
      <c r="J157" s="403" t="n">
        <f aca="false">SUM(J151,J154)-J156</f>
        <v>0</v>
      </c>
      <c r="K157" s="403" t="n">
        <f aca="false">SUM(K151,K154)-K156</f>
        <v>0</v>
      </c>
      <c r="L157" s="403" t="n">
        <f aca="false">SUM(L151,L154)-L156</f>
        <v>22.1879667569459</v>
      </c>
      <c r="M157" s="403" t="n">
        <f aca="false">SUM(M151,M154)-M156</f>
        <v>22.2439585876715</v>
      </c>
      <c r="N157" s="403" t="n">
        <f aca="false">SUM(N151,N154)-N156</f>
        <v>22.2714898540252</v>
      </c>
      <c r="O157" s="403" t="n">
        <f aca="false">SUM(O151,O154)-O156</f>
        <v>23.7809960571819</v>
      </c>
      <c r="P157" s="403" t="n">
        <f aca="false">SUM(P151,P154)-P156</f>
        <v>23.8375492783988</v>
      </c>
      <c r="Q157" s="403" t="n">
        <f aca="false">SUM(Q151,Q154)-Q156</f>
        <v>23.9107512442889</v>
      </c>
      <c r="R157" s="403" t="n">
        <f aca="false">SUM(R151,R154)-R156</f>
        <v>25.4529949332587</v>
      </c>
      <c r="S157" s="403" t="n">
        <f aca="false">SUM(S151,S154)-S156</f>
        <v>25.5253340977945</v>
      </c>
      <c r="T157" s="403" t="n">
        <f aca="false">SUM(T151,T154)-T156</f>
        <v>25.6081456752926</v>
      </c>
      <c r="U157" s="403" t="n">
        <f aca="false">SUM(U151,U154)-U156</f>
        <v>25.7048376129465</v>
      </c>
      <c r="V157" s="403" t="n">
        <f aca="false">SUM(V151,V154)-V156</f>
        <v>25.7887134608715</v>
      </c>
      <c r="W157" s="403" t="n">
        <f aca="false">SUM(W151,W154)-W156</f>
        <v>25.8619433552364</v>
      </c>
      <c r="X157" s="403" t="n">
        <f aca="false">SUM(X151,X154)-X156</f>
        <v>0</v>
      </c>
      <c r="Y157" s="403" t="n">
        <f aca="false">SUM(Y151,Y154)-Y156</f>
        <v>0</v>
      </c>
      <c r="Z157" s="403" t="n">
        <f aca="false">SUM(Z151,Z154)-Z156</f>
        <v>0</v>
      </c>
      <c r="AA157" s="404" t="n">
        <f aca="false">SUM(AA151,AA154)-AA156</f>
        <v>0</v>
      </c>
    </row>
    <row r="158" customFormat="false" ht="12.75" hidden="false" customHeight="true" outlineLevel="0" collapsed="false">
      <c r="A158" s="161"/>
      <c r="B158" s="131"/>
      <c r="C158" s="131"/>
      <c r="D158" s="401"/>
      <c r="E158" s="401"/>
      <c r="F158" s="401"/>
      <c r="G158" s="401"/>
      <c r="H158" s="401"/>
      <c r="I158" s="401"/>
      <c r="J158" s="401"/>
      <c r="K158" s="401"/>
      <c r="L158" s="401"/>
      <c r="M158" s="401"/>
      <c r="N158" s="401"/>
      <c r="O158" s="401"/>
      <c r="P158" s="401"/>
      <c r="Q158" s="401"/>
      <c r="R158" s="401"/>
      <c r="S158" s="401"/>
      <c r="T158" s="401"/>
      <c r="U158" s="401"/>
      <c r="V158" s="401"/>
      <c r="W158" s="401"/>
      <c r="X158" s="401"/>
      <c r="Y158" s="401"/>
      <c r="Z158" s="401"/>
      <c r="AA158" s="401"/>
    </row>
    <row r="159" customFormat="false" ht="12.75" hidden="false" customHeight="true" outlineLevel="0" collapsed="false">
      <c r="A159" s="405" t="s">
        <v>396</v>
      </c>
      <c r="B159" s="406"/>
      <c r="C159" s="406"/>
      <c r="D159" s="407"/>
      <c r="E159" s="407"/>
      <c r="F159" s="407"/>
      <c r="G159" s="407"/>
      <c r="H159" s="407"/>
      <c r="I159" s="407"/>
      <c r="J159" s="407"/>
      <c r="K159" s="407"/>
      <c r="L159" s="407"/>
      <c r="M159" s="407"/>
      <c r="N159" s="407"/>
      <c r="O159" s="407"/>
      <c r="P159" s="407"/>
      <c r="Q159" s="407"/>
      <c r="R159" s="407"/>
      <c r="S159" s="407"/>
      <c r="T159" s="407"/>
      <c r="U159" s="407"/>
      <c r="V159" s="407"/>
      <c r="W159" s="407"/>
      <c r="X159" s="407"/>
      <c r="Y159" s="407"/>
      <c r="Z159" s="407"/>
      <c r="AA159" s="408"/>
    </row>
    <row r="160" customFormat="false" ht="12.75" hidden="false" customHeight="true" outlineLevel="0" collapsed="false">
      <c r="A160" s="394"/>
      <c r="B160" s="395"/>
      <c r="C160" s="395"/>
      <c r="D160" s="409"/>
      <c r="E160" s="409"/>
      <c r="F160" s="409"/>
      <c r="G160" s="409"/>
      <c r="H160" s="409"/>
      <c r="I160" s="409"/>
      <c r="J160" s="409"/>
      <c r="K160" s="409"/>
      <c r="L160" s="409"/>
      <c r="M160" s="409"/>
      <c r="N160" s="409"/>
      <c r="O160" s="409"/>
      <c r="P160" s="409"/>
      <c r="Q160" s="409"/>
      <c r="R160" s="409"/>
      <c r="S160" s="409"/>
      <c r="T160" s="409"/>
      <c r="U160" s="409"/>
      <c r="V160" s="409"/>
      <c r="W160" s="409"/>
      <c r="X160" s="409"/>
      <c r="Y160" s="409"/>
      <c r="Z160" s="409"/>
      <c r="AA160" s="410"/>
    </row>
    <row r="161" customFormat="false" ht="12.75" hidden="false" customHeight="true" outlineLevel="0" collapsed="false">
      <c r="A161" s="411" t="s">
        <v>397</v>
      </c>
      <c r="B161" s="412" t="s">
        <v>341</v>
      </c>
      <c r="C161" s="412"/>
      <c r="D161" s="401" t="n">
        <f aca="false">+D$156</f>
        <v>0</v>
      </c>
      <c r="E161" s="401" t="n">
        <f aca="false">+E$156</f>
        <v>0</v>
      </c>
      <c r="F161" s="401" t="n">
        <f aca="false">+F$156</f>
        <v>0</v>
      </c>
      <c r="G161" s="401" t="n">
        <f aca="false">+G$156</f>
        <v>22.2866547051426</v>
      </c>
      <c r="H161" s="401" t="n">
        <f aca="false">+H$156</f>
        <v>21.5234163245289</v>
      </c>
      <c r="I161" s="401" t="n">
        <f aca="false">+I$156</f>
        <v>20.7659867613204</v>
      </c>
      <c r="J161" s="401" t="n">
        <f aca="false">+J$156</f>
        <v>19.3863299722846</v>
      </c>
      <c r="K161" s="401" t="n">
        <f aca="false">+K$156</f>
        <v>18.6483603877404</v>
      </c>
      <c r="L161" s="401" t="n">
        <f aca="false">+L$156</f>
        <v>0</v>
      </c>
      <c r="M161" s="401" t="n">
        <f aca="false">+M$156</f>
        <v>0</v>
      </c>
      <c r="N161" s="401" t="n">
        <f aca="false">+N$156</f>
        <v>0</v>
      </c>
      <c r="O161" s="401" t="n">
        <f aca="false">+O$156</f>
        <v>0</v>
      </c>
      <c r="P161" s="401" t="n">
        <f aca="false">+P$156</f>
        <v>0</v>
      </c>
      <c r="Q161" s="401" t="n">
        <f aca="false">+Q$156</f>
        <v>0</v>
      </c>
      <c r="R161" s="401" t="n">
        <f aca="false">+R$156</f>
        <v>0</v>
      </c>
      <c r="S161" s="401" t="n">
        <f aca="false">+S$156</f>
        <v>0</v>
      </c>
      <c r="T161" s="401" t="n">
        <f aca="false">+T$156</f>
        <v>0</v>
      </c>
      <c r="U161" s="401" t="n">
        <f aca="false">+U$156</f>
        <v>0</v>
      </c>
      <c r="V161" s="401" t="n">
        <f aca="false">+V$156</f>
        <v>0</v>
      </c>
      <c r="W161" s="401" t="n">
        <f aca="false">+W$156</f>
        <v>0</v>
      </c>
      <c r="X161" s="401" t="n">
        <f aca="false">+X$156</f>
        <v>0</v>
      </c>
      <c r="Y161" s="401" t="n">
        <f aca="false">+Y$156</f>
        <v>0</v>
      </c>
      <c r="Z161" s="401" t="n">
        <f aca="false">+Z$156</f>
        <v>0</v>
      </c>
      <c r="AA161" s="402" t="n">
        <f aca="false">+AA$156</f>
        <v>0</v>
      </c>
    </row>
    <row r="162" customFormat="false" ht="12.75" hidden="false" customHeight="true" outlineLevel="0" collapsed="false">
      <c r="A162" s="411"/>
      <c r="B162" s="412"/>
      <c r="C162" s="412"/>
      <c r="D162" s="401"/>
      <c r="E162" s="401"/>
      <c r="F162" s="401"/>
      <c r="G162" s="401"/>
      <c r="H162" s="401"/>
      <c r="I162" s="401"/>
      <c r="J162" s="401"/>
      <c r="K162" s="401"/>
      <c r="L162" s="401"/>
      <c r="M162" s="401"/>
      <c r="N162" s="401"/>
      <c r="O162" s="401"/>
      <c r="P162" s="401"/>
      <c r="Q162" s="401"/>
      <c r="R162" s="401"/>
      <c r="S162" s="401"/>
      <c r="T162" s="401"/>
      <c r="U162" s="401"/>
      <c r="V162" s="401"/>
      <c r="W162" s="401"/>
      <c r="X162" s="401"/>
      <c r="Y162" s="401"/>
      <c r="Z162" s="401"/>
      <c r="AA162" s="402"/>
    </row>
    <row r="163" customFormat="false" ht="12.75" hidden="false" customHeight="true" outlineLevel="0" collapsed="false">
      <c r="A163" s="411" t="s">
        <v>398</v>
      </c>
      <c r="B163" s="412" t="s">
        <v>341</v>
      </c>
      <c r="C163" s="412"/>
      <c r="D163" s="413" t="n">
        <f aca="false">-D$58</f>
        <v>-0</v>
      </c>
      <c r="E163" s="413" t="n">
        <f aca="false">-E$58</f>
        <v>-0</v>
      </c>
      <c r="F163" s="413" t="n">
        <f aca="false">-F$58</f>
        <v>-0</v>
      </c>
      <c r="G163" s="413" t="n">
        <f aca="false">-G$58</f>
        <v>-16.6744428640869</v>
      </c>
      <c r="H163" s="413" t="n">
        <f aca="false">-H$58</f>
        <v>-16.6548328074183</v>
      </c>
      <c r="I163" s="413" t="n">
        <f aca="false">-I$58</f>
        <v>-16.6363207994655</v>
      </c>
      <c r="J163" s="413" t="n">
        <f aca="false">-J$58</f>
        <v>-16.5436842793126</v>
      </c>
      <c r="K163" s="413" t="n">
        <f aca="false">-K$58</f>
        <v>-16.5486584711867</v>
      </c>
      <c r="L163" s="413" t="n">
        <f aca="false">-L$58</f>
        <v>-0</v>
      </c>
      <c r="M163" s="413" t="n">
        <f aca="false">-M$58</f>
        <v>-0</v>
      </c>
      <c r="N163" s="413" t="n">
        <f aca="false">-N$58</f>
        <v>-0</v>
      </c>
      <c r="O163" s="413" t="n">
        <f aca="false">-O$58</f>
        <v>-0</v>
      </c>
      <c r="P163" s="413" t="n">
        <f aca="false">-P$58</f>
        <v>-0</v>
      </c>
      <c r="Q163" s="413" t="n">
        <f aca="false">-Q$58</f>
        <v>-0</v>
      </c>
      <c r="R163" s="413" t="n">
        <f aca="false">-R$58</f>
        <v>-0</v>
      </c>
      <c r="S163" s="413" t="n">
        <f aca="false">-S$58</f>
        <v>-0</v>
      </c>
      <c r="T163" s="413" t="n">
        <f aca="false">-T$58</f>
        <v>-0</v>
      </c>
      <c r="U163" s="413" t="n">
        <f aca="false">-U$58</f>
        <v>-0</v>
      </c>
      <c r="V163" s="413" t="n">
        <f aca="false">-V$58</f>
        <v>-0</v>
      </c>
      <c r="W163" s="413" t="n">
        <f aca="false">-W$58</f>
        <v>-0</v>
      </c>
      <c r="X163" s="413" t="n">
        <f aca="false">-X$58</f>
        <v>-0</v>
      </c>
      <c r="Y163" s="413" t="n">
        <f aca="false">-Y$58</f>
        <v>-0</v>
      </c>
      <c r="Z163" s="413" t="n">
        <f aca="false">-Z$58</f>
        <v>-0</v>
      </c>
      <c r="AA163" s="414" t="n">
        <f aca="false">-AA$58</f>
        <v>-0</v>
      </c>
    </row>
    <row r="164" customFormat="false" ht="12.75" hidden="false" customHeight="true" outlineLevel="0" collapsed="false">
      <c r="A164" s="415"/>
      <c r="B164" s="350"/>
      <c r="C164" s="350"/>
      <c r="D164" s="416"/>
      <c r="E164" s="416"/>
      <c r="F164" s="416"/>
      <c r="G164" s="416"/>
      <c r="H164" s="416"/>
      <c r="I164" s="416"/>
      <c r="J164" s="416"/>
      <c r="K164" s="416"/>
      <c r="L164" s="416"/>
      <c r="M164" s="416"/>
      <c r="N164" s="416"/>
      <c r="O164" s="416"/>
      <c r="P164" s="416"/>
      <c r="Q164" s="416"/>
      <c r="R164" s="416"/>
      <c r="S164" s="416"/>
      <c r="T164" s="416"/>
      <c r="U164" s="416"/>
      <c r="V164" s="416"/>
      <c r="W164" s="416"/>
      <c r="X164" s="416"/>
      <c r="Y164" s="416"/>
      <c r="Z164" s="416"/>
      <c r="AA164" s="417"/>
    </row>
    <row r="165" customFormat="false" ht="12.75" hidden="false" customHeight="true" outlineLevel="0" collapsed="false">
      <c r="A165" s="161"/>
      <c r="B165" s="131"/>
      <c r="C165" s="131"/>
      <c r="D165" s="401"/>
      <c r="E165" s="401"/>
      <c r="F165" s="401"/>
      <c r="G165" s="401"/>
      <c r="H165" s="401"/>
      <c r="I165" s="401"/>
      <c r="J165" s="401"/>
      <c r="K165" s="401"/>
      <c r="L165" s="401"/>
      <c r="M165" s="401"/>
      <c r="N165" s="401"/>
      <c r="O165" s="401"/>
      <c r="P165" s="401"/>
      <c r="Q165" s="401"/>
      <c r="R165" s="401"/>
      <c r="S165" s="401"/>
      <c r="T165" s="401"/>
      <c r="U165" s="401"/>
      <c r="V165" s="401"/>
      <c r="W165" s="401"/>
      <c r="X165" s="401"/>
      <c r="Y165" s="401"/>
      <c r="Z165" s="401"/>
      <c r="AA165" s="401"/>
    </row>
    <row r="166" customFormat="false" ht="12.75" hidden="false" customHeight="true" outlineLevel="0" collapsed="false">
      <c r="A166" s="161"/>
      <c r="B166" s="131"/>
      <c r="C166" s="131"/>
      <c r="D166" s="401"/>
      <c r="E166" s="401"/>
      <c r="F166" s="401"/>
      <c r="G166" s="401"/>
      <c r="H166" s="401"/>
      <c r="I166" s="401"/>
      <c r="J166" s="401"/>
      <c r="K166" s="401"/>
      <c r="L166" s="401"/>
      <c r="M166" s="401"/>
      <c r="N166" s="401"/>
      <c r="O166" s="401"/>
      <c r="P166" s="401"/>
      <c r="Q166" s="401"/>
      <c r="R166" s="401"/>
      <c r="S166" s="401"/>
      <c r="T166" s="401"/>
      <c r="U166" s="401"/>
      <c r="V166" s="401"/>
      <c r="W166" s="401"/>
      <c r="X166" s="401"/>
      <c r="Y166" s="401"/>
      <c r="Z166" s="401"/>
      <c r="AA166" s="401"/>
    </row>
    <row r="167" customFormat="false" ht="12.75" hidden="false" customHeight="true" outlineLevel="0" collapsed="false">
      <c r="A167" s="418" t="s">
        <v>399</v>
      </c>
      <c r="B167" s="131"/>
      <c r="C167" s="131"/>
      <c r="D167" s="419"/>
      <c r="E167" s="401"/>
      <c r="F167" s="401"/>
      <c r="G167" s="401"/>
      <c r="H167" s="401"/>
      <c r="I167" s="401"/>
      <c r="J167" s="401"/>
      <c r="K167" s="401"/>
      <c r="L167" s="401"/>
      <c r="M167" s="401"/>
      <c r="N167" s="401"/>
      <c r="O167" s="401"/>
      <c r="P167" s="401"/>
      <c r="Q167" s="401"/>
      <c r="R167" s="401"/>
      <c r="S167" s="401"/>
      <c r="T167" s="401"/>
      <c r="U167" s="401"/>
      <c r="V167" s="401"/>
      <c r="W167" s="401"/>
      <c r="X167" s="401"/>
      <c r="Y167" s="401"/>
      <c r="Z167" s="401"/>
      <c r="AA167" s="401"/>
    </row>
    <row r="168" customFormat="false" ht="12.75" hidden="false" customHeight="true" outlineLevel="0" collapsed="false">
      <c r="A168" s="309" t="s">
        <v>85</v>
      </c>
      <c r="B168" s="310"/>
      <c r="C168" s="310"/>
      <c r="D168" s="310"/>
      <c r="E168" s="310"/>
      <c r="F168" s="310"/>
      <c r="G168" s="310"/>
      <c r="H168" s="310"/>
      <c r="I168" s="310"/>
      <c r="J168" s="310"/>
      <c r="K168" s="310"/>
      <c r="L168" s="310"/>
      <c r="M168" s="310"/>
      <c r="N168" s="310"/>
      <c r="O168" s="310"/>
      <c r="P168" s="310"/>
      <c r="Q168" s="310"/>
      <c r="R168" s="310"/>
      <c r="S168" s="310"/>
      <c r="T168" s="310"/>
      <c r="U168" s="310"/>
      <c r="V168" s="310"/>
      <c r="W168" s="310"/>
      <c r="X168" s="310"/>
      <c r="Y168" s="310"/>
      <c r="Z168" s="310"/>
      <c r="AA168" s="311"/>
    </row>
    <row r="169" customFormat="false" ht="12.75" hidden="false" customHeight="true" outlineLevel="0" collapsed="false">
      <c r="A169" s="420"/>
      <c r="B169" s="421"/>
      <c r="C169" s="421"/>
      <c r="D169" s="421"/>
      <c r="E169" s="131"/>
      <c r="F169" s="172"/>
      <c r="G169" s="131"/>
      <c r="H169" s="140"/>
      <c r="I169" s="131"/>
      <c r="J169" s="131"/>
      <c r="K169" s="131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  <c r="V169" s="131"/>
      <c r="W169" s="131"/>
      <c r="X169" s="131"/>
      <c r="Y169" s="131"/>
      <c r="Z169" s="131"/>
      <c r="AA169" s="324"/>
    </row>
    <row r="170" customFormat="false" ht="12.75" hidden="false" customHeight="true" outlineLevel="0" collapsed="false">
      <c r="A170" s="422" t="s">
        <v>400</v>
      </c>
      <c r="B170" s="423" t="s">
        <v>341</v>
      </c>
      <c r="C170" s="423"/>
      <c r="D170" s="424" t="n">
        <v>0</v>
      </c>
      <c r="E170" s="424" t="n">
        <v>0</v>
      </c>
      <c r="F170" s="424" t="n">
        <v>0</v>
      </c>
      <c r="G170" s="425" t="n">
        <v>0</v>
      </c>
      <c r="H170" s="425" t="n">
        <v>0</v>
      </c>
      <c r="I170" s="424" t="n">
        <v>0</v>
      </c>
      <c r="J170" s="424" t="n">
        <v>0</v>
      </c>
      <c r="K170" s="424" t="n">
        <v>0</v>
      </c>
      <c r="L170" s="424" t="n">
        <v>0</v>
      </c>
      <c r="M170" s="424" t="n">
        <v>0</v>
      </c>
      <c r="N170" s="424" t="n">
        <v>0</v>
      </c>
      <c r="O170" s="424" t="n">
        <v>0</v>
      </c>
      <c r="P170" s="424" t="n">
        <v>0</v>
      </c>
      <c r="Q170" s="424" t="n">
        <v>0</v>
      </c>
      <c r="R170" s="424" t="n">
        <v>0</v>
      </c>
      <c r="S170" s="424" t="n">
        <v>0</v>
      </c>
      <c r="T170" s="424" t="n">
        <v>0</v>
      </c>
      <c r="U170" s="424" t="n">
        <v>0</v>
      </c>
      <c r="V170" s="424" t="n">
        <v>0</v>
      </c>
      <c r="W170" s="424" t="n">
        <v>0</v>
      </c>
      <c r="X170" s="424" t="n">
        <v>0</v>
      </c>
      <c r="Y170" s="424" t="n">
        <v>0</v>
      </c>
      <c r="Z170" s="424" t="n">
        <v>0</v>
      </c>
      <c r="AA170" s="426" t="n">
        <v>0</v>
      </c>
    </row>
    <row r="171" customFormat="false" ht="12.75" hidden="false" customHeight="true" outlineLevel="0" collapsed="false">
      <c r="A171" s="161"/>
      <c r="B171" s="427"/>
      <c r="C171" s="427"/>
      <c r="D171" s="427"/>
      <c r="E171" s="131"/>
      <c r="F171" s="218"/>
      <c r="G171" s="140"/>
      <c r="H171" s="140"/>
      <c r="I171" s="131"/>
      <c r="J171" s="131"/>
      <c r="K171" s="131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  <c r="V171" s="131"/>
      <c r="W171" s="131"/>
      <c r="X171" s="131"/>
      <c r="Y171" s="131"/>
      <c r="Z171" s="131"/>
      <c r="AA171" s="131"/>
    </row>
    <row r="172" customFormat="false" ht="12.75" hidden="false" customHeight="true" outlineLevel="0" collapsed="false">
      <c r="A172" s="309" t="s">
        <v>86</v>
      </c>
      <c r="B172" s="310"/>
      <c r="C172" s="310"/>
      <c r="D172" s="310"/>
      <c r="E172" s="310"/>
      <c r="F172" s="310"/>
      <c r="G172" s="310"/>
      <c r="H172" s="310"/>
      <c r="I172" s="310"/>
      <c r="J172" s="310"/>
      <c r="K172" s="310"/>
      <c r="L172" s="310"/>
      <c r="M172" s="310"/>
      <c r="N172" s="310"/>
      <c r="O172" s="310"/>
      <c r="P172" s="310"/>
      <c r="Q172" s="310"/>
      <c r="R172" s="310"/>
      <c r="S172" s="310"/>
      <c r="T172" s="310"/>
      <c r="U172" s="310"/>
      <c r="V172" s="310"/>
      <c r="W172" s="310"/>
      <c r="X172" s="310"/>
      <c r="Y172" s="310"/>
      <c r="Z172" s="310"/>
      <c r="AA172" s="311"/>
    </row>
    <row r="173" customFormat="false" ht="12.75" hidden="false" customHeight="true" outlineLevel="0" collapsed="false">
      <c r="A173" s="333"/>
      <c r="B173" s="131"/>
      <c r="C173" s="131"/>
      <c r="D173" s="131"/>
      <c r="E173" s="131"/>
      <c r="F173" s="131"/>
      <c r="G173" s="131"/>
      <c r="H173" s="131"/>
      <c r="I173" s="131"/>
      <c r="J173" s="131"/>
      <c r="K173" s="131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31"/>
      <c r="W173" s="131"/>
      <c r="X173" s="131"/>
      <c r="Y173" s="131"/>
      <c r="Z173" s="131"/>
      <c r="AA173" s="324"/>
    </row>
    <row r="174" customFormat="false" ht="12.75" hidden="false" customHeight="true" outlineLevel="0" collapsed="false">
      <c r="A174" s="338" t="s">
        <v>401</v>
      </c>
      <c r="B174" s="316"/>
      <c r="C174" s="316"/>
      <c r="D174" s="316"/>
      <c r="E174" s="316"/>
      <c r="F174" s="316"/>
      <c r="G174" s="316"/>
      <c r="H174" s="316"/>
      <c r="I174" s="316"/>
      <c r="J174" s="316"/>
      <c r="K174" s="316"/>
      <c r="L174" s="316"/>
      <c r="M174" s="316"/>
      <c r="N174" s="316"/>
      <c r="O174" s="316"/>
      <c r="P174" s="316"/>
      <c r="Q174" s="316"/>
      <c r="R174" s="316"/>
      <c r="S174" s="316"/>
      <c r="T174" s="316"/>
      <c r="U174" s="316"/>
      <c r="V174" s="316"/>
      <c r="W174" s="316"/>
      <c r="X174" s="316"/>
      <c r="Y174" s="316"/>
      <c r="Z174" s="316"/>
      <c r="AA174" s="339"/>
    </row>
    <row r="175" customFormat="false" ht="12.75" hidden="false" customHeight="true" outlineLevel="0" collapsed="false">
      <c r="A175" s="315" t="s">
        <v>342</v>
      </c>
      <c r="B175" s="316"/>
      <c r="C175" s="316"/>
      <c r="D175" s="340" t="n">
        <f aca="false">+D45-D54</f>
        <v>0</v>
      </c>
      <c r="E175" s="340" t="n">
        <f aca="false">+E45-E54</f>
        <v>0</v>
      </c>
      <c r="F175" s="340" t="n">
        <f aca="false">+F45-F54</f>
        <v>0</v>
      </c>
      <c r="G175" s="340" t="n">
        <f aca="false">+G45-G54</f>
        <v>0</v>
      </c>
      <c r="H175" s="340" t="n">
        <f aca="false">+H45-H54</f>
        <v>0</v>
      </c>
      <c r="I175" s="340" t="n">
        <f aca="false">+I45-I54</f>
        <v>0</v>
      </c>
      <c r="J175" s="340" t="n">
        <f aca="false">+J45-J54</f>
        <v>0</v>
      </c>
      <c r="K175" s="340" t="n">
        <f aca="false">+K45-K54</f>
        <v>0</v>
      </c>
      <c r="L175" s="340" t="n">
        <f aca="false">+L45-L54</f>
        <v>6.0077628259583</v>
      </c>
      <c r="M175" s="340" t="n">
        <f aca="false">+M45-M54</f>
        <v>6.0077628259583</v>
      </c>
      <c r="N175" s="340" t="n">
        <f aca="false">+N45-N54</f>
        <v>6.0077628259583</v>
      </c>
      <c r="O175" s="340" t="n">
        <f aca="false">+O45-O54</f>
        <v>6.0077628259583</v>
      </c>
      <c r="P175" s="340" t="n">
        <f aca="false">+P45-P54</f>
        <v>6.0077628259583</v>
      </c>
      <c r="Q175" s="340" t="n">
        <f aca="false">+Q45-Q54</f>
        <v>6.0077628259583</v>
      </c>
      <c r="R175" s="340" t="n">
        <f aca="false">+R45-R54</f>
        <v>6.0077628259583</v>
      </c>
      <c r="S175" s="340" t="n">
        <f aca="false">+S45-S54</f>
        <v>6.0077628259583</v>
      </c>
      <c r="T175" s="340" t="n">
        <f aca="false">+T45-T54</f>
        <v>6.0077628259583</v>
      </c>
      <c r="U175" s="340" t="n">
        <f aca="false">+U45-U54</f>
        <v>6.0077628259583</v>
      </c>
      <c r="V175" s="340" t="n">
        <f aca="false">+V45-V54</f>
        <v>6.0077628259583</v>
      </c>
      <c r="W175" s="340" t="n">
        <f aca="false">+W45-W54</f>
        <v>6.0077628259583</v>
      </c>
      <c r="X175" s="340" t="n">
        <f aca="false">+X45-X54</f>
        <v>0</v>
      </c>
      <c r="Y175" s="340" t="n">
        <f aca="false">+Y45-Y54</f>
        <v>0</v>
      </c>
      <c r="Z175" s="340" t="n">
        <f aca="false">+Z45-Z54</f>
        <v>0</v>
      </c>
      <c r="AA175" s="341" t="n">
        <f aca="false">+AA45-AA54</f>
        <v>0</v>
      </c>
    </row>
    <row r="176" customFormat="false" ht="12.75" hidden="false" customHeight="true" outlineLevel="0" collapsed="false">
      <c r="A176" s="342" t="s">
        <v>343</v>
      </c>
      <c r="B176" s="343"/>
      <c r="C176" s="343"/>
      <c r="D176" s="344" t="n">
        <f aca="false">+D46-D55</f>
        <v>0</v>
      </c>
      <c r="E176" s="344" t="n">
        <f aca="false">+E46-E55</f>
        <v>0</v>
      </c>
      <c r="F176" s="344" t="n">
        <f aca="false">+F46-F55</f>
        <v>0</v>
      </c>
      <c r="G176" s="344" t="n">
        <f aca="false">+G46-G55</f>
        <v>0</v>
      </c>
      <c r="H176" s="344" t="n">
        <f aca="false">+H46-H55</f>
        <v>0</v>
      </c>
      <c r="I176" s="344" t="n">
        <f aca="false">+I46-I55</f>
        <v>0</v>
      </c>
      <c r="J176" s="344" t="n">
        <f aca="false">+J46-J55</f>
        <v>0</v>
      </c>
      <c r="K176" s="344" t="n">
        <f aca="false">+K46-K55</f>
        <v>0</v>
      </c>
      <c r="L176" s="344" t="n">
        <f aca="false">+L46-L55</f>
        <v>6.44730246143298</v>
      </c>
      <c r="M176" s="344" t="n">
        <f aca="false">+M46-M55</f>
        <v>6.53226964161165</v>
      </c>
      <c r="N176" s="344" t="n">
        <f aca="false">+N46-N55</f>
        <v>6.61690388774085</v>
      </c>
      <c r="O176" s="344" t="n">
        <f aca="false">+O46-O55</f>
        <v>6.70131443545414</v>
      </c>
      <c r="P176" s="344" t="n">
        <f aca="false">+P46-P55</f>
        <v>6.78582684684548</v>
      </c>
      <c r="Q176" s="344" t="n">
        <f aca="false">+Q46-Q55</f>
        <v>6.8707280950306</v>
      </c>
      <c r="R176" s="344" t="n">
        <f aca="false">+R46-R55</f>
        <v>6.95693434515272</v>
      </c>
      <c r="S176" s="344" t="n">
        <f aca="false">+S46-S55</f>
        <v>7.04545124605561</v>
      </c>
      <c r="T176" s="344" t="n">
        <f aca="false">+T46-T55</f>
        <v>7.13650015041844</v>
      </c>
      <c r="U176" s="344" t="n">
        <f aca="false">+U46-U55</f>
        <v>7.23053522420366</v>
      </c>
      <c r="V176" s="344" t="n">
        <f aca="false">+V46-V55</f>
        <v>7.32758269149309</v>
      </c>
      <c r="W176" s="344" t="n">
        <f aca="false">+W46-W55</f>
        <v>7.42719679120675</v>
      </c>
      <c r="X176" s="344" t="n">
        <f aca="false">+X46-X55</f>
        <v>0</v>
      </c>
      <c r="Y176" s="344" t="n">
        <f aca="false">+Y46-Y55</f>
        <v>0</v>
      </c>
      <c r="Z176" s="344" t="n">
        <f aca="false">+Z46-Z55</f>
        <v>0</v>
      </c>
      <c r="AA176" s="345" t="n">
        <f aca="false">+AA46-AA55</f>
        <v>0</v>
      </c>
    </row>
    <row r="177" customFormat="false" ht="12.75" hidden="false" customHeight="true" outlineLevel="0" collapsed="false">
      <c r="A177" s="315" t="s">
        <v>346</v>
      </c>
      <c r="B177" s="316"/>
      <c r="C177" s="316"/>
      <c r="D177" s="347" t="n">
        <f aca="false">+SUM(D175:D176)</f>
        <v>0</v>
      </c>
      <c r="E177" s="347" t="n">
        <f aca="false">+SUM(E175:E176)</f>
        <v>0</v>
      </c>
      <c r="F177" s="347" t="n">
        <f aca="false">+SUM(F175:F176)</f>
        <v>0</v>
      </c>
      <c r="G177" s="347" t="n">
        <f aca="false">+SUM(G175:G176)</f>
        <v>0</v>
      </c>
      <c r="H177" s="347" t="n">
        <f aca="false">+SUM(H175:H176)</f>
        <v>0</v>
      </c>
      <c r="I177" s="347" t="n">
        <f aca="false">+SUM(I175:I176)</f>
        <v>0</v>
      </c>
      <c r="J177" s="347" t="n">
        <f aca="false">+SUM(J175:J176)</f>
        <v>0</v>
      </c>
      <c r="K177" s="347" t="n">
        <f aca="false">+SUM(K175:K176)</f>
        <v>0</v>
      </c>
      <c r="L177" s="347" t="n">
        <f aca="false">+SUM(L175:L176)</f>
        <v>12.4550652873913</v>
      </c>
      <c r="M177" s="347" t="n">
        <f aca="false">+SUM(M175:M176)</f>
        <v>12.54003246757</v>
      </c>
      <c r="N177" s="347" t="n">
        <f aca="false">+SUM(N175:N176)</f>
        <v>12.6246667136991</v>
      </c>
      <c r="O177" s="347" t="n">
        <f aca="false">+SUM(O175:O176)</f>
        <v>12.7090772614124</v>
      </c>
      <c r="P177" s="347" t="n">
        <f aca="false">+SUM(P175:P176)</f>
        <v>12.7935896728038</v>
      </c>
      <c r="Q177" s="347" t="n">
        <f aca="false">+SUM(Q175:Q176)</f>
        <v>12.8784909209889</v>
      </c>
      <c r="R177" s="347" t="n">
        <f aca="false">+SUM(R175:R176)</f>
        <v>12.964697171111</v>
      </c>
      <c r="S177" s="347" t="n">
        <f aca="false">+SUM(S175:S176)</f>
        <v>13.0532140720139</v>
      </c>
      <c r="T177" s="347" t="n">
        <f aca="false">+SUM(T175:T176)</f>
        <v>13.1442629763767</v>
      </c>
      <c r="U177" s="347" t="n">
        <f aca="false">+SUM(U175:U176)</f>
        <v>13.238298050162</v>
      </c>
      <c r="V177" s="347" t="n">
        <f aca="false">+SUM(V175:V176)</f>
        <v>13.3353455174514</v>
      </c>
      <c r="W177" s="347" t="n">
        <f aca="false">+SUM(W175:W176)</f>
        <v>13.4349596171651</v>
      </c>
      <c r="X177" s="347" t="n">
        <f aca="false">+SUM(X175:X176)</f>
        <v>0</v>
      </c>
      <c r="Y177" s="347" t="n">
        <f aca="false">+SUM(Y175:Y176)</f>
        <v>0</v>
      </c>
      <c r="Z177" s="347" t="n">
        <f aca="false">+SUM(Z175:Z176)</f>
        <v>0</v>
      </c>
      <c r="AA177" s="348" t="n">
        <f aca="false">+SUM(AA175:AA176)</f>
        <v>0</v>
      </c>
    </row>
    <row r="178" customFormat="false" ht="12.75" hidden="false" customHeight="true" outlineLevel="0" collapsed="false">
      <c r="A178" s="315"/>
      <c r="B178" s="316"/>
      <c r="C178" s="316"/>
      <c r="D178" s="347"/>
      <c r="E178" s="347"/>
      <c r="F178" s="347"/>
      <c r="G178" s="347"/>
      <c r="H178" s="347"/>
      <c r="I178" s="347"/>
      <c r="J178" s="347"/>
      <c r="K178" s="347"/>
      <c r="L178" s="347"/>
      <c r="M178" s="347"/>
      <c r="N178" s="347"/>
      <c r="O178" s="347"/>
      <c r="P178" s="347"/>
      <c r="Q178" s="347"/>
      <c r="R178" s="347"/>
      <c r="S178" s="347"/>
      <c r="T178" s="347"/>
      <c r="U178" s="347"/>
      <c r="V178" s="347"/>
      <c r="W178" s="347"/>
      <c r="X178" s="347"/>
      <c r="Y178" s="347"/>
      <c r="Z178" s="347"/>
      <c r="AA178" s="348"/>
    </row>
    <row r="179" customFormat="false" ht="12.75" hidden="false" customHeight="true" outlineLevel="0" collapsed="false">
      <c r="A179" s="422" t="s">
        <v>402</v>
      </c>
      <c r="B179" s="423" t="s">
        <v>341</v>
      </c>
      <c r="C179" s="423"/>
      <c r="D179" s="428" t="n">
        <f aca="false">+D177</f>
        <v>0</v>
      </c>
      <c r="E179" s="428" t="n">
        <f aca="false">+E177</f>
        <v>0</v>
      </c>
      <c r="F179" s="428" t="n">
        <f aca="false">+F177</f>
        <v>0</v>
      </c>
      <c r="G179" s="428" t="n">
        <f aca="false">+G177</f>
        <v>0</v>
      </c>
      <c r="H179" s="428" t="n">
        <f aca="false">+H177</f>
        <v>0</v>
      </c>
      <c r="I179" s="428" t="n">
        <f aca="false">+I177</f>
        <v>0</v>
      </c>
      <c r="J179" s="428" t="n">
        <f aca="false">+J177</f>
        <v>0</v>
      </c>
      <c r="K179" s="428" t="n">
        <f aca="false">+K177</f>
        <v>0</v>
      </c>
      <c r="L179" s="428" t="n">
        <f aca="false">+L177</f>
        <v>12.4550652873913</v>
      </c>
      <c r="M179" s="428" t="n">
        <f aca="false">+M177</f>
        <v>12.54003246757</v>
      </c>
      <c r="N179" s="428" t="n">
        <f aca="false">+N177</f>
        <v>12.6246667136991</v>
      </c>
      <c r="O179" s="428" t="n">
        <f aca="false">+O177</f>
        <v>12.7090772614124</v>
      </c>
      <c r="P179" s="428" t="n">
        <f aca="false">+P177</f>
        <v>12.7935896728038</v>
      </c>
      <c r="Q179" s="428" t="n">
        <f aca="false">+Q177</f>
        <v>12.8784909209889</v>
      </c>
      <c r="R179" s="428" t="n">
        <f aca="false">+R177</f>
        <v>12.964697171111</v>
      </c>
      <c r="S179" s="428" t="n">
        <f aca="false">+S177</f>
        <v>13.0532140720139</v>
      </c>
      <c r="T179" s="428" t="n">
        <f aca="false">+T177</f>
        <v>13.1442629763767</v>
      </c>
      <c r="U179" s="428" t="n">
        <f aca="false">+U177</f>
        <v>13.238298050162</v>
      </c>
      <c r="V179" s="428" t="n">
        <f aca="false">+V177</f>
        <v>13.3353455174514</v>
      </c>
      <c r="W179" s="428" t="n">
        <f aca="false">+W177</f>
        <v>13.4349596171651</v>
      </c>
      <c r="X179" s="428" t="n">
        <f aca="false">+X177</f>
        <v>0</v>
      </c>
      <c r="Y179" s="428" t="n">
        <f aca="false">+Y177</f>
        <v>0</v>
      </c>
      <c r="Z179" s="428" t="n">
        <f aca="false">+Z177</f>
        <v>0</v>
      </c>
      <c r="AA179" s="429" t="n">
        <f aca="false">+AA177</f>
        <v>0</v>
      </c>
    </row>
    <row r="180" customFormat="false" ht="12.75" hidden="false" customHeight="true" outlineLevel="0" collapsed="false">
      <c r="A180" s="430"/>
      <c r="B180" s="316"/>
      <c r="C180" s="316"/>
      <c r="D180" s="347"/>
      <c r="E180" s="347"/>
      <c r="F180" s="347"/>
      <c r="G180" s="347"/>
      <c r="H180" s="347"/>
      <c r="I180" s="347"/>
      <c r="J180" s="347"/>
      <c r="K180" s="347"/>
      <c r="L180" s="347"/>
      <c r="M180" s="347"/>
      <c r="N180" s="347"/>
      <c r="O180" s="347"/>
      <c r="P180" s="347"/>
      <c r="Q180" s="347"/>
      <c r="R180" s="347"/>
      <c r="S180" s="347"/>
      <c r="T180" s="347"/>
      <c r="U180" s="347"/>
      <c r="V180" s="347"/>
      <c r="W180" s="347"/>
      <c r="X180" s="347"/>
      <c r="Y180" s="347"/>
      <c r="Z180" s="347"/>
      <c r="AA180" s="347"/>
    </row>
    <row r="181" customFormat="false" ht="12.75" hidden="false" customHeight="true" outlineLevel="0" collapsed="false">
      <c r="A181" s="309" t="s">
        <v>403</v>
      </c>
      <c r="B181" s="310"/>
      <c r="C181" s="310"/>
      <c r="D181" s="310"/>
      <c r="E181" s="310"/>
      <c r="F181" s="310"/>
      <c r="G181" s="310"/>
      <c r="H181" s="310"/>
      <c r="I181" s="310"/>
      <c r="J181" s="310"/>
      <c r="K181" s="310"/>
      <c r="L181" s="310"/>
      <c r="M181" s="310"/>
      <c r="N181" s="310"/>
      <c r="O181" s="310"/>
      <c r="P181" s="310"/>
      <c r="Q181" s="310"/>
      <c r="R181" s="310"/>
      <c r="S181" s="310"/>
      <c r="T181" s="310"/>
      <c r="U181" s="310"/>
      <c r="V181" s="310"/>
      <c r="W181" s="310"/>
      <c r="X181" s="310"/>
      <c r="Y181" s="310"/>
      <c r="Z181" s="310"/>
      <c r="AA181" s="311"/>
    </row>
    <row r="182" customFormat="false" ht="12.75" hidden="false" customHeight="true" outlineLevel="0" collapsed="false">
      <c r="A182" s="333"/>
      <c r="B182" s="131"/>
      <c r="C182" s="131"/>
      <c r="D182" s="131"/>
      <c r="E182" s="131"/>
      <c r="F182" s="131"/>
      <c r="G182" s="131"/>
      <c r="H182" s="131"/>
      <c r="I182" s="131"/>
      <c r="J182" s="131"/>
      <c r="K182" s="131"/>
      <c r="L182" s="131"/>
      <c r="M182" s="131"/>
      <c r="N182" s="131"/>
      <c r="O182" s="131"/>
      <c r="P182" s="131"/>
      <c r="Q182" s="131"/>
      <c r="R182" s="131"/>
      <c r="S182" s="131"/>
      <c r="T182" s="131"/>
      <c r="U182" s="131"/>
      <c r="V182" s="131"/>
      <c r="W182" s="131"/>
      <c r="X182" s="131"/>
      <c r="Y182" s="131"/>
      <c r="Z182" s="131"/>
      <c r="AA182" s="324"/>
    </row>
    <row r="183" customFormat="false" ht="12.75" hidden="false" customHeight="true" outlineLevel="0" collapsed="false">
      <c r="A183" s="431" t="s">
        <v>404</v>
      </c>
      <c r="B183" s="131"/>
      <c r="C183" s="131"/>
      <c r="D183" s="401" t="n">
        <f aca="false">D157</f>
        <v>0</v>
      </c>
      <c r="E183" s="401" t="n">
        <f aca="false">E157</f>
        <v>0</v>
      </c>
      <c r="F183" s="401" t="n">
        <f aca="false">F157</f>
        <v>0</v>
      </c>
      <c r="G183" s="401" t="n">
        <f aca="false">G157</f>
        <v>0</v>
      </c>
      <c r="H183" s="401" t="n">
        <f aca="false">H157</f>
        <v>0</v>
      </c>
      <c r="I183" s="401" t="n">
        <f aca="false">I157</f>
        <v>0</v>
      </c>
      <c r="J183" s="401" t="n">
        <f aca="false">J157</f>
        <v>0</v>
      </c>
      <c r="K183" s="401" t="n">
        <f aca="false">K157</f>
        <v>0</v>
      </c>
      <c r="L183" s="401" t="n">
        <f aca="false">L157</f>
        <v>22.1879667569459</v>
      </c>
      <c r="M183" s="401" t="n">
        <f aca="false">M157</f>
        <v>22.2439585876715</v>
      </c>
      <c r="N183" s="401" t="n">
        <f aca="false">N157</f>
        <v>22.2714898540252</v>
      </c>
      <c r="O183" s="401" t="n">
        <f aca="false">O157</f>
        <v>23.7809960571819</v>
      </c>
      <c r="P183" s="401" t="n">
        <f aca="false">P157</f>
        <v>23.8375492783988</v>
      </c>
      <c r="Q183" s="401" t="n">
        <f aca="false">Q157</f>
        <v>23.9107512442889</v>
      </c>
      <c r="R183" s="401" t="n">
        <f aca="false">R157</f>
        <v>25.4529949332587</v>
      </c>
      <c r="S183" s="401" t="n">
        <f aca="false">S157</f>
        <v>25.5253340977945</v>
      </c>
      <c r="T183" s="401" t="n">
        <f aca="false">T157</f>
        <v>25.6081456752926</v>
      </c>
      <c r="U183" s="401" t="n">
        <f aca="false">U157</f>
        <v>25.7048376129465</v>
      </c>
      <c r="V183" s="401" t="n">
        <f aca="false">V157</f>
        <v>25.7887134608715</v>
      </c>
      <c r="W183" s="401" t="n">
        <f aca="false">W157</f>
        <v>25.8619433552364</v>
      </c>
      <c r="X183" s="401" t="n">
        <f aca="false">X157</f>
        <v>0</v>
      </c>
      <c r="Y183" s="401" t="n">
        <f aca="false">Y157</f>
        <v>0</v>
      </c>
      <c r="Z183" s="401" t="n">
        <f aca="false">Z157</f>
        <v>0</v>
      </c>
      <c r="AA183" s="402" t="n">
        <f aca="false">AA157</f>
        <v>0</v>
      </c>
    </row>
    <row r="184" customFormat="false" ht="12.75" hidden="false" customHeight="true" outlineLevel="0" collapsed="false">
      <c r="A184" s="431" t="s">
        <v>405</v>
      </c>
      <c r="B184" s="131"/>
      <c r="C184" s="131"/>
      <c r="D184" s="401" t="n">
        <f aca="false">-D$65</f>
        <v>-0</v>
      </c>
      <c r="E184" s="401" t="n">
        <f aca="false">-E$65</f>
        <v>-0</v>
      </c>
      <c r="F184" s="401" t="n">
        <f aca="false">-F$65</f>
        <v>-0</v>
      </c>
      <c r="G184" s="401" t="n">
        <f aca="false">-G$65</f>
        <v>-0</v>
      </c>
      <c r="H184" s="401" t="n">
        <f aca="false">-H$65</f>
        <v>-0</v>
      </c>
      <c r="I184" s="401" t="n">
        <f aca="false">-I$65</f>
        <v>-0</v>
      </c>
      <c r="J184" s="401" t="n">
        <f aca="false">-J$65</f>
        <v>-0</v>
      </c>
      <c r="K184" s="401" t="n">
        <f aca="false">-K$65</f>
        <v>-0</v>
      </c>
      <c r="L184" s="401" t="n">
        <f aca="false">-L$65</f>
        <v>-16.3316061070402</v>
      </c>
      <c r="M184" s="401" t="n">
        <f aca="false">-M$65</f>
        <v>-16.5064095547762</v>
      </c>
      <c r="N184" s="401" t="n">
        <f aca="false">-N$65</f>
        <v>-16.6376106347342</v>
      </c>
      <c r="O184" s="401" t="n">
        <f aca="false">-O$65</f>
        <v>-17.0858470435602</v>
      </c>
      <c r="P184" s="401" t="n">
        <f aca="false">-P$65</f>
        <v>-17.2562492270368</v>
      </c>
      <c r="Q184" s="401" t="n">
        <f aca="false">-Q$65</f>
        <v>-17.4524894756323</v>
      </c>
      <c r="R184" s="401" t="n">
        <f aca="false">-R$65</f>
        <v>-17.932044462122</v>
      </c>
      <c r="S184" s="401" t="n">
        <f aca="false">-S$65</f>
        <v>-18.1253234709837</v>
      </c>
      <c r="T184" s="401" t="n">
        <f aca="false">-T$65</f>
        <v>-18.3369990820932</v>
      </c>
      <c r="U184" s="401" t="n">
        <f aca="false">-U$65</f>
        <v>-18.5726954907222</v>
      </c>
      <c r="V184" s="401" t="n">
        <f aca="false">-V$65</f>
        <v>-18.7917676645923</v>
      </c>
      <c r="W184" s="401" t="n">
        <f aca="false">-W$65</f>
        <v>-18.9971086648209</v>
      </c>
      <c r="X184" s="401" t="n">
        <f aca="false">-X$65</f>
        <v>-0</v>
      </c>
      <c r="Y184" s="401" t="n">
        <f aca="false">-Y$65</f>
        <v>-0</v>
      </c>
      <c r="Z184" s="401" t="n">
        <f aca="false">-Z$65</f>
        <v>-0</v>
      </c>
      <c r="AA184" s="402" t="n">
        <f aca="false">-AA$65</f>
        <v>-0</v>
      </c>
    </row>
    <row r="185" customFormat="false" ht="12.75" hidden="false" customHeight="true" outlineLevel="0" collapsed="false">
      <c r="A185" s="431"/>
      <c r="B185" s="131"/>
      <c r="C185" s="131"/>
      <c r="D185" s="401"/>
      <c r="E185" s="401"/>
      <c r="F185" s="401"/>
      <c r="G185" s="401"/>
      <c r="H185" s="401"/>
      <c r="I185" s="401"/>
      <c r="J185" s="401"/>
      <c r="K185" s="401"/>
      <c r="L185" s="401"/>
      <c r="M185" s="401"/>
      <c r="N185" s="401"/>
      <c r="O185" s="401"/>
      <c r="P185" s="401"/>
      <c r="Q185" s="401"/>
      <c r="R185" s="401"/>
      <c r="S185" s="401"/>
      <c r="T185" s="401"/>
      <c r="U185" s="401"/>
      <c r="V185" s="401"/>
      <c r="W185" s="401"/>
      <c r="X185" s="401"/>
      <c r="Y185" s="401"/>
      <c r="Z185" s="401"/>
      <c r="AA185" s="402"/>
    </row>
    <row r="186" customFormat="false" ht="12.75" hidden="false" customHeight="true" outlineLevel="0" collapsed="false">
      <c r="A186" s="422" t="s">
        <v>406</v>
      </c>
      <c r="B186" s="423" t="s">
        <v>341</v>
      </c>
      <c r="C186" s="423"/>
      <c r="D186" s="428" t="n">
        <f aca="false">SUM(D183:D184)</f>
        <v>0</v>
      </c>
      <c r="E186" s="428" t="n">
        <f aca="false">SUM(E183:E184)</f>
        <v>0</v>
      </c>
      <c r="F186" s="428" t="n">
        <f aca="false">SUM(F183:F184)</f>
        <v>0</v>
      </c>
      <c r="G186" s="428" t="n">
        <f aca="false">SUM(G183:G184)</f>
        <v>0</v>
      </c>
      <c r="H186" s="428" t="n">
        <f aca="false">SUM(H183:H184)</f>
        <v>0</v>
      </c>
      <c r="I186" s="428" t="n">
        <f aca="false">SUM(I183:I184)</f>
        <v>0</v>
      </c>
      <c r="J186" s="428" t="n">
        <f aca="false">SUM(J183:J184)</f>
        <v>0</v>
      </c>
      <c r="K186" s="428" t="n">
        <f aca="false">SUM(K183:K184)</f>
        <v>0</v>
      </c>
      <c r="L186" s="428" t="n">
        <f aca="false">SUM(L183:L184)</f>
        <v>5.8563606499057</v>
      </c>
      <c r="M186" s="428" t="n">
        <f aca="false">SUM(M183:M184)</f>
        <v>5.73754903289531</v>
      </c>
      <c r="N186" s="428" t="n">
        <f aca="false">SUM(N183:N184)</f>
        <v>5.63387921929093</v>
      </c>
      <c r="O186" s="428" t="n">
        <f aca="false">SUM(O183:O184)</f>
        <v>6.69514901362163</v>
      </c>
      <c r="P186" s="428" t="n">
        <f aca="false">SUM(P183:P184)</f>
        <v>6.58130005136193</v>
      </c>
      <c r="Q186" s="428" t="n">
        <f aca="false">SUM(Q183:Q184)</f>
        <v>6.4582617686566</v>
      </c>
      <c r="R186" s="428" t="n">
        <f aca="false">SUM(R183:R184)</f>
        <v>7.52095047113677</v>
      </c>
      <c r="S186" s="428" t="n">
        <f aca="false">SUM(S183:S184)</f>
        <v>7.40001062681077</v>
      </c>
      <c r="T186" s="428" t="n">
        <f aca="false">SUM(T183:T184)</f>
        <v>7.27114659319943</v>
      </c>
      <c r="U186" s="428" t="n">
        <f aca="false">SUM(U183:U184)</f>
        <v>7.13214212222427</v>
      </c>
      <c r="V186" s="428" t="n">
        <f aca="false">SUM(V183:V184)</f>
        <v>6.99694579627921</v>
      </c>
      <c r="W186" s="428" t="n">
        <f aca="false">SUM(W183:W184)</f>
        <v>6.86483469041544</v>
      </c>
      <c r="X186" s="428" t="n">
        <f aca="false">SUM(X183:X184)</f>
        <v>0</v>
      </c>
      <c r="Y186" s="428" t="n">
        <f aca="false">SUM(Y183:Y184)</f>
        <v>0</v>
      </c>
      <c r="Z186" s="428" t="n">
        <f aca="false">SUM(Z183:Z184)</f>
        <v>0</v>
      </c>
      <c r="AA186" s="429" t="n">
        <f aca="false">SUM(AA183:AA184)</f>
        <v>0</v>
      </c>
    </row>
    <row r="187" customFormat="false" ht="12.75" hidden="false" customHeight="true" outlineLevel="0" collapsed="false">
      <c r="A187" s="430"/>
      <c r="B187" s="316"/>
      <c r="C187" s="316"/>
      <c r="D187" s="347"/>
      <c r="E187" s="347"/>
      <c r="F187" s="347"/>
      <c r="G187" s="347"/>
      <c r="H187" s="347"/>
      <c r="I187" s="347"/>
      <c r="J187" s="347"/>
      <c r="K187" s="347"/>
      <c r="L187" s="347"/>
      <c r="M187" s="347"/>
      <c r="N187" s="347"/>
      <c r="O187" s="347"/>
      <c r="P187" s="347"/>
      <c r="Q187" s="347"/>
      <c r="R187" s="347"/>
      <c r="S187" s="347"/>
      <c r="T187" s="347"/>
      <c r="U187" s="347"/>
      <c r="V187" s="347"/>
      <c r="W187" s="347"/>
      <c r="X187" s="347"/>
      <c r="Y187" s="347"/>
      <c r="Z187" s="347"/>
      <c r="AA187" s="347"/>
    </row>
    <row r="188" customFormat="false" ht="12.75" hidden="false" customHeight="true" outlineLevel="0" collapsed="false">
      <c r="A188" s="309" t="s">
        <v>407</v>
      </c>
      <c r="B188" s="310"/>
      <c r="C188" s="310"/>
      <c r="D188" s="310"/>
      <c r="E188" s="310"/>
      <c r="F188" s="310"/>
      <c r="G188" s="310"/>
      <c r="H188" s="310"/>
      <c r="I188" s="310"/>
      <c r="J188" s="310"/>
      <c r="K188" s="310"/>
      <c r="L188" s="310"/>
      <c r="M188" s="310"/>
      <c r="N188" s="310"/>
      <c r="O188" s="310"/>
      <c r="P188" s="310"/>
      <c r="Q188" s="310"/>
      <c r="R188" s="310"/>
      <c r="S188" s="310"/>
      <c r="T188" s="310"/>
      <c r="U188" s="310"/>
      <c r="V188" s="310"/>
      <c r="W188" s="310"/>
      <c r="X188" s="310"/>
      <c r="Y188" s="310"/>
      <c r="Z188" s="310"/>
      <c r="AA188" s="311"/>
    </row>
    <row r="189" customFormat="false" ht="12.75" hidden="false" customHeight="true" outlineLevel="0" collapsed="false">
      <c r="A189" s="432" t="s">
        <v>184</v>
      </c>
      <c r="B189" s="231" t="n">
        <f aca="false">+NPV('Common Assumpt'!$F$56,Elba!E189:AA189)</f>
        <v>48643.7883656981</v>
      </c>
      <c r="C189" s="433"/>
      <c r="D189" s="434" t="n">
        <f aca="false">D$156*1000</f>
        <v>0</v>
      </c>
      <c r="E189" s="434" t="n">
        <f aca="false">E$156*1000</f>
        <v>0</v>
      </c>
      <c r="F189" s="434" t="n">
        <f aca="false">F$156*1000</f>
        <v>0</v>
      </c>
      <c r="G189" s="434" t="n">
        <f aca="false">G$156*1000</f>
        <v>22286.6547051426</v>
      </c>
      <c r="H189" s="434" t="n">
        <f aca="false">H$156*1000</f>
        <v>21523.4163245289</v>
      </c>
      <c r="I189" s="434" t="n">
        <f aca="false">I$156*1000</f>
        <v>20765.9867613204</v>
      </c>
      <c r="J189" s="434" t="n">
        <f aca="false">J$156*1000</f>
        <v>19386.3299722846</v>
      </c>
      <c r="K189" s="434" t="n">
        <f aca="false">K$156*1000</f>
        <v>18648.3603877404</v>
      </c>
      <c r="L189" s="434" t="n">
        <f aca="false">L$156*1000</f>
        <v>0</v>
      </c>
      <c r="M189" s="434" t="n">
        <f aca="false">M$156*1000</f>
        <v>0</v>
      </c>
      <c r="N189" s="434" t="n">
        <f aca="false">N$156*1000</f>
        <v>0</v>
      </c>
      <c r="O189" s="434" t="n">
        <f aca="false">O$156*1000</f>
        <v>0</v>
      </c>
      <c r="P189" s="434" t="n">
        <f aca="false">P$156*1000</f>
        <v>0</v>
      </c>
      <c r="Q189" s="434" t="n">
        <f aca="false">Q$156*1000</f>
        <v>0</v>
      </c>
      <c r="R189" s="434" t="n">
        <f aca="false">R$156*1000</f>
        <v>0</v>
      </c>
      <c r="S189" s="434" t="n">
        <f aca="false">S$156*1000</f>
        <v>0</v>
      </c>
      <c r="T189" s="434" t="n">
        <f aca="false">T$156*1000</f>
        <v>0</v>
      </c>
      <c r="U189" s="434" t="n">
        <f aca="false">U$156*1000</f>
        <v>0</v>
      </c>
      <c r="V189" s="434" t="n">
        <f aca="false">V$156*1000</f>
        <v>0</v>
      </c>
      <c r="W189" s="434" t="n">
        <f aca="false">W$156*1000</f>
        <v>0</v>
      </c>
      <c r="X189" s="434" t="n">
        <f aca="false">X$156*1000</f>
        <v>0</v>
      </c>
      <c r="Y189" s="434" t="n">
        <f aca="false">Y$156*1000</f>
        <v>0</v>
      </c>
      <c r="Z189" s="434" t="n">
        <f aca="false">Z$156*1000</f>
        <v>0</v>
      </c>
      <c r="AA189" s="435" t="n">
        <f aca="false">AA$156*1000</f>
        <v>0</v>
      </c>
    </row>
    <row r="190" customFormat="false" ht="12.75" hidden="false" customHeight="true" outlineLevel="0" collapsed="false">
      <c r="A190" s="436" t="s">
        <v>206</v>
      </c>
      <c r="B190" s="231" t="n">
        <f aca="false">+NPV('Common Assumpt'!$F$56,Elba!E190:AA190)</f>
        <v>-38850.1980397164</v>
      </c>
      <c r="C190" s="231"/>
      <c r="D190" s="437" t="n">
        <f aca="false">-D$58*1000</f>
        <v>-0</v>
      </c>
      <c r="E190" s="437" t="n">
        <f aca="false">-E$58*1000</f>
        <v>-0</v>
      </c>
      <c r="F190" s="437" t="n">
        <f aca="false">-F$58*1000</f>
        <v>-0</v>
      </c>
      <c r="G190" s="437" t="n">
        <f aca="false">-G$58*1000</f>
        <v>-16674.4428640869</v>
      </c>
      <c r="H190" s="437" t="n">
        <f aca="false">-H$58*1000</f>
        <v>-16654.8328074183</v>
      </c>
      <c r="I190" s="437" t="n">
        <f aca="false">-I$58*1000</f>
        <v>-16636.3207994655</v>
      </c>
      <c r="J190" s="437" t="n">
        <f aca="false">-J$58*1000</f>
        <v>-16543.6842793126</v>
      </c>
      <c r="K190" s="437" t="n">
        <f aca="false">-K$58*1000</f>
        <v>-16548.6584711867</v>
      </c>
      <c r="L190" s="437" t="n">
        <f aca="false">-L$58*1000</f>
        <v>-0</v>
      </c>
      <c r="M190" s="437" t="n">
        <f aca="false">-M$58*1000</f>
        <v>-0</v>
      </c>
      <c r="N190" s="437" t="n">
        <f aca="false">-N$58*1000</f>
        <v>-0</v>
      </c>
      <c r="O190" s="437" t="n">
        <f aca="false">-O$58*1000</f>
        <v>-0</v>
      </c>
      <c r="P190" s="437" t="n">
        <f aca="false">-P$58*1000</f>
        <v>-0</v>
      </c>
      <c r="Q190" s="437" t="n">
        <f aca="false">-Q$58*1000</f>
        <v>-0</v>
      </c>
      <c r="R190" s="437" t="n">
        <f aca="false">-R$58*1000</f>
        <v>-0</v>
      </c>
      <c r="S190" s="437" t="n">
        <f aca="false">-S$58*1000</f>
        <v>-0</v>
      </c>
      <c r="T190" s="437" t="n">
        <f aca="false">-T$58*1000</f>
        <v>-0</v>
      </c>
      <c r="U190" s="437" t="n">
        <f aca="false">-U$58*1000</f>
        <v>-0</v>
      </c>
      <c r="V190" s="437" t="n">
        <f aca="false">-V$58*1000</f>
        <v>-0</v>
      </c>
      <c r="W190" s="437" t="n">
        <f aca="false">-W$58*1000</f>
        <v>-0</v>
      </c>
      <c r="X190" s="437" t="n">
        <f aca="false">-X$58*1000</f>
        <v>-0</v>
      </c>
      <c r="Y190" s="437" t="n">
        <f aca="false">-Y$58*1000</f>
        <v>-0</v>
      </c>
      <c r="Z190" s="437" t="n">
        <f aca="false">-Z$58*1000</f>
        <v>-0</v>
      </c>
      <c r="AA190" s="438" t="n">
        <f aca="false">-AA$58*1000</f>
        <v>-0</v>
      </c>
    </row>
    <row r="191" customFormat="false" ht="12.75" hidden="false" customHeight="true" outlineLevel="0" collapsed="false">
      <c r="A191" s="431"/>
      <c r="B191" s="231"/>
      <c r="C191" s="231"/>
      <c r="D191" s="251"/>
      <c r="E191" s="251"/>
      <c r="F191" s="251"/>
      <c r="G191" s="251"/>
      <c r="H191" s="251"/>
      <c r="I191" s="251"/>
      <c r="J191" s="251"/>
      <c r="K191" s="251"/>
      <c r="L191" s="251"/>
      <c r="M191" s="251"/>
      <c r="N191" s="251"/>
      <c r="O191" s="251"/>
      <c r="P191" s="251"/>
      <c r="Q191" s="251"/>
      <c r="R191" s="251"/>
      <c r="S191" s="251"/>
      <c r="T191" s="251"/>
      <c r="U191" s="251"/>
      <c r="V191" s="251"/>
      <c r="W191" s="251"/>
      <c r="X191" s="251"/>
      <c r="Y191" s="251"/>
      <c r="Z191" s="251"/>
      <c r="AA191" s="439"/>
    </row>
    <row r="192" customFormat="false" ht="12.75" hidden="false" customHeight="false" outlineLevel="0" collapsed="false">
      <c r="A192" s="431" t="s">
        <v>228</v>
      </c>
      <c r="B192" s="231" t="n">
        <f aca="false">+NPV('Common Assumpt'!$F$56,Elba!E192:AA192)</f>
        <v>0</v>
      </c>
      <c r="C192" s="231"/>
      <c r="D192" s="251" t="n">
        <f aca="false">-D170*1000</f>
        <v>-0</v>
      </c>
      <c r="E192" s="251" t="n">
        <f aca="false">-E170*1000</f>
        <v>-0</v>
      </c>
      <c r="F192" s="251" t="n">
        <f aca="false">-F170*1000</f>
        <v>-0</v>
      </c>
      <c r="G192" s="251" t="n">
        <f aca="false">-G170*1000</f>
        <v>-0</v>
      </c>
      <c r="H192" s="251" t="n">
        <f aca="false">-H170*1000</f>
        <v>-0</v>
      </c>
      <c r="I192" s="251" t="n">
        <f aca="false">-I170*1000</f>
        <v>-0</v>
      </c>
      <c r="J192" s="251" t="n">
        <f aca="false">-J170*1000</f>
        <v>-0</v>
      </c>
      <c r="K192" s="437" t="n">
        <f aca="false">-K170*1000-NPV('Common Assumpt'!$F$56,L170:AA170)*1000</f>
        <v>-0</v>
      </c>
      <c r="L192" s="251"/>
      <c r="M192" s="251"/>
      <c r="N192" s="251"/>
      <c r="O192" s="251"/>
      <c r="P192" s="251"/>
      <c r="Q192" s="251"/>
      <c r="R192" s="251"/>
      <c r="S192" s="251"/>
      <c r="T192" s="251"/>
      <c r="U192" s="251"/>
      <c r="V192" s="251"/>
      <c r="W192" s="251"/>
      <c r="X192" s="251"/>
      <c r="Y192" s="251"/>
      <c r="Z192" s="251"/>
      <c r="AA192" s="439"/>
    </row>
    <row r="193" customFormat="false" ht="12.75" hidden="false" customHeight="false" outlineLevel="0" collapsed="false">
      <c r="A193" s="431"/>
      <c r="B193" s="231"/>
      <c r="C193" s="231"/>
      <c r="D193" s="251"/>
      <c r="E193" s="251"/>
      <c r="F193" s="251"/>
      <c r="G193" s="251"/>
      <c r="H193" s="251"/>
      <c r="I193" s="251"/>
      <c r="J193" s="251"/>
      <c r="K193" s="437"/>
      <c r="L193" s="251"/>
      <c r="M193" s="251"/>
      <c r="N193" s="251"/>
      <c r="O193" s="251"/>
      <c r="P193" s="251"/>
      <c r="Q193" s="251"/>
      <c r="R193" s="251"/>
      <c r="S193" s="251"/>
      <c r="T193" s="251"/>
      <c r="U193" s="251"/>
      <c r="V193" s="251"/>
      <c r="W193" s="251"/>
      <c r="X193" s="251"/>
      <c r="Y193" s="251"/>
      <c r="Z193" s="251"/>
      <c r="AA193" s="439"/>
    </row>
    <row r="194" customFormat="false" ht="12.75" hidden="false" customHeight="false" outlineLevel="0" collapsed="false">
      <c r="A194" s="431" t="s">
        <v>250</v>
      </c>
      <c r="B194" s="231" t="n">
        <f aca="false">+NPV('Common Assumpt'!$F$56,Elba!E194:AA194)</f>
        <v>-21234.530315739</v>
      </c>
      <c r="C194" s="231"/>
      <c r="D194" s="251" t="n">
        <f aca="false">-D179*1000</f>
        <v>-0</v>
      </c>
      <c r="E194" s="251" t="n">
        <f aca="false">-E179*1000</f>
        <v>-0</v>
      </c>
      <c r="F194" s="251" t="n">
        <f aca="false">-F179*1000</f>
        <v>-0</v>
      </c>
      <c r="G194" s="251" t="n">
        <f aca="false">-G179*1000</f>
        <v>-0</v>
      </c>
      <c r="H194" s="251" t="n">
        <f aca="false">-H179*1000</f>
        <v>-0</v>
      </c>
      <c r="I194" s="251" t="n">
        <f aca="false">-I179*1000</f>
        <v>-0</v>
      </c>
      <c r="J194" s="251" t="n">
        <f aca="false">-J179*1000</f>
        <v>-0</v>
      </c>
      <c r="K194" s="437" t="n">
        <f aca="false">-K179*1000-NPV('Common Assumpt'!$F$56,L179:AA179)*1000</f>
        <v>-63729.9666985554</v>
      </c>
      <c r="L194" s="251"/>
      <c r="M194" s="251"/>
      <c r="N194" s="251"/>
      <c r="O194" s="251"/>
      <c r="P194" s="251"/>
      <c r="Q194" s="251"/>
      <c r="R194" s="251"/>
      <c r="S194" s="251"/>
      <c r="T194" s="251"/>
      <c r="U194" s="251"/>
      <c r="V194" s="251"/>
      <c r="W194" s="251"/>
      <c r="X194" s="251"/>
      <c r="Y194" s="251"/>
      <c r="Z194" s="251"/>
      <c r="AA194" s="439"/>
    </row>
    <row r="195" customFormat="false" ht="12.75" hidden="false" customHeight="false" outlineLevel="0" collapsed="false">
      <c r="A195" s="431"/>
      <c r="B195" s="231"/>
      <c r="C195" s="231"/>
      <c r="D195" s="251"/>
      <c r="E195" s="251"/>
      <c r="F195" s="251"/>
      <c r="G195" s="251"/>
      <c r="H195" s="251"/>
      <c r="I195" s="251"/>
      <c r="J195" s="251"/>
      <c r="K195" s="437"/>
      <c r="L195" s="251"/>
      <c r="M195" s="251"/>
      <c r="N195" s="251"/>
      <c r="O195" s="251"/>
      <c r="P195" s="251"/>
      <c r="Q195" s="251"/>
      <c r="R195" s="251"/>
      <c r="S195" s="251"/>
      <c r="T195" s="251"/>
      <c r="U195" s="251"/>
      <c r="V195" s="251"/>
      <c r="W195" s="251"/>
      <c r="X195" s="251"/>
      <c r="Y195" s="251"/>
      <c r="Z195" s="251"/>
      <c r="AA195" s="439"/>
    </row>
    <row r="196" customFormat="false" ht="12.75" hidden="false" customHeight="false" outlineLevel="0" collapsed="false">
      <c r="A196" s="431" t="s">
        <v>272</v>
      </c>
      <c r="B196" s="231" t="n">
        <f aca="false">+NPV('Common Assumpt'!$F$56,Elba!E196:AA196)</f>
        <v>39267.20408499</v>
      </c>
      <c r="C196" s="231"/>
      <c r="D196" s="251" t="n">
        <f aca="false">D$157*1000</f>
        <v>0</v>
      </c>
      <c r="E196" s="251" t="n">
        <f aca="false">E$157*1000</f>
        <v>0</v>
      </c>
      <c r="F196" s="251" t="n">
        <f aca="false">F$157*1000</f>
        <v>0</v>
      </c>
      <c r="G196" s="251" t="n">
        <f aca="false">G$157*1000</f>
        <v>0</v>
      </c>
      <c r="H196" s="251" t="n">
        <f aca="false">H$157*1000</f>
        <v>0</v>
      </c>
      <c r="I196" s="251" t="n">
        <f aca="false">I$157*1000</f>
        <v>0</v>
      </c>
      <c r="J196" s="251" t="n">
        <f aca="false">J$157*1000</f>
        <v>0</v>
      </c>
      <c r="K196" s="437" t="n">
        <f aca="false">K$157*1000</f>
        <v>0</v>
      </c>
      <c r="L196" s="251" t="n">
        <f aca="false">L$157*1000</f>
        <v>22187.9667569459</v>
      </c>
      <c r="M196" s="251" t="n">
        <f aca="false">M$157*1000</f>
        <v>22243.9585876715</v>
      </c>
      <c r="N196" s="251" t="n">
        <f aca="false">N$157*1000</f>
        <v>22271.4898540252</v>
      </c>
      <c r="O196" s="251" t="n">
        <f aca="false">O$157*1000</f>
        <v>23780.9960571819</v>
      </c>
      <c r="P196" s="251" t="n">
        <f aca="false">P$157*1000</f>
        <v>23837.5492783988</v>
      </c>
      <c r="Q196" s="251" t="n">
        <f aca="false">Q$157*1000</f>
        <v>23910.7512442889</v>
      </c>
      <c r="R196" s="251" t="n">
        <f aca="false">R$157*1000</f>
        <v>25452.9949332587</v>
      </c>
      <c r="S196" s="251" t="n">
        <f aca="false">S$157*1000</f>
        <v>25525.3340977945</v>
      </c>
      <c r="T196" s="251" t="n">
        <f aca="false">T$157*1000</f>
        <v>25608.1456752926</v>
      </c>
      <c r="U196" s="251" t="n">
        <f aca="false">U$157*1000</f>
        <v>25704.8376129465</v>
      </c>
      <c r="V196" s="251" t="n">
        <f aca="false">V$157*1000</f>
        <v>25788.7134608715</v>
      </c>
      <c r="W196" s="251" t="n">
        <f aca="false">W$157*1000</f>
        <v>25861.9433552364</v>
      </c>
      <c r="X196" s="251" t="n">
        <f aca="false">X$157*1000</f>
        <v>0</v>
      </c>
      <c r="Y196" s="251" t="n">
        <f aca="false">Y$157*1000</f>
        <v>0</v>
      </c>
      <c r="Z196" s="251" t="n">
        <f aca="false">Z$157*1000</f>
        <v>0</v>
      </c>
      <c r="AA196" s="439" t="n">
        <f aca="false">AA$157*1000</f>
        <v>0</v>
      </c>
    </row>
    <row r="197" customFormat="false" ht="12.75" hidden="false" customHeight="false" outlineLevel="0" collapsed="false">
      <c r="A197" s="431" t="s">
        <v>294</v>
      </c>
      <c r="B197" s="231" t="n">
        <f aca="false">+NPV('Common Assumpt'!$F$56,Elba!E197:AA197)</f>
        <v>-28617.9166466135</v>
      </c>
      <c r="C197" s="231"/>
      <c r="D197" s="251" t="n">
        <f aca="false">-D65*1000</f>
        <v>-0</v>
      </c>
      <c r="E197" s="251" t="n">
        <f aca="false">-E65*1000</f>
        <v>-0</v>
      </c>
      <c r="F197" s="251" t="n">
        <f aca="false">-F65*1000</f>
        <v>-0</v>
      </c>
      <c r="G197" s="251" t="n">
        <f aca="false">-G65*1000</f>
        <v>-0</v>
      </c>
      <c r="H197" s="251" t="n">
        <f aca="false">-H65*1000</f>
        <v>-0</v>
      </c>
      <c r="I197" s="251" t="n">
        <f aca="false">-I65*1000</f>
        <v>-0</v>
      </c>
      <c r="J197" s="251" t="n">
        <f aca="false">-J65*1000</f>
        <v>-0</v>
      </c>
      <c r="K197" s="437" t="n">
        <f aca="false">-K65*1000</f>
        <v>-0</v>
      </c>
      <c r="L197" s="251" t="n">
        <f aca="false">-L65*1000</f>
        <v>-16331.6061070402</v>
      </c>
      <c r="M197" s="251" t="n">
        <f aca="false">-M65*1000</f>
        <v>-16506.4095547762</v>
      </c>
      <c r="N197" s="251" t="n">
        <f aca="false">-N65*1000</f>
        <v>-16637.6106347342</v>
      </c>
      <c r="O197" s="251" t="n">
        <f aca="false">-O65*1000</f>
        <v>-17085.8470435602</v>
      </c>
      <c r="P197" s="251" t="n">
        <f aca="false">-P65*1000</f>
        <v>-17256.2492270368</v>
      </c>
      <c r="Q197" s="251" t="n">
        <f aca="false">-Q65*1000</f>
        <v>-17452.4894756323</v>
      </c>
      <c r="R197" s="251" t="n">
        <f aca="false">-R65*1000</f>
        <v>-17932.044462122</v>
      </c>
      <c r="S197" s="251" t="n">
        <f aca="false">-S65*1000</f>
        <v>-18125.3234709837</v>
      </c>
      <c r="T197" s="251" t="n">
        <f aca="false">-T65*1000</f>
        <v>-18336.9990820932</v>
      </c>
      <c r="U197" s="251" t="n">
        <f aca="false">-U65*1000</f>
        <v>-18572.6954907222</v>
      </c>
      <c r="V197" s="251" t="n">
        <f aca="false">-V65*1000</f>
        <v>-18791.7676645923</v>
      </c>
      <c r="W197" s="251" t="n">
        <f aca="false">-W65*1000</f>
        <v>-18997.1086648209</v>
      </c>
      <c r="X197" s="251" t="n">
        <f aca="false">-X65*1000</f>
        <v>-0</v>
      </c>
      <c r="Y197" s="251" t="n">
        <f aca="false">-Y65*1000</f>
        <v>-0</v>
      </c>
      <c r="Z197" s="251" t="n">
        <f aca="false">-Z65*1000</f>
        <v>-0</v>
      </c>
      <c r="AA197" s="439" t="n">
        <f aca="false">-AA65*1000</f>
        <v>-0</v>
      </c>
    </row>
    <row r="198" customFormat="false" ht="13.5" hidden="false" customHeight="false" outlineLevel="0" collapsed="false"/>
    <row r="199" customFormat="false" ht="12.75" hidden="false" customHeight="false" outlineLevel="0" collapsed="false">
      <c r="A199" s="440"/>
      <c r="B199" s="440"/>
      <c r="C199" s="440"/>
      <c r="D199" s="440"/>
      <c r="E199" s="440"/>
      <c r="F199" s="440"/>
      <c r="G199" s="440"/>
      <c r="H199" s="440"/>
      <c r="I199" s="440"/>
      <c r="J199" s="440"/>
      <c r="K199" s="440"/>
      <c r="L199" s="440"/>
      <c r="M199" s="440"/>
      <c r="N199" s="440"/>
      <c r="O199" s="440"/>
      <c r="P199" s="440"/>
      <c r="Q199" s="440"/>
      <c r="R199" s="440"/>
      <c r="S199" s="440"/>
      <c r="T199" s="440"/>
      <c r="U199" s="440"/>
      <c r="V199" s="440"/>
      <c r="W199" s="440"/>
      <c r="X199" s="440"/>
      <c r="Y199" s="440"/>
      <c r="Z199" s="440"/>
      <c r="AA199" s="440"/>
    </row>
    <row r="200" customFormat="false" ht="12.75" hidden="false" customHeight="false" outlineLevel="0" collapsed="false">
      <c r="A200" s="0" t="s">
        <v>408</v>
      </c>
      <c r="B200" s="231" t="n">
        <f aca="false">+NPV('Common Assumpt'!$F$56,Elba!E200:AA200)</f>
        <v>87910.9924506881</v>
      </c>
      <c r="D200" s="248" t="n">
        <f aca="false">+D189+IF(OR(IF(switch=0,RAROC!$D$87,RAROC!$E$87)=1,IF(switch=0,RAROC!$D$87,RAROC!$E$87)=2),0,Elba!D$196)</f>
        <v>0</v>
      </c>
      <c r="E200" s="248" t="n">
        <f aca="false">+E189+IF(OR(IF(switch=0,RAROC!$D$87,RAROC!$E$87)=1,IF(switch=0,RAROC!$D$87,RAROC!$E$87)=2),0,Elba!E$196)</f>
        <v>0</v>
      </c>
      <c r="F200" s="248" t="n">
        <f aca="false">+F189+IF(OR(IF(switch=0,RAROC!$D$87,RAROC!$E$87)=1,IF(switch=0,RAROC!$D$87,RAROC!$E$87)=2),0,Elba!F$196)</f>
        <v>0</v>
      </c>
      <c r="G200" s="248" t="n">
        <f aca="false">+G189+IF(OR(IF(switch=0,RAROC!$D$87,RAROC!$E$87)=1,IF(switch=0,RAROC!$D$87,RAROC!$E$87)=2),0,Elba!G$196)</f>
        <v>22286.6547051426</v>
      </c>
      <c r="H200" s="248" t="n">
        <f aca="false">+H189+IF(OR(IF(switch=0,RAROC!$D$87,RAROC!$E$87)=1,IF(switch=0,RAROC!$D$87,RAROC!$E$87)=2),0,Elba!H$196)</f>
        <v>21523.4163245289</v>
      </c>
      <c r="I200" s="248" t="n">
        <f aca="false">+I189+IF(OR(IF(switch=0,RAROC!$D$87,RAROC!$E$87)=1,IF(switch=0,RAROC!$D$87,RAROC!$E$87)=2),0,Elba!I$196)</f>
        <v>20765.9867613204</v>
      </c>
      <c r="J200" s="248" t="n">
        <f aca="false">+J189+IF(OR(IF(switch=0,RAROC!$D$87,RAROC!$E$87)=1,IF(switch=0,RAROC!$D$87,RAROC!$E$87)=2),0,Elba!J$196)</f>
        <v>19386.3299722846</v>
      </c>
      <c r="K200" s="248" t="n">
        <f aca="false">+K189+IF(OR(IF(switch=0,RAROC!$D$87,RAROC!$E$87)=1,IF(switch=0,RAROC!$D$87,RAROC!$E$87)=2),0,Elba!K$196)</f>
        <v>18648.3603877404</v>
      </c>
      <c r="L200" s="248" t="n">
        <f aca="false">+L189+IF(OR(IF(switch=0,RAROC!$D$87,RAROC!$E$87)=1,IF(switch=0,RAROC!$D$87,RAROC!$E$87)=2),0,Elba!L$196)</f>
        <v>22187.9667569459</v>
      </c>
      <c r="M200" s="248" t="n">
        <f aca="false">+M189+IF(OR(IF(switch=0,RAROC!$D$87,RAROC!$E$87)=1,IF(switch=0,RAROC!$D$87,RAROC!$E$87)=2),0,Elba!M$196)</f>
        <v>22243.9585876715</v>
      </c>
      <c r="N200" s="248" t="n">
        <f aca="false">+N189+IF(OR(IF(switch=0,RAROC!$D$87,RAROC!$E$87)=1,IF(switch=0,RAROC!$D$87,RAROC!$E$87)=2),0,Elba!N$196)</f>
        <v>22271.4898540252</v>
      </c>
      <c r="O200" s="248" t="n">
        <f aca="false">+O189+IF(OR(IF(switch=0,RAROC!$D$87,RAROC!$E$87)=1,IF(switch=0,RAROC!$D$87,RAROC!$E$87)=2),0,Elba!O$196)</f>
        <v>23780.9960571819</v>
      </c>
      <c r="P200" s="248" t="n">
        <f aca="false">+P189+IF(OR(IF(switch=0,RAROC!$D$87,RAROC!$E$87)=1,IF(switch=0,RAROC!$D$87,RAROC!$E$87)=2),0,Elba!P$196)</f>
        <v>23837.5492783988</v>
      </c>
      <c r="Q200" s="248" t="n">
        <f aca="false">+Q189+IF(OR(IF(switch=0,RAROC!$D$87,RAROC!$E$87)=1,IF(switch=0,RAROC!$D$87,RAROC!$E$87)=2),0,Elba!Q$196)</f>
        <v>23910.7512442889</v>
      </c>
      <c r="R200" s="248" t="n">
        <f aca="false">+R189+IF(OR(IF(switch=0,RAROC!$D$87,RAROC!$E$87)=1,IF(switch=0,RAROC!$D$87,RAROC!$E$87)=2),0,Elba!R$196)</f>
        <v>25452.9949332587</v>
      </c>
      <c r="S200" s="248" t="n">
        <f aca="false">+S189+IF(OR(IF(switch=0,RAROC!$D$87,RAROC!$E$87)=1,IF(switch=0,RAROC!$D$87,RAROC!$E$87)=2),0,Elba!S$196)</f>
        <v>25525.3340977945</v>
      </c>
      <c r="T200" s="248" t="n">
        <f aca="false">+T189+IF(OR(IF(switch=0,RAROC!$D$87,RAROC!$E$87)=1,IF(switch=0,RAROC!$D$87,RAROC!$E$87)=2),0,Elba!T$196)</f>
        <v>25608.1456752926</v>
      </c>
      <c r="U200" s="248" t="n">
        <f aca="false">+U189+IF(OR(IF(switch=0,RAROC!$D$87,RAROC!$E$87)=1,IF(switch=0,RAROC!$D$87,RAROC!$E$87)=2),0,Elba!U$196)</f>
        <v>25704.8376129465</v>
      </c>
      <c r="V200" s="248" t="n">
        <f aca="false">+V189+IF(OR(IF(switch=0,RAROC!$D$87,RAROC!$E$87)=1,IF(switch=0,RAROC!$D$87,RAROC!$E$87)=2),0,Elba!V$196)</f>
        <v>25788.7134608715</v>
      </c>
      <c r="W200" s="248" t="n">
        <f aca="false">+W189+IF(OR(IF(switch=0,RAROC!$D$87,RAROC!$E$87)=1,IF(switch=0,RAROC!$D$87,RAROC!$E$87)=2),0,Elba!W$196)</f>
        <v>25861.9433552364</v>
      </c>
      <c r="X200" s="248" t="n">
        <f aca="false">+X189+IF(OR(IF(switch=0,RAROC!$D$87,RAROC!$E$87)=1,IF(switch=0,RAROC!$D$87,RAROC!$E$87)=2),0,Elba!X$196)</f>
        <v>0</v>
      </c>
      <c r="Y200" s="248" t="n">
        <f aca="false">+Y189+IF(OR(IF(switch=0,RAROC!$D$87,RAROC!$E$87)=1,IF(switch=0,RAROC!$D$87,RAROC!$E$87)=2),0,Elba!Y$196)</f>
        <v>0</v>
      </c>
      <c r="Z200" s="248" t="n">
        <f aca="false">+Z189+IF(OR(IF(switch=0,RAROC!$D$87,RAROC!$E$87)=1,IF(switch=0,RAROC!$D$87,RAROC!$E$87)=2),0,Elba!Z$196)</f>
        <v>0</v>
      </c>
      <c r="AA200" s="248" t="n">
        <f aca="false">+AA189+IF(OR(IF(switch=0,RAROC!$D$87,RAROC!$E$87)=1,IF(switch=0,RAROC!$D$87,RAROC!$E$87)=2),0,Elba!AA$196)</f>
        <v>0</v>
      </c>
    </row>
    <row r="201" customFormat="false" ht="12.75" hidden="false" customHeight="false" outlineLevel="0" collapsed="false">
      <c r="A201" s="0" t="s">
        <v>409</v>
      </c>
      <c r="B201" s="231" t="n">
        <f aca="false">+NPV('Common Assumpt'!$F$56,Elba!E201:AA201)</f>
        <v>-38850.1980397164</v>
      </c>
      <c r="D201" s="248" t="n">
        <f aca="false">+D190+IF(IF(switch=0,RAROC!$D$87,RAROC!$E$87)=1,D$192,0)+IF(IF(switch=0,RAROC!$D$87,RAROC!$E$87)=2,D$194,0)+IF(IF(switch=0,RAROC!$D$87,RAROC!$E$87)=3,D$197,0)</f>
        <v>0</v>
      </c>
      <c r="E201" s="248" t="n">
        <f aca="false">+E190+IF(IF(switch=0,RAROC!$D$87,RAROC!$E$87)=1,E$192,0)+IF(IF(switch=0,RAROC!$D$87,RAROC!$E$87)=2,E$194,0)+IF(IF(switch=0,RAROC!$D$87,RAROC!$E$87)=3,E$197,0)</f>
        <v>0</v>
      </c>
      <c r="F201" s="248" t="n">
        <f aca="false">+F190+IF(IF(switch=0,RAROC!$D$87,RAROC!$E$87)=1,F$192,0)+IF(IF(switch=0,RAROC!$D$87,RAROC!$E$87)=2,F$194,0)+IF(IF(switch=0,RAROC!$D$87,RAROC!$E$87)=3,F$197,0)</f>
        <v>0</v>
      </c>
      <c r="G201" s="248" t="n">
        <f aca="false">+G190+IF(IF(switch=0,RAROC!$D$87,RAROC!$E$87)=1,G$192,0)+IF(IF(switch=0,RAROC!$D$87,RAROC!$E$87)=2,G$194,0)+IF(IF(switch=0,RAROC!$D$87,RAROC!$E$87)=3,G$197,0)</f>
        <v>-16674.4428640869</v>
      </c>
      <c r="H201" s="248" t="n">
        <f aca="false">+H190+IF(IF(switch=0,RAROC!$D$87,RAROC!$E$87)=1,H$192,0)+IF(IF(switch=0,RAROC!$D$87,RAROC!$E$87)=2,H$194,0)+IF(IF(switch=0,RAROC!$D$87,RAROC!$E$87)=3,H$197,0)</f>
        <v>-16654.8328074183</v>
      </c>
      <c r="I201" s="248" t="n">
        <f aca="false">+I190+IF(IF(switch=0,RAROC!$D$87,RAROC!$E$87)=1,I$192,0)+IF(IF(switch=0,RAROC!$D$87,RAROC!$E$87)=2,I$194,0)+IF(IF(switch=0,RAROC!$D$87,RAROC!$E$87)=3,I$197,0)</f>
        <v>-16636.3207994655</v>
      </c>
      <c r="J201" s="248" t="n">
        <f aca="false">+J190+IF(IF(switch=0,RAROC!$D$87,RAROC!$E$87)=1,J$192,0)+IF(IF(switch=0,RAROC!$D$87,RAROC!$E$87)=2,J$194,0)+IF(IF(switch=0,RAROC!$D$87,RAROC!$E$87)=3,J$197,0)</f>
        <v>-16543.6842793126</v>
      </c>
      <c r="K201" s="248" t="n">
        <f aca="false">+K190+IF(IF(switch=0,RAROC!$D$87,RAROC!$E$87)=1,K$192,0)+IF(IF(switch=0,RAROC!$D$87,RAROC!$E$87)=2,K$194,0)+IF(IF(switch=0,RAROC!$D$87,RAROC!$E$87)=3,K$197,0)</f>
        <v>-16548.6584711867</v>
      </c>
      <c r="L201" s="248" t="n">
        <f aca="false">+L190+IF(IF(switch=0,RAROC!$D$87,RAROC!$E$87)=1,L$192,0)+IF(IF(switch=0,RAROC!$D$87,RAROC!$E$87)=2,L$194,0)+IF(IF(switch=0,RAROC!$D$87,RAROC!$E$87)=3,L$197,0)</f>
        <v>0</v>
      </c>
      <c r="M201" s="248" t="n">
        <f aca="false">+M190+IF(IF(switch=0,RAROC!$D$87,RAROC!$E$87)=1,M$192,0)+IF(IF(switch=0,RAROC!$D$87,RAROC!$E$87)=2,M$194,0)+IF(IF(switch=0,RAROC!$D$87,RAROC!$E$87)=3,M$197,0)</f>
        <v>0</v>
      </c>
      <c r="N201" s="248" t="n">
        <f aca="false">+N190+IF(IF(switch=0,RAROC!$D$87,RAROC!$E$87)=1,N$192,0)+IF(IF(switch=0,RAROC!$D$87,RAROC!$E$87)=2,N$194,0)+IF(IF(switch=0,RAROC!$D$87,RAROC!$E$87)=3,N$197,0)</f>
        <v>0</v>
      </c>
      <c r="O201" s="248" t="n">
        <f aca="false">+O190+IF(IF(switch=0,RAROC!$D$87,RAROC!$E$87)=1,O$192,0)+IF(IF(switch=0,RAROC!$D$87,RAROC!$E$87)=2,O$194,0)+IF(IF(switch=0,RAROC!$D$87,RAROC!$E$87)=3,O$197,0)</f>
        <v>0</v>
      </c>
      <c r="P201" s="248" t="n">
        <f aca="false">+P190+IF(IF(switch=0,RAROC!$D$87,RAROC!$E$87)=1,P$192,0)+IF(IF(switch=0,RAROC!$D$87,RAROC!$E$87)=2,P$194,0)+IF(IF(switch=0,RAROC!$D$87,RAROC!$E$87)=3,P$197,0)</f>
        <v>0</v>
      </c>
      <c r="Q201" s="248" t="n">
        <f aca="false">+Q190+IF(IF(switch=0,RAROC!$D$87,RAROC!$E$87)=1,Q$192,0)+IF(IF(switch=0,RAROC!$D$87,RAROC!$E$87)=2,Q$194,0)+IF(IF(switch=0,RAROC!$D$87,RAROC!$E$87)=3,Q$197,0)</f>
        <v>0</v>
      </c>
      <c r="R201" s="248" t="n">
        <f aca="false">+R190+IF(IF(switch=0,RAROC!$D$87,RAROC!$E$87)=1,R$192,0)+IF(IF(switch=0,RAROC!$D$87,RAROC!$E$87)=2,R$194,0)+IF(IF(switch=0,RAROC!$D$87,RAROC!$E$87)=3,R$197,0)</f>
        <v>0</v>
      </c>
      <c r="S201" s="248" t="n">
        <f aca="false">+S190+IF(IF(switch=0,RAROC!$D$87,RAROC!$E$87)=1,S$192,0)+IF(IF(switch=0,RAROC!$D$87,RAROC!$E$87)=2,S$194,0)+IF(IF(switch=0,RAROC!$D$87,RAROC!$E$87)=3,S$197,0)</f>
        <v>0</v>
      </c>
      <c r="T201" s="248" t="n">
        <f aca="false">+T190+IF(IF(switch=0,RAROC!$D$87,RAROC!$E$87)=1,T$192,0)+IF(IF(switch=0,RAROC!$D$87,RAROC!$E$87)=2,T$194,0)+IF(IF(switch=0,RAROC!$D$87,RAROC!$E$87)=3,T$197,0)</f>
        <v>0</v>
      </c>
      <c r="U201" s="248" t="n">
        <f aca="false">+U190+IF(IF(switch=0,RAROC!$D$87,RAROC!$E$87)=1,U$192,0)+IF(IF(switch=0,RAROC!$D$87,RAROC!$E$87)=2,U$194,0)+IF(IF(switch=0,RAROC!$D$87,RAROC!$E$87)=3,U$197,0)</f>
        <v>0</v>
      </c>
      <c r="V201" s="248" t="n">
        <f aca="false">+V190+IF(IF(switch=0,RAROC!$D$87,RAROC!$E$87)=1,V$192,0)+IF(IF(switch=0,RAROC!$D$87,RAROC!$E$87)=2,V$194,0)+IF(IF(switch=0,RAROC!$D$87,RAROC!$E$87)=3,V$197,0)</f>
        <v>0</v>
      </c>
      <c r="W201" s="248" t="n">
        <f aca="false">+W190+IF(IF(switch=0,RAROC!$D$87,RAROC!$E$87)=1,W$192,0)+IF(IF(switch=0,RAROC!$D$87,RAROC!$E$87)=2,W$194,0)+IF(IF(switch=0,RAROC!$D$87,RAROC!$E$87)=3,W$197,0)</f>
        <v>0</v>
      </c>
      <c r="X201" s="248" t="n">
        <f aca="false">+X190+IF(IF(switch=0,RAROC!$D$87,RAROC!$E$87)=1,X$192,0)+IF(IF(switch=0,RAROC!$D$87,RAROC!$E$87)=2,X$194,0)+IF(IF(switch=0,RAROC!$D$87,RAROC!$E$87)=3,X$197,0)</f>
        <v>0</v>
      </c>
      <c r="Y201" s="248" t="n">
        <f aca="false">+Y190+IF(IF(switch=0,RAROC!$D$87,RAROC!$E$87)=1,Y$192,0)+IF(IF(switch=0,RAROC!$D$87,RAROC!$E$87)=2,Y$194,0)+IF(IF(switch=0,RAROC!$D$87,RAROC!$E$87)=3,Y$197,0)</f>
        <v>0</v>
      </c>
      <c r="Z201" s="248" t="n">
        <f aca="false">+Z190+IF(IF(switch=0,RAROC!$D$87,RAROC!$E$87)=1,Z$192,0)+IF(IF(switch=0,RAROC!$D$87,RAROC!$E$87)=2,Z$194,0)+IF(IF(switch=0,RAROC!$D$87,RAROC!$E$87)=3,Z$197,0)</f>
        <v>0</v>
      </c>
      <c r="AA201" s="248" t="n">
        <f aca="false">+AA190+IF(IF(switch=0,RAROC!$D$87,RAROC!$E$87)=1,AA$192,0)+IF(IF(switch=0,RAROC!$D$87,RAROC!$E$87)=2,AA$194,0)+IF(IF(switch=0,RAROC!$D$87,RAROC!$E$87)=3,AA$197,0)</f>
        <v>0</v>
      </c>
    </row>
    <row r="203" customFormat="false" ht="12.75" hidden="false" customHeight="false" outlineLevel="0" collapsed="false">
      <c r="D203" s="214" t="n">
        <v>0</v>
      </c>
      <c r="E203" s="214" t="n">
        <f aca="false">(1-RAROC!L$6)</f>
        <v>0.00800000000000001</v>
      </c>
      <c r="F203" s="214" t="n">
        <f aca="false">(1-RAROC!M$6)</f>
        <v>0.01</v>
      </c>
      <c r="G203" s="214" t="n">
        <f aca="false">(1-RAROC!N$6)</f>
        <v>0.00800000000000001</v>
      </c>
      <c r="H203" s="214" t="n">
        <f aca="false">(1-RAROC!O$6)</f>
        <v>0.012</v>
      </c>
      <c r="I203" s="214" t="n">
        <f aca="false">(1-RAROC!P$6)</f>
        <v>0.019</v>
      </c>
      <c r="J203" s="214" t="n">
        <f aca="false">(1-RAROC!Q$6)</f>
        <v>0.014</v>
      </c>
      <c r="K203" s="214" t="n">
        <f aca="false">(1-RAROC!R$6)</f>
        <v>0.02</v>
      </c>
      <c r="L203" s="214" t="n">
        <f aca="false">(1-RAROC!S$6)</f>
        <v>0.015</v>
      </c>
      <c r="M203" s="214" t="n">
        <f aca="false">(1-RAROC!T$6)</f>
        <v>0.024</v>
      </c>
      <c r="N203" s="214" t="n">
        <f aca="false">(1-RAROC!U$6)</f>
        <v>0.033</v>
      </c>
      <c r="O203" s="214" t="n">
        <f aca="false">(1-RAROC!V$6)</f>
        <v>0.021</v>
      </c>
      <c r="P203" s="214" t="n">
        <f aca="false">(1-RAROC!W$6)</f>
        <v>0.027</v>
      </c>
      <c r="Q203" s="214" t="n">
        <f aca="false">(1-RAROC!X$6)</f>
        <v>0.02</v>
      </c>
      <c r="R203" s="214" t="n">
        <f aca="false">(1-RAROC!Y$6)</f>
        <v>0.012</v>
      </c>
      <c r="S203" s="214" t="n">
        <f aca="false">(1-RAROC!Z$6)</f>
        <v>0.013</v>
      </c>
      <c r="T203" s="214" t="n">
        <f aca="false">(1-RAROC!AA$6)</f>
        <v>0.019</v>
      </c>
      <c r="U203" s="214" t="n">
        <f aca="false">(1-RAROC!AB$6)</f>
        <v>0.016</v>
      </c>
      <c r="V203" s="214" t="n">
        <f aca="false">(1-RAROC!AC$6)</f>
        <v>0.018</v>
      </c>
      <c r="W203" s="214" t="n">
        <f aca="false">(1-RAROC!AD$6)</f>
        <v>0.016</v>
      </c>
      <c r="X203" s="214" t="n">
        <f aca="false">(1-RAROC!AE$6)</f>
        <v>1</v>
      </c>
      <c r="Y203" s="214" t="n">
        <f aca="false">(1-RAROC!AF$6)</f>
        <v>1</v>
      </c>
      <c r="Z203" s="214" t="n">
        <f aca="false">(1-RAROC!AG$6)</f>
        <v>1</v>
      </c>
      <c r="AA203" s="214" t="n">
        <f aca="false">(1-RAROC!AH$6)</f>
        <v>1</v>
      </c>
    </row>
    <row r="204" customFormat="false" ht="12.75" hidden="false" customHeight="false" outlineLevel="0" collapsed="false">
      <c r="A204" s="0" t="s">
        <v>410</v>
      </c>
      <c r="B204" s="231" t="n">
        <f aca="false">+NPV('Common Assumpt'!$F$56,Elba!E204:AA204)</f>
        <v>-659.1895824413</v>
      </c>
      <c r="D204" s="251" t="n">
        <f aca="false">-D189*D203</f>
        <v>-0</v>
      </c>
      <c r="E204" s="251" t="n">
        <f aca="false">-E189*E203</f>
        <v>-0</v>
      </c>
      <c r="F204" s="251" t="n">
        <f aca="false">-F189*F203</f>
        <v>-0</v>
      </c>
      <c r="G204" s="251" t="n">
        <f aca="false">-G189*G203</f>
        <v>-178.293237641141</v>
      </c>
      <c r="H204" s="251" t="n">
        <f aca="false">-H189*H203</f>
        <v>-258.280995894347</v>
      </c>
      <c r="I204" s="251" t="n">
        <f aca="false">-I189*I203</f>
        <v>-394.553748465088</v>
      </c>
      <c r="J204" s="251" t="n">
        <f aca="false">-J189*J203</f>
        <v>-271.408619611985</v>
      </c>
      <c r="K204" s="251" t="n">
        <f aca="false">-K189*K203</f>
        <v>-372.967207754808</v>
      </c>
      <c r="L204" s="251" t="n">
        <f aca="false">-L189*L203</f>
        <v>-0</v>
      </c>
      <c r="M204" s="251" t="n">
        <f aca="false">-M189*M203</f>
        <v>-0</v>
      </c>
      <c r="N204" s="251" t="n">
        <f aca="false">-N189*N203</f>
        <v>-0</v>
      </c>
      <c r="O204" s="251" t="n">
        <f aca="false">-O189*O203</f>
        <v>-0</v>
      </c>
      <c r="P204" s="251" t="n">
        <f aca="false">-P189*P203</f>
        <v>-0</v>
      </c>
      <c r="Q204" s="251" t="n">
        <f aca="false">-Q189*Q203</f>
        <v>-0</v>
      </c>
      <c r="R204" s="251" t="n">
        <f aca="false">-R189*R203</f>
        <v>-0</v>
      </c>
      <c r="S204" s="251" t="n">
        <f aca="false">-S189*S203</f>
        <v>-0</v>
      </c>
      <c r="T204" s="251" t="n">
        <f aca="false">-T189*T203</f>
        <v>-0</v>
      </c>
      <c r="U204" s="251" t="n">
        <f aca="false">-U189*U203</f>
        <v>-0</v>
      </c>
      <c r="V204" s="251" t="n">
        <f aca="false">-V189*V203</f>
        <v>-0</v>
      </c>
      <c r="W204" s="251" t="n">
        <f aca="false">-W189*W203</f>
        <v>-0</v>
      </c>
      <c r="X204" s="251" t="n">
        <f aca="false">-X189*X203</f>
        <v>-0</v>
      </c>
      <c r="Y204" s="251" t="n">
        <f aca="false">-Y189*Y203</f>
        <v>-0</v>
      </c>
      <c r="Z204" s="251" t="n">
        <f aca="false">-Z189*Z203</f>
        <v>-0</v>
      </c>
      <c r="AA204" s="251" t="n">
        <f aca="false">-AA189*AA203</f>
        <v>-0</v>
      </c>
    </row>
    <row r="205" customFormat="false" ht="12.75" hidden="false" customHeight="false" outlineLevel="0" collapsed="false">
      <c r="A205" s="146" t="s">
        <v>411</v>
      </c>
      <c r="B205" s="231" t="n">
        <f aca="false">+NPV('Common Assumpt'!$F$56,Elba!E205:AA205)</f>
        <v>-808.169154440437</v>
      </c>
      <c r="D205" s="251" t="n">
        <f aca="false">-D196*D203</f>
        <v>-0</v>
      </c>
      <c r="E205" s="251" t="n">
        <f aca="false">-E196*E203</f>
        <v>-0</v>
      </c>
      <c r="F205" s="251" t="n">
        <f aca="false">-F196*F203</f>
        <v>-0</v>
      </c>
      <c r="G205" s="251" t="n">
        <f aca="false">-G196*G203</f>
        <v>-0</v>
      </c>
      <c r="H205" s="251" t="n">
        <f aca="false">-H196*H203</f>
        <v>-0</v>
      </c>
      <c r="I205" s="251" t="n">
        <f aca="false">-I196*I203</f>
        <v>-0</v>
      </c>
      <c r="J205" s="251" t="n">
        <f aca="false">-J196*J203</f>
        <v>-0</v>
      </c>
      <c r="K205" s="251" t="n">
        <f aca="false">-K196*K203</f>
        <v>-0</v>
      </c>
      <c r="L205" s="251" t="n">
        <f aca="false">-L196*L203</f>
        <v>-332.819501354189</v>
      </c>
      <c r="M205" s="251" t="n">
        <f aca="false">-M196*M203</f>
        <v>-533.855006104116</v>
      </c>
      <c r="N205" s="251" t="n">
        <f aca="false">-N196*N203</f>
        <v>-734.959165182831</v>
      </c>
      <c r="O205" s="251" t="n">
        <f aca="false">-O196*O203</f>
        <v>-499.40091720082</v>
      </c>
      <c r="P205" s="251" t="n">
        <f aca="false">-P196*P203</f>
        <v>-643.613830516767</v>
      </c>
      <c r="Q205" s="251" t="n">
        <f aca="false">-Q196*Q203</f>
        <v>-478.215024885778</v>
      </c>
      <c r="R205" s="251" t="n">
        <f aca="false">-R196*R203</f>
        <v>-305.435939199105</v>
      </c>
      <c r="S205" s="251" t="n">
        <f aca="false">-S196*S203</f>
        <v>-331.829343271328</v>
      </c>
      <c r="T205" s="251" t="n">
        <f aca="false">-T196*T203</f>
        <v>-486.55476783056</v>
      </c>
      <c r="U205" s="251" t="n">
        <f aca="false">-U196*U203</f>
        <v>-411.277401807144</v>
      </c>
      <c r="V205" s="251" t="n">
        <f aca="false">-V196*V203</f>
        <v>-464.196842295687</v>
      </c>
      <c r="W205" s="251" t="n">
        <f aca="false">-W196*W203</f>
        <v>-413.791093683782</v>
      </c>
      <c r="X205" s="251" t="n">
        <f aca="false">-X196*X203</f>
        <v>-0</v>
      </c>
      <c r="Y205" s="251" t="n">
        <f aca="false">-Y196*Y203</f>
        <v>-0</v>
      </c>
      <c r="Z205" s="251" t="n">
        <f aca="false">-Z196*Z203</f>
        <v>-0</v>
      </c>
      <c r="AA205" s="251" t="n">
        <f aca="false">-AA196*AA203</f>
        <v>-0</v>
      </c>
    </row>
    <row r="206" customFormat="false" ht="12.75" hidden="false" customHeight="false" outlineLevel="0" collapsed="false">
      <c r="B206" s="248"/>
    </row>
    <row r="207" customFormat="false" ht="12.75" hidden="false" customHeight="false" outlineLevel="0" collapsed="false">
      <c r="B207" s="248"/>
    </row>
    <row r="208" customFormat="false" ht="12.75" hidden="false" customHeight="false" outlineLevel="0" collapsed="false">
      <c r="A208" s="441" t="s">
        <v>14</v>
      </c>
      <c r="B208" s="442" t="n">
        <f aca="false">+NPV('Common Assumpt'!$F$56,Elba!E208:AA208)</f>
        <v>9134.40074354037</v>
      </c>
      <c r="C208" s="441"/>
      <c r="D208" s="443" t="n">
        <f aca="false">+SUM(D189:D190,D204)</f>
        <v>0</v>
      </c>
      <c r="E208" s="443" t="n">
        <f aca="false">+SUM(E189:E190,E204)</f>
        <v>0</v>
      </c>
      <c r="F208" s="443" t="n">
        <f aca="false">+SUM(F189:F190,F204)</f>
        <v>0</v>
      </c>
      <c r="G208" s="443" t="n">
        <f aca="false">+SUM(G189:G190,G204)</f>
        <v>5433.9186034146</v>
      </c>
      <c r="H208" s="443" t="n">
        <f aca="false">+SUM(H189:H190,H204)</f>
        <v>4610.30252121626</v>
      </c>
      <c r="I208" s="443" t="n">
        <f aca="false">+SUM(I189:I190,I204)</f>
        <v>3735.11221338986</v>
      </c>
      <c r="J208" s="443" t="n">
        <f aca="false">+SUM(J189:J190,J204)</f>
        <v>2571.23707336007</v>
      </c>
      <c r="K208" s="443" t="n">
        <f aca="false">+SUM(K189:K190,K204)</f>
        <v>1726.73470879891</v>
      </c>
      <c r="L208" s="443" t="n">
        <f aca="false">+SUM(L189:L190,L204)</f>
        <v>0</v>
      </c>
      <c r="M208" s="443" t="n">
        <f aca="false">+SUM(M189:M190,M204)</f>
        <v>0</v>
      </c>
      <c r="N208" s="443" t="n">
        <f aca="false">+SUM(N189:N190,N204)</f>
        <v>0</v>
      </c>
      <c r="O208" s="443" t="n">
        <f aca="false">+SUM(O189:O190,O204)</f>
        <v>0</v>
      </c>
      <c r="P208" s="443" t="n">
        <f aca="false">+SUM(P189:P190,P204)</f>
        <v>0</v>
      </c>
      <c r="Q208" s="443" t="n">
        <f aca="false">+SUM(Q189:Q190,Q204)</f>
        <v>0</v>
      </c>
      <c r="R208" s="443" t="n">
        <f aca="false">+SUM(R189:R190,R204)</f>
        <v>0</v>
      </c>
      <c r="S208" s="443" t="n">
        <f aca="false">+SUM(S189:S190,S204)</f>
        <v>0</v>
      </c>
      <c r="T208" s="443" t="n">
        <f aca="false">+SUM(T189:T190,T204)</f>
        <v>0</v>
      </c>
      <c r="U208" s="443" t="n">
        <f aca="false">+SUM(U189:U190,U204)</f>
        <v>0</v>
      </c>
      <c r="V208" s="443" t="n">
        <f aca="false">+SUM(V189:V190,V204)</f>
        <v>0</v>
      </c>
      <c r="W208" s="443" t="n">
        <f aca="false">+SUM(W189:W190,W204)</f>
        <v>0</v>
      </c>
      <c r="X208" s="443" t="n">
        <f aca="false">+SUM(X189:X190,X204)</f>
        <v>0</v>
      </c>
      <c r="Y208" s="443" t="n">
        <f aca="false">+SUM(Y189:Y190,Y204)</f>
        <v>0</v>
      </c>
      <c r="Z208" s="443" t="n">
        <f aca="false">+SUM(Z189:Z190,Z204)</f>
        <v>0</v>
      </c>
      <c r="AA208" s="443" t="n">
        <f aca="false">+SUM(AA189:AA190,AA204)</f>
        <v>0</v>
      </c>
    </row>
    <row r="209" customFormat="false" ht="12.75" hidden="false" customHeight="false" outlineLevel="0" collapsed="false">
      <c r="A209" s="444" t="s">
        <v>303</v>
      </c>
      <c r="B209" s="442" t="n">
        <f aca="false">+NPV('Common Assumpt'!$F$56,Elba!E209:AA209)</f>
        <v>0</v>
      </c>
      <c r="C209" s="445" t="n">
        <f aca="false">+'Common Assumpt'!G59*IF(arb="y",0,1)</f>
        <v>0.2</v>
      </c>
      <c r="D209" s="443" t="n">
        <f aca="false">+D192</f>
        <v>-0</v>
      </c>
      <c r="E209" s="443" t="n">
        <f aca="false">+E192</f>
        <v>-0</v>
      </c>
      <c r="F209" s="443" t="n">
        <f aca="false">+F192</f>
        <v>-0</v>
      </c>
      <c r="G209" s="443" t="n">
        <f aca="false">+G192</f>
        <v>-0</v>
      </c>
      <c r="H209" s="443" t="n">
        <f aca="false">+H192</f>
        <v>-0</v>
      </c>
      <c r="I209" s="443" t="n">
        <f aca="false">+I192</f>
        <v>-0</v>
      </c>
      <c r="J209" s="443" t="n">
        <f aca="false">+J192</f>
        <v>-0</v>
      </c>
      <c r="K209" s="443" t="n">
        <f aca="false">+K192</f>
        <v>-0</v>
      </c>
      <c r="L209" s="443" t="n">
        <f aca="false">+L192</f>
        <v>0</v>
      </c>
      <c r="M209" s="443" t="n">
        <f aca="false">+M192</f>
        <v>0</v>
      </c>
      <c r="N209" s="443" t="n">
        <f aca="false">+N192</f>
        <v>0</v>
      </c>
      <c r="O209" s="443" t="n">
        <f aca="false">+O192</f>
        <v>0</v>
      </c>
      <c r="P209" s="443" t="n">
        <f aca="false">+P192</f>
        <v>0</v>
      </c>
      <c r="Q209" s="443" t="n">
        <f aca="false">+Q192</f>
        <v>0</v>
      </c>
      <c r="R209" s="443" t="n">
        <f aca="false">+R192</f>
        <v>0</v>
      </c>
      <c r="S209" s="443" t="n">
        <f aca="false">+S192</f>
        <v>0</v>
      </c>
      <c r="T209" s="443" t="n">
        <f aca="false">+T192</f>
        <v>0</v>
      </c>
      <c r="U209" s="443" t="n">
        <f aca="false">+U192</f>
        <v>0</v>
      </c>
      <c r="V209" s="443" t="n">
        <f aca="false">+V192</f>
        <v>0</v>
      </c>
      <c r="W209" s="443" t="n">
        <f aca="false">+W192</f>
        <v>0</v>
      </c>
      <c r="X209" s="443" t="n">
        <f aca="false">+X192</f>
        <v>0</v>
      </c>
      <c r="Y209" s="443" t="n">
        <f aca="false">+Y192</f>
        <v>0</v>
      </c>
      <c r="Z209" s="443" t="n">
        <f aca="false">+Z192</f>
        <v>0</v>
      </c>
      <c r="AA209" s="443" t="n">
        <f aca="false">+AA192</f>
        <v>0</v>
      </c>
    </row>
    <row r="210" customFormat="false" ht="12.75" hidden="false" customHeight="false" outlineLevel="0" collapsed="false">
      <c r="A210" s="444" t="s">
        <v>304</v>
      </c>
      <c r="B210" s="442" t="n">
        <f aca="false">+NPV('Common Assumpt'!$F$56,Elba!E210:AA210)</f>
        <v>-21234.530315739</v>
      </c>
      <c r="C210" s="445" t="n">
        <f aca="false">+'Common Assumpt'!G60*IF(arb="y",0,1)</f>
        <v>0.2</v>
      </c>
      <c r="D210" s="443" t="n">
        <f aca="false">+D194</f>
        <v>-0</v>
      </c>
      <c r="E210" s="443" t="n">
        <f aca="false">+E194</f>
        <v>-0</v>
      </c>
      <c r="F210" s="443" t="n">
        <f aca="false">+F194</f>
        <v>-0</v>
      </c>
      <c r="G210" s="443" t="n">
        <f aca="false">+G194</f>
        <v>-0</v>
      </c>
      <c r="H210" s="443" t="n">
        <f aca="false">+H194</f>
        <v>-0</v>
      </c>
      <c r="I210" s="443" t="n">
        <f aca="false">+I194</f>
        <v>-0</v>
      </c>
      <c r="J210" s="443" t="n">
        <f aca="false">+J194</f>
        <v>-0</v>
      </c>
      <c r="K210" s="443" t="n">
        <f aca="false">+K194</f>
        <v>-63729.9666985554</v>
      </c>
      <c r="L210" s="443" t="n">
        <f aca="false">+L194</f>
        <v>0</v>
      </c>
      <c r="M210" s="443" t="n">
        <f aca="false">+M194</f>
        <v>0</v>
      </c>
      <c r="N210" s="443" t="n">
        <f aca="false">+N194</f>
        <v>0</v>
      </c>
      <c r="O210" s="443" t="n">
        <f aca="false">+O194</f>
        <v>0</v>
      </c>
      <c r="P210" s="443" t="n">
        <f aca="false">+P194</f>
        <v>0</v>
      </c>
      <c r="Q210" s="443" t="n">
        <f aca="false">+Q194</f>
        <v>0</v>
      </c>
      <c r="R210" s="443" t="n">
        <f aca="false">+R194</f>
        <v>0</v>
      </c>
      <c r="S210" s="443" t="n">
        <f aca="false">+S194</f>
        <v>0</v>
      </c>
      <c r="T210" s="443" t="n">
        <f aca="false">+T194</f>
        <v>0</v>
      </c>
      <c r="U210" s="443" t="n">
        <f aca="false">+U194</f>
        <v>0</v>
      </c>
      <c r="V210" s="443" t="n">
        <f aca="false">+V194</f>
        <v>0</v>
      </c>
      <c r="W210" s="443" t="n">
        <f aca="false">+W194</f>
        <v>0</v>
      </c>
      <c r="X210" s="443" t="n">
        <f aca="false">+X194</f>
        <v>0</v>
      </c>
      <c r="Y210" s="443" t="n">
        <f aca="false">+Y194</f>
        <v>0</v>
      </c>
      <c r="Z210" s="443" t="n">
        <f aca="false">+Z194</f>
        <v>0</v>
      </c>
      <c r="AA210" s="443" t="n">
        <f aca="false">+AA194</f>
        <v>0</v>
      </c>
    </row>
    <row r="211" customFormat="false" ht="12.75" hidden="false" customHeight="false" outlineLevel="0" collapsed="false">
      <c r="A211" s="446" t="s">
        <v>305</v>
      </c>
      <c r="B211" s="447" t="n">
        <f aca="false">+NPV('Common Assumpt'!$F$56,Elba!E211:AA211)</f>
        <v>9841.11828393603</v>
      </c>
      <c r="C211" s="448" t="n">
        <f aca="false">+'Common Assumpt'!G61*IF(arb="y",0,1)+IF(arb="y",1,0)</f>
        <v>0.6</v>
      </c>
      <c r="D211" s="443" t="n">
        <f aca="false">+D196+D205+D197</f>
        <v>0</v>
      </c>
      <c r="E211" s="443" t="n">
        <f aca="false">+E196+E205+E197</f>
        <v>0</v>
      </c>
      <c r="F211" s="443" t="n">
        <f aca="false">+F196+F205+F197</f>
        <v>0</v>
      </c>
      <c r="G211" s="443" t="n">
        <f aca="false">+G196+G205+G197</f>
        <v>0</v>
      </c>
      <c r="H211" s="443" t="n">
        <f aca="false">+H196+H205+H197</f>
        <v>0</v>
      </c>
      <c r="I211" s="443" t="n">
        <f aca="false">+I196+I205+I197</f>
        <v>0</v>
      </c>
      <c r="J211" s="443" t="n">
        <f aca="false">+J196+J205+J197</f>
        <v>0</v>
      </c>
      <c r="K211" s="443" t="n">
        <f aca="false">+K196+K205+K197</f>
        <v>0</v>
      </c>
      <c r="L211" s="443" t="n">
        <f aca="false">+L196+L205+L197</f>
        <v>5523.54114855151</v>
      </c>
      <c r="M211" s="443" t="n">
        <f aca="false">+M196+M205+M197</f>
        <v>5203.69402679119</v>
      </c>
      <c r="N211" s="443" t="n">
        <f aca="false">+N196+N205+N197</f>
        <v>4898.9200541081</v>
      </c>
      <c r="O211" s="443" t="n">
        <f aca="false">+O196+O205+O197</f>
        <v>6195.74809642081</v>
      </c>
      <c r="P211" s="443" t="n">
        <f aca="false">+P196+P205+P197</f>
        <v>5937.68622084517</v>
      </c>
      <c r="Q211" s="443" t="n">
        <f aca="false">+Q196+Q205+Q197</f>
        <v>5980.04674377082</v>
      </c>
      <c r="R211" s="443" t="n">
        <f aca="false">+R196+R205+R197</f>
        <v>7215.51453193766</v>
      </c>
      <c r="S211" s="443" t="n">
        <f aca="false">+S196+S205+S197</f>
        <v>7068.18128353944</v>
      </c>
      <c r="T211" s="443" t="n">
        <f aca="false">+T196+T205+T197</f>
        <v>6784.59182536887</v>
      </c>
      <c r="U211" s="443" t="n">
        <f aca="false">+U196+U205+U197</f>
        <v>6720.86472041713</v>
      </c>
      <c r="V211" s="443" t="n">
        <f aca="false">+V196+V205+V197</f>
        <v>6532.74895398353</v>
      </c>
      <c r="W211" s="443" t="n">
        <f aca="false">+W196+W205+W197</f>
        <v>6451.04359673166</v>
      </c>
      <c r="X211" s="443" t="n">
        <f aca="false">+X196+X205+X197</f>
        <v>0</v>
      </c>
      <c r="Y211" s="443" t="n">
        <f aca="false">+Y196+Y205+Y197</f>
        <v>0</v>
      </c>
      <c r="Z211" s="443" t="n">
        <f aca="false">+Z196+Z205+Z197</f>
        <v>0</v>
      </c>
      <c r="AA211" s="443" t="n">
        <f aca="false">+AA196+AA205+AA197</f>
        <v>0</v>
      </c>
    </row>
    <row r="212" customFormat="false" ht="12.75" hidden="false" customHeight="false" outlineLevel="0" collapsed="false">
      <c r="A212" s="441" t="s">
        <v>306</v>
      </c>
      <c r="B212" s="449" t="n">
        <f aca="false">+B208+SUMPRODUCT(B209:B211,C209:C211)</f>
        <v>10792.1656507542</v>
      </c>
      <c r="C212" s="441"/>
      <c r="D212" s="441"/>
      <c r="E212" s="441"/>
      <c r="F212" s="441"/>
      <c r="G212" s="441"/>
      <c r="H212" s="441"/>
      <c r="I212" s="441"/>
      <c r="J212" s="441"/>
      <c r="K212" s="441"/>
      <c r="L212" s="441"/>
      <c r="M212" s="441"/>
      <c r="N212" s="441"/>
      <c r="O212" s="441"/>
      <c r="P212" s="441"/>
      <c r="Q212" s="441"/>
      <c r="R212" s="441"/>
      <c r="S212" s="441"/>
      <c r="T212" s="441"/>
      <c r="U212" s="441"/>
      <c r="V212" s="441"/>
      <c r="W212" s="441"/>
      <c r="X212" s="441"/>
      <c r="Y212" s="441"/>
      <c r="Z212" s="441"/>
      <c r="AA212" s="441"/>
    </row>
    <row r="214" customFormat="false" ht="12.75" hidden="false" customHeight="false" outlineLevel="0" collapsed="false">
      <c r="A214" s="0" t="s">
        <v>412</v>
      </c>
      <c r="B214" s="450" t="s">
        <v>413</v>
      </c>
      <c r="C214" s="451" t="n">
        <v>0.15</v>
      </c>
    </row>
  </sheetData>
  <printOptions headings="false" gridLines="false" gridLinesSet="true" horizontalCentered="false" verticalCentered="false"/>
  <pageMargins left="0.25" right="0" top="0.4" bottom="0.5" header="0.4" footer="0.4"/>
  <pageSetup paperSize="1" scale="43" fitToWidth="1" fitToHeight="1" pageOrder="overThenDown" orientation="landscape" blackAndWhite="false" draft="false" cellComments="none" horizontalDpi="300" verticalDpi="300" copies="1"/>
  <headerFooter differentFirst="false" differentOddEven="false">
    <oddHeader>&amp;L &amp;C &amp;R </oddHeader>
    <oddFooter>&amp;L&amp;"Times New Roman,Regular"&amp;F\&amp;A&amp;C&amp;"Times New Roman,Regular"CONFIDENTIAL&amp;R&amp;"Times New Roman,Regular"&amp;P of &amp;N</oddFooter>
  </headerFooter>
  <rowBreaks count="2" manualBreakCount="2">
    <brk id="74" man="true" max="16383" min="0"/>
    <brk id="140" man="true" max="16383" min="0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S51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7.9921875" defaultRowHeight="10.5" customHeight="true" zeroHeight="false" outlineLevelRow="0" outlineLevelCol="0"/>
  <cols>
    <col collapsed="false" customWidth="true" hidden="false" outlineLevel="0" max="1" min="1" style="452" width="12.7"/>
    <col collapsed="false" customWidth="true" hidden="false" outlineLevel="0" max="2" min="2" style="452" width="5.56"/>
    <col collapsed="false" customWidth="true" hidden="false" outlineLevel="0" max="3" min="3" style="452" width="8.99"/>
    <col collapsed="false" customWidth="true" hidden="false" outlineLevel="0" max="6" min="4" style="452" width="10.13"/>
    <col collapsed="false" customWidth="true" hidden="false" outlineLevel="0" max="8" min="7" style="452" width="9.14"/>
    <col collapsed="false" customWidth="true" hidden="false" outlineLevel="0" max="11" min="9" style="452" width="10.13"/>
    <col collapsed="false" customWidth="false" hidden="false" outlineLevel="0" max="12" min="12" style="452" width="7.99"/>
    <col collapsed="false" customWidth="true" hidden="false" outlineLevel="0" max="13" min="13" style="452" width="9.14"/>
    <col collapsed="false" customWidth="false" hidden="false" outlineLevel="0" max="14" min="14" style="452" width="7.99"/>
    <col collapsed="false" customWidth="true" hidden="false" outlineLevel="0" max="15" min="15" style="452" width="8.41"/>
    <col collapsed="false" customWidth="true" hidden="false" outlineLevel="0" max="16" min="16" style="452" width="4.41"/>
    <col collapsed="false" customWidth="true" hidden="false" outlineLevel="0" max="17" min="17" style="452" width="11.28"/>
    <col collapsed="false" customWidth="true" hidden="false" outlineLevel="0" max="37" min="18" style="452" width="6.99"/>
    <col collapsed="false" customWidth="true" hidden="false" outlineLevel="0" max="38" min="38" style="452" width="6.7"/>
    <col collapsed="false" customWidth="true" hidden="false" outlineLevel="0" max="39" min="39" style="452" width="6.85"/>
    <col collapsed="false" customWidth="true" hidden="false" outlineLevel="0" max="41" min="40" style="452" width="6.99"/>
    <col collapsed="false" customWidth="true" hidden="false" outlineLevel="0" max="43" min="42" style="452" width="6.7"/>
    <col collapsed="false" customWidth="false" hidden="false" outlineLevel="0" max="257" min="44" style="452" width="7.99"/>
  </cols>
  <sheetData>
    <row r="1" customFormat="false" ht="19.5" hidden="false" customHeight="false" outlineLevel="0" collapsed="false">
      <c r="A1" s="453" t="s">
        <v>414</v>
      </c>
      <c r="AO1" s="454"/>
      <c r="AP1" s="454"/>
      <c r="AQ1" s="454"/>
      <c r="AR1" s="454"/>
      <c r="AS1" s="454"/>
    </row>
    <row r="2" customFormat="false" ht="10.5" hidden="false" customHeight="false" outlineLevel="0" collapsed="false">
      <c r="I2" s="454"/>
      <c r="J2" s="454"/>
      <c r="K2" s="454"/>
      <c r="L2" s="454"/>
      <c r="M2" s="454"/>
      <c r="N2" s="454"/>
      <c r="AO2" s="454"/>
      <c r="AP2" s="454"/>
      <c r="AQ2" s="454"/>
      <c r="AR2" s="454"/>
      <c r="AS2" s="454"/>
    </row>
    <row r="3" customFormat="false" ht="10.5" hidden="false" customHeight="false" outlineLevel="0" collapsed="false">
      <c r="B3" s="454"/>
      <c r="C3" s="455" t="s">
        <v>415</v>
      </c>
      <c r="D3" s="456"/>
      <c r="E3" s="456"/>
      <c r="F3" s="457" t="n">
        <v>0</v>
      </c>
      <c r="G3" s="454"/>
      <c r="H3" s="454"/>
      <c r="I3" s="454"/>
      <c r="J3" s="454"/>
      <c r="K3" s="454"/>
      <c r="L3" s="454"/>
      <c r="M3" s="454"/>
      <c r="N3" s="454"/>
      <c r="O3" s="454"/>
      <c r="AO3" s="454"/>
      <c r="AP3" s="454"/>
      <c r="AQ3" s="454"/>
      <c r="AR3" s="454"/>
      <c r="AS3" s="454"/>
    </row>
    <row r="4" customFormat="false" ht="10.5" hidden="false" customHeight="false" outlineLevel="0" collapsed="false">
      <c r="B4" s="454"/>
      <c r="C4" s="455" t="s">
        <v>416</v>
      </c>
      <c r="D4" s="456"/>
      <c r="E4" s="456"/>
      <c r="F4" s="457" t="n">
        <v>0</v>
      </c>
      <c r="G4" s="454"/>
      <c r="H4" s="454"/>
      <c r="I4" s="454"/>
      <c r="J4" s="454"/>
      <c r="K4" s="454"/>
      <c r="L4" s="454"/>
      <c r="M4" s="454"/>
      <c r="N4" s="454"/>
      <c r="O4" s="454"/>
      <c r="AO4" s="454"/>
      <c r="AP4" s="454"/>
      <c r="AQ4" s="454"/>
      <c r="AR4" s="454"/>
      <c r="AS4" s="454"/>
    </row>
    <row r="5" customFormat="false" ht="10.5" hidden="false" customHeight="false" outlineLevel="0" collapsed="false">
      <c r="A5" s="458"/>
      <c r="B5" s="454"/>
      <c r="C5" s="459"/>
      <c r="D5" s="460" t="s">
        <v>417</v>
      </c>
      <c r="E5" s="460" t="s">
        <v>418</v>
      </c>
      <c r="F5" s="461" t="s">
        <v>419</v>
      </c>
      <c r="G5" s="454"/>
      <c r="H5" s="454"/>
      <c r="I5" s="462" t="s">
        <v>420</v>
      </c>
      <c r="J5" s="452" t="s">
        <v>421</v>
      </c>
      <c r="K5" s="463"/>
      <c r="N5" s="454"/>
      <c r="O5" s="454"/>
      <c r="AO5" s="454"/>
      <c r="AP5" s="454"/>
      <c r="AQ5" s="454"/>
      <c r="AR5" s="454"/>
      <c r="AS5" s="454"/>
    </row>
    <row r="6" customFormat="false" ht="10.5" hidden="false" customHeight="false" outlineLevel="0" collapsed="false">
      <c r="B6" s="454"/>
      <c r="C6" s="464"/>
      <c r="D6" s="465" t="s">
        <v>422</v>
      </c>
      <c r="E6" s="465" t="s">
        <v>423</v>
      </c>
      <c r="F6" s="466" t="s">
        <v>424</v>
      </c>
      <c r="G6" s="454"/>
      <c r="H6" s="454"/>
      <c r="I6" s="454"/>
      <c r="J6" s="467" t="s">
        <v>425</v>
      </c>
      <c r="K6" s="454"/>
      <c r="L6" s="454"/>
      <c r="M6" s="454"/>
      <c r="N6" s="454"/>
      <c r="O6" s="454"/>
      <c r="AO6" s="454"/>
      <c r="AP6" s="454"/>
      <c r="AQ6" s="454"/>
      <c r="AR6" s="454"/>
      <c r="AS6" s="454"/>
    </row>
    <row r="7" customFormat="false" ht="10.5" hidden="false" customHeight="false" outlineLevel="0" collapsed="false">
      <c r="B7" s="454"/>
      <c r="C7" s="464"/>
      <c r="D7" s="465" t="s">
        <v>426</v>
      </c>
      <c r="E7" s="465" t="s">
        <v>427</v>
      </c>
      <c r="F7" s="466" t="s">
        <v>428</v>
      </c>
      <c r="G7" s="454"/>
      <c r="H7" s="454"/>
      <c r="I7" s="454"/>
      <c r="J7" s="467" t="s">
        <v>429</v>
      </c>
      <c r="K7" s="454"/>
      <c r="L7" s="454"/>
      <c r="M7" s="454"/>
      <c r="N7" s="468" t="n">
        <f aca="false">[1]!ParmUpdate</f>
        <v>36616</v>
      </c>
      <c r="O7" s="454"/>
      <c r="AO7" s="454"/>
      <c r="AP7" s="454"/>
      <c r="AQ7" s="454"/>
      <c r="AR7" s="454"/>
      <c r="AS7" s="454"/>
    </row>
    <row r="8" customFormat="false" ht="10.5" hidden="false" customHeight="false" outlineLevel="0" collapsed="false">
      <c r="B8" s="454"/>
      <c r="C8" s="469" t="str">
        <f aca="false">IF(GasSwitch=0,"Gas","Aeco")</f>
        <v>Gas</v>
      </c>
      <c r="D8" s="470" t="n">
        <f aca="false">IF(GasSwitch=0,[1]!GasK,[1]!AecoK)</f>
        <v>0.3982</v>
      </c>
      <c r="E8" s="470" t="n">
        <f aca="false">IF(GasSwitch=0,[1]!GasVol,[1]!AecoVol)</f>
        <v>0.3135</v>
      </c>
      <c r="F8" s="471" t="n">
        <f aca="false">IF(GasSwitch=0,[1]!GasGamma,[1]!AecoGamma)</f>
        <v>0.5</v>
      </c>
      <c r="G8" s="472"/>
      <c r="H8" s="472"/>
      <c r="I8" s="454"/>
      <c r="J8" s="467" t="s">
        <v>430</v>
      </c>
      <c r="K8" s="454"/>
      <c r="L8" s="454"/>
      <c r="M8" s="454"/>
      <c r="N8" s="468" t="n">
        <f aca="false">[1]!GasUpdate</f>
        <v>36616</v>
      </c>
      <c r="O8" s="454"/>
      <c r="AO8" s="454"/>
      <c r="AP8" s="454"/>
      <c r="AQ8" s="454"/>
      <c r="AR8" s="454"/>
      <c r="AS8" s="454"/>
    </row>
    <row r="9" customFormat="false" ht="10.5" hidden="false" customHeight="false" outlineLevel="0" collapsed="false">
      <c r="A9" s="454"/>
      <c r="B9" s="454"/>
      <c r="C9" s="469" t="str">
        <f aca="false">IF(OilSwitch=0,"Oil","Brent")</f>
        <v>Oil</v>
      </c>
      <c r="D9" s="470" t="n">
        <f aca="false">IF(OilSwitch=0,[1]!OilK,[1]!BrentK)</f>
        <v>0.099</v>
      </c>
      <c r="E9" s="470" t="n">
        <f aca="false">IF(OilSwitch=0,[1]!OilVol,[1]!BrentVol)</f>
        <v>1.664</v>
      </c>
      <c r="F9" s="473" t="n">
        <f aca="false">IF(OilSwitch=0,[1]!OilGamma,[1]!BrentGamma)</f>
        <v>0</v>
      </c>
      <c r="G9" s="472"/>
      <c r="H9" s="472"/>
      <c r="I9" s="454"/>
      <c r="J9" s="467" t="s">
        <v>431</v>
      </c>
      <c r="K9" s="454"/>
      <c r="L9" s="454"/>
      <c r="M9" s="454"/>
      <c r="N9" s="468" t="n">
        <f aca="false">[1]!OilUpdate</f>
        <v>36616</v>
      </c>
      <c r="O9" s="454"/>
      <c r="AO9" s="454"/>
      <c r="AP9" s="454"/>
      <c r="AQ9" s="454"/>
      <c r="AR9" s="454"/>
      <c r="AS9" s="454"/>
    </row>
    <row r="10" customFormat="false" ht="10.5" hidden="false" customHeight="false" outlineLevel="0" collapsed="false">
      <c r="A10" s="454"/>
      <c r="B10" s="454"/>
      <c r="C10" s="469" t="s">
        <v>432</v>
      </c>
      <c r="D10" s="474" t="n">
        <v>0.3982</v>
      </c>
      <c r="E10" s="475" t="n">
        <v>0.3135</v>
      </c>
      <c r="F10" s="475" t="n">
        <v>0.5</v>
      </c>
      <c r="G10" s="472"/>
      <c r="H10" s="472"/>
      <c r="I10" s="472"/>
      <c r="J10" s="454" t="s">
        <v>433</v>
      </c>
      <c r="K10" s="467"/>
      <c r="L10" s="454"/>
      <c r="M10" s="454"/>
      <c r="N10" s="468" t="n">
        <f aca="false">[1]!AecoUpdate</f>
        <v>36616</v>
      </c>
      <c r="O10" s="454"/>
      <c r="AO10" s="454"/>
      <c r="AP10" s="454"/>
      <c r="AQ10" s="454"/>
      <c r="AR10" s="454"/>
      <c r="AS10" s="454"/>
    </row>
    <row r="11" customFormat="false" ht="10.5" hidden="false" customHeight="false" outlineLevel="0" collapsed="false">
      <c r="A11" s="454"/>
      <c r="B11" s="454"/>
      <c r="C11" s="476" t="s">
        <v>434</v>
      </c>
      <c r="D11" s="474" t="n">
        <v>0.099</v>
      </c>
      <c r="E11" s="475" t="n">
        <v>1.664</v>
      </c>
      <c r="F11" s="475" t="n">
        <v>0</v>
      </c>
      <c r="G11" s="472"/>
      <c r="H11" s="472"/>
      <c r="I11" s="472"/>
      <c r="J11" s="454" t="s">
        <v>435</v>
      </c>
      <c r="K11" s="467"/>
      <c r="L11" s="454"/>
      <c r="M11" s="454"/>
      <c r="N11" s="468" t="n">
        <f aca="false">[1]!BrentUpdate</f>
        <v>36616</v>
      </c>
      <c r="O11" s="454"/>
      <c r="AO11" s="454"/>
      <c r="AP11" s="454"/>
      <c r="AQ11" s="454"/>
      <c r="AR11" s="454"/>
      <c r="AS11" s="454"/>
    </row>
    <row r="12" customFormat="false" ht="11.25" hidden="false" customHeight="false" outlineLevel="0" collapsed="false">
      <c r="A12" s="454"/>
      <c r="B12" s="454"/>
      <c r="C12" s="454"/>
      <c r="D12" s="454"/>
      <c r="E12" s="477"/>
      <c r="F12" s="477"/>
      <c r="G12" s="472"/>
      <c r="H12" s="472"/>
      <c r="I12" s="472"/>
      <c r="J12" s="454"/>
      <c r="K12" s="467"/>
      <c r="L12" s="454"/>
      <c r="M12" s="454"/>
      <c r="N12" s="454"/>
      <c r="O12" s="454"/>
      <c r="AP12" s="454"/>
      <c r="AQ12" s="454"/>
      <c r="AR12" s="454"/>
      <c r="AS12" s="454"/>
    </row>
    <row r="13" customFormat="false" ht="10.5" hidden="false" customHeight="false" outlineLevel="0" collapsed="false">
      <c r="A13" s="454"/>
      <c r="B13" s="454"/>
      <c r="C13" s="454"/>
      <c r="D13" s="454"/>
      <c r="E13" s="477"/>
      <c r="F13" s="477"/>
      <c r="G13" s="472"/>
      <c r="H13" s="478" t="s">
        <v>436</v>
      </c>
      <c r="I13" s="478"/>
      <c r="J13" s="478"/>
      <c r="K13" s="478"/>
      <c r="L13" s="478"/>
      <c r="M13" s="478"/>
      <c r="N13" s="478"/>
      <c r="O13" s="478"/>
      <c r="AP13" s="454"/>
      <c r="AQ13" s="454"/>
      <c r="AR13" s="454"/>
      <c r="AS13" s="454"/>
    </row>
    <row r="14" customFormat="false" ht="10.5" hidden="false" customHeight="false" outlineLevel="0" collapsed="false">
      <c r="A14" s="454"/>
      <c r="B14" s="454"/>
      <c r="C14" s="454"/>
      <c r="D14" s="454"/>
      <c r="E14" s="454"/>
      <c r="F14" s="454"/>
      <c r="G14" s="472"/>
      <c r="H14" s="479" t="s">
        <v>437</v>
      </c>
      <c r="I14" s="480"/>
      <c r="J14" s="480"/>
      <c r="K14" s="480"/>
      <c r="L14" s="480"/>
      <c r="M14" s="480"/>
      <c r="N14" s="480"/>
      <c r="O14" s="481"/>
      <c r="AP14" s="454"/>
      <c r="AQ14" s="454"/>
      <c r="AR14" s="454"/>
      <c r="AS14" s="454"/>
    </row>
    <row r="15" customFormat="false" ht="10.5" hidden="false" customHeight="false" outlineLevel="0" collapsed="false">
      <c r="A15" s="463" t="s">
        <v>438</v>
      </c>
      <c r="B15" s="454"/>
      <c r="C15" s="454"/>
      <c r="D15" s="454"/>
      <c r="E15" s="454"/>
      <c r="F15" s="482" t="n">
        <v>0</v>
      </c>
      <c r="H15" s="483" t="s">
        <v>439</v>
      </c>
      <c r="I15" s="484"/>
      <c r="J15" s="485"/>
      <c r="K15" s="485"/>
      <c r="L15" s="485"/>
      <c r="M15" s="485"/>
      <c r="N15" s="485"/>
      <c r="O15" s="486"/>
      <c r="P15" s="454"/>
      <c r="Q15" s="454"/>
      <c r="AP15" s="454"/>
      <c r="AQ15" s="454"/>
      <c r="AR15" s="454"/>
      <c r="AS15" s="454"/>
    </row>
    <row r="16" customFormat="false" ht="11.25" hidden="false" customHeight="false" outlineLevel="0" collapsed="false">
      <c r="A16" s="454"/>
      <c r="B16" s="454"/>
      <c r="C16" s="454"/>
      <c r="D16" s="454"/>
      <c r="E16" s="454"/>
      <c r="F16" s="454"/>
      <c r="H16" s="487" t="s">
        <v>440</v>
      </c>
      <c r="I16" s="488"/>
      <c r="J16" s="489"/>
      <c r="K16" s="489"/>
      <c r="L16" s="489"/>
      <c r="M16" s="489"/>
      <c r="N16" s="489"/>
      <c r="O16" s="490"/>
      <c r="P16" s="454"/>
      <c r="Q16" s="454"/>
      <c r="AP16" s="454"/>
      <c r="AQ16" s="454"/>
      <c r="AR16" s="454"/>
      <c r="AS16" s="454"/>
    </row>
    <row r="17" customFormat="false" ht="10.5" hidden="false" customHeight="false" outlineLevel="0" collapsed="false">
      <c r="I17" s="454"/>
      <c r="J17" s="454"/>
      <c r="K17" s="454"/>
      <c r="L17" s="454"/>
      <c r="M17" s="454"/>
      <c r="N17" s="454"/>
      <c r="O17" s="454"/>
      <c r="P17" s="454"/>
      <c r="Q17" s="454"/>
      <c r="AP17" s="454"/>
      <c r="AQ17" s="454"/>
      <c r="AR17" s="454"/>
      <c r="AS17" s="454"/>
    </row>
    <row r="18" customFormat="false" ht="10.5" hidden="false" customHeight="false" outlineLevel="0" collapsed="false">
      <c r="I18" s="454"/>
      <c r="J18" s="454"/>
      <c r="K18" s="454"/>
      <c r="L18" s="454"/>
      <c r="M18" s="454"/>
      <c r="N18" s="454"/>
      <c r="O18" s="454"/>
      <c r="P18" s="454"/>
      <c r="Q18" s="454"/>
      <c r="AP18" s="454"/>
      <c r="AQ18" s="454"/>
      <c r="AR18" s="454"/>
      <c r="AS18" s="454"/>
    </row>
    <row r="19" customFormat="false" ht="10.5" hidden="false" customHeight="false" outlineLevel="0" collapsed="false">
      <c r="C19" s="491" t="s">
        <v>441</v>
      </c>
      <c r="D19" s="491" t="s">
        <v>442</v>
      </c>
      <c r="H19" s="491" t="s">
        <v>441</v>
      </c>
      <c r="I19" s="491" t="s">
        <v>442</v>
      </c>
      <c r="J19" s="454"/>
      <c r="AP19" s="454"/>
      <c r="AQ19" s="454"/>
      <c r="AR19" s="454"/>
      <c r="AS19" s="454"/>
    </row>
    <row r="20" customFormat="false" ht="10.5" hidden="false" customHeight="false" outlineLevel="0" collapsed="false">
      <c r="C20" s="491" t="s">
        <v>443</v>
      </c>
      <c r="D20" s="492" t="str">
        <f aca="false">IF(GasSwitch=0,"Gas","Aeco")</f>
        <v>Gas</v>
      </c>
      <c r="F20" s="491" t="s">
        <v>418</v>
      </c>
      <c r="G20" s="491"/>
      <c r="H20" s="491" t="s">
        <v>444</v>
      </c>
      <c r="I20" s="492" t="str">
        <f aca="false">IF(OilSwitch=0,"Oil","Brent")</f>
        <v>Oil</v>
      </c>
      <c r="K20" s="491" t="s">
        <v>418</v>
      </c>
      <c r="L20" s="472"/>
      <c r="N20" s="493"/>
      <c r="AP20" s="454"/>
      <c r="AQ20" s="454"/>
      <c r="AR20" s="454"/>
      <c r="AS20" s="454"/>
    </row>
    <row r="21" customFormat="false" ht="10.5" hidden="false" customHeight="false" outlineLevel="0" collapsed="false">
      <c r="C21" s="491" t="s">
        <v>445</v>
      </c>
      <c r="D21" s="491" t="s">
        <v>445</v>
      </c>
      <c r="F21" s="491" t="s">
        <v>446</v>
      </c>
      <c r="G21" s="491"/>
      <c r="H21" s="491" t="s">
        <v>445</v>
      </c>
      <c r="I21" s="491" t="s">
        <v>445</v>
      </c>
      <c r="K21" s="491" t="s">
        <v>446</v>
      </c>
      <c r="L21" s="472"/>
      <c r="AP21" s="454"/>
      <c r="AQ21" s="454"/>
      <c r="AR21" s="454"/>
      <c r="AS21" s="454"/>
    </row>
    <row r="22" customFormat="false" ht="10.5" hidden="false" customHeight="false" outlineLevel="0" collapsed="false">
      <c r="A22" s="494" t="s">
        <v>447</v>
      </c>
      <c r="B22" s="494" t="s">
        <v>448</v>
      </c>
      <c r="C22" s="494"/>
      <c r="D22" s="494" t="s">
        <v>449</v>
      </c>
      <c r="E22" s="494" t="s">
        <v>450</v>
      </c>
      <c r="F22" s="494" t="s">
        <v>417</v>
      </c>
      <c r="G22" s="494"/>
      <c r="H22" s="494"/>
      <c r="I22" s="494" t="s">
        <v>449</v>
      </c>
      <c r="J22" s="494" t="s">
        <v>450</v>
      </c>
      <c r="K22" s="494" t="s">
        <v>417</v>
      </c>
      <c r="L22" s="472"/>
      <c r="M22" s="495" t="s">
        <v>448</v>
      </c>
      <c r="N22" s="494" t="str">
        <f aca="false">D20</f>
        <v>Gas</v>
      </c>
      <c r="O22" s="496" t="str">
        <f aca="false">I20</f>
        <v>Oil</v>
      </c>
      <c r="R22" s="497" t="n">
        <f aca="false">+M24</f>
        <v>1997</v>
      </c>
      <c r="S22" s="497" t="n">
        <f aca="false">+M24+1</f>
        <v>1998</v>
      </c>
      <c r="T22" s="497" t="n">
        <f aca="false">+S22+1</f>
        <v>1999</v>
      </c>
      <c r="U22" s="497" t="n">
        <f aca="false">+T22+1</f>
        <v>2000</v>
      </c>
      <c r="V22" s="497" t="n">
        <f aca="false">+U22+1</f>
        <v>2001</v>
      </c>
      <c r="W22" s="497" t="n">
        <f aca="false">+V22+1</f>
        <v>2002</v>
      </c>
      <c r="X22" s="497" t="n">
        <f aca="false">+W22+1</f>
        <v>2003</v>
      </c>
      <c r="Y22" s="497" t="n">
        <f aca="false">+X22+1</f>
        <v>2004</v>
      </c>
      <c r="Z22" s="497" t="n">
        <f aca="false">+Y22+1</f>
        <v>2005</v>
      </c>
      <c r="AA22" s="497" t="n">
        <f aca="false">+Z22+1</f>
        <v>2006</v>
      </c>
      <c r="AB22" s="497" t="n">
        <f aca="false">+AA22+1</f>
        <v>2007</v>
      </c>
      <c r="AC22" s="497" t="n">
        <f aca="false">+AB22+1</f>
        <v>2008</v>
      </c>
      <c r="AD22" s="497" t="n">
        <f aca="false">+AC22+1</f>
        <v>2009</v>
      </c>
      <c r="AE22" s="497" t="n">
        <f aca="false">+AD22+1</f>
        <v>2010</v>
      </c>
      <c r="AF22" s="497" t="n">
        <f aca="false">+AE22+1</f>
        <v>2011</v>
      </c>
      <c r="AG22" s="497" t="n">
        <f aca="false">+AF22+1</f>
        <v>2012</v>
      </c>
      <c r="AH22" s="497" t="n">
        <f aca="false">+AG22+1</f>
        <v>2013</v>
      </c>
      <c r="AI22" s="497" t="n">
        <f aca="false">+AH22+1</f>
        <v>2014</v>
      </c>
      <c r="AJ22" s="497" t="n">
        <f aca="false">+AI22+1</f>
        <v>2015</v>
      </c>
      <c r="AK22" s="497" t="n">
        <f aca="false">+AJ22+1</f>
        <v>2016</v>
      </c>
      <c r="AL22" s="497" t="n">
        <f aca="false">+AK22+1</f>
        <v>2017</v>
      </c>
      <c r="AM22" s="497" t="n">
        <f aca="false">+AL22+1</f>
        <v>2018</v>
      </c>
      <c r="AN22" s="497" t="n">
        <f aca="false">+AM22+1</f>
        <v>2019</v>
      </c>
      <c r="AO22" s="497" t="n">
        <f aca="false">+AN22+1</f>
        <v>2020</v>
      </c>
      <c r="AP22" s="497" t="n">
        <f aca="false">+AO22+1</f>
        <v>2021</v>
      </c>
      <c r="AQ22" s="497" t="n">
        <f aca="false">+AP22+1</f>
        <v>2022</v>
      </c>
      <c r="AR22" s="454"/>
      <c r="AS22" s="454"/>
    </row>
    <row r="23" customFormat="false" ht="10.5" hidden="false" customHeight="false" outlineLevel="0" collapsed="false">
      <c r="A23" s="498" t="n">
        <v>35065</v>
      </c>
      <c r="B23" s="499" t="n">
        <f aca="false">YEAR(A23)</f>
        <v>1996</v>
      </c>
      <c r="C23" s="500" t="n">
        <v>3.6</v>
      </c>
      <c r="D23" s="501" t="n">
        <f aca="false">IF(GasSwitch=0,VLOOKUP($A23,[1]!GasCurve,4),VLOOKUP($A23,[1]!AecoCurve,5))</f>
        <v>3.6</v>
      </c>
      <c r="E23" s="502" t="n">
        <v>0</v>
      </c>
      <c r="F23" s="503" t="n">
        <f aca="false">IF(shiftswitch2=1,D23,C23)</f>
        <v>3.6</v>
      </c>
      <c r="G23" s="503"/>
      <c r="H23" s="504" t="n">
        <v>17.74</v>
      </c>
      <c r="I23" s="501" t="n">
        <f aca="false">IF(OilSwitch=0,VLOOKUP($A23,[1]!OilCurve,4),VLOOKUP($A23,[1]!BrentCurve,4))</f>
        <v>17.74</v>
      </c>
      <c r="J23" s="503" t="n">
        <v>0</v>
      </c>
      <c r="K23" s="503" t="n">
        <f aca="false">IF(shiftswitch2=1,I23,H23)</f>
        <v>17.74</v>
      </c>
      <c r="M23" s="505"/>
      <c r="P23" s="491" t="str">
        <f aca="false">N22</f>
        <v>Gas</v>
      </c>
      <c r="Q23" s="468" t="str">
        <f aca="false">IF(GasSwitch=0,[1]!GasUnit,[1]!AecoUnit)</f>
        <v>(UD/MMBTU)</v>
      </c>
      <c r="R23" s="506" t="n">
        <f aca="false" t="array" ref="R23:AQ25">TRANSPOSE(N24:N51)</f>
        <v>2.56714285714286</v>
      </c>
      <c r="S23" s="506" t="n">
        <v>2.03583333333333</v>
      </c>
      <c r="T23" s="506" t="n">
        <v>2.27583333333333</v>
      </c>
      <c r="U23" s="506" t="n">
        <v>2.82479178810461</v>
      </c>
      <c r="V23" s="506" t="n">
        <v>2.8035582543088</v>
      </c>
      <c r="W23" s="506" t="n">
        <v>2.74763178574304</v>
      </c>
      <c r="X23" s="506" t="n">
        <v>2.76441096627219</v>
      </c>
      <c r="Y23" s="506" t="n">
        <v>2.78808565800806</v>
      </c>
      <c r="Z23" s="506" t="n">
        <v>2.83787127895981</v>
      </c>
      <c r="AA23" s="506" t="n">
        <v>2.91180561777492</v>
      </c>
      <c r="AB23" s="506" t="n">
        <v>2.95927206338587</v>
      </c>
      <c r="AC23" s="506" t="n">
        <v>3.04488395037849</v>
      </c>
      <c r="AD23" s="506" t="n">
        <v>3.078532808518</v>
      </c>
      <c r="AE23" s="506" t="n">
        <v>3.16349242241368</v>
      </c>
      <c r="AF23" s="506" t="n">
        <v>3.23799337729906</v>
      </c>
      <c r="AG23" s="506" t="n">
        <v>3.34108462344798</v>
      </c>
      <c r="AH23" s="506" t="n">
        <v>3.43109196730199</v>
      </c>
      <c r="AI23" s="506" t="n">
        <v>3.51883799932318</v>
      </c>
      <c r="AJ23" s="506" t="n">
        <v>3.62274540644442</v>
      </c>
      <c r="AK23" s="506" t="n">
        <v>3.74817898130504</v>
      </c>
      <c r="AL23" s="506" t="n">
        <v>3.85198409506929</v>
      </c>
      <c r="AM23" s="506" t="n">
        <v>3.93782068261288</v>
      </c>
      <c r="AN23" s="506" t="n">
        <v>4.07697932142449</v>
      </c>
      <c r="AO23" s="506" t="n">
        <v>4.20767012546131</v>
      </c>
      <c r="AP23" s="506" t="n">
        <v>4.33779428028734</v>
      </c>
      <c r="AQ23" s="506" t="n">
        <v>4.48766934095118</v>
      </c>
      <c r="AR23" s="454"/>
      <c r="AS23" s="454"/>
    </row>
    <row r="24" customFormat="false" ht="10.5" hidden="false" customHeight="false" outlineLevel="0" collapsed="false">
      <c r="A24" s="498" t="n">
        <v>35096</v>
      </c>
      <c r="B24" s="499" t="n">
        <f aca="false">YEAR(A24)</f>
        <v>1996</v>
      </c>
      <c r="C24" s="500" t="n">
        <v>3.75</v>
      </c>
      <c r="D24" s="501" t="n">
        <f aca="false">IF(GasSwitch=0,VLOOKUP($A24,[1]!GasCurve,4),VLOOKUP($A24,[1]!AecoCurve,5))</f>
        <v>3.75</v>
      </c>
      <c r="E24" s="502" t="n">
        <v>0</v>
      </c>
      <c r="F24" s="503" t="n">
        <f aca="false">IF(shiftswitch2=1,D24,C24)</f>
        <v>3.75</v>
      </c>
      <c r="G24" s="503"/>
      <c r="H24" s="504" t="n">
        <v>19.54</v>
      </c>
      <c r="I24" s="501" t="n">
        <f aca="false">IF(OilSwitch=0,VLOOKUP($A24,[1]!OilCurve,4),VLOOKUP($A24,[1]!BrentCurve,4))</f>
        <v>19.54</v>
      </c>
      <c r="J24" s="503" t="n">
        <v>0</v>
      </c>
      <c r="K24" s="503" t="n">
        <f aca="false">IF(shiftswitch2=1,I24,H24)</f>
        <v>19.54</v>
      </c>
      <c r="M24" s="507" t="n">
        <v>1997</v>
      </c>
      <c r="N24" s="506" t="n">
        <f aca="false">AVERAGE(F40:F46)</f>
        <v>2.56714285714286</v>
      </c>
      <c r="O24" s="506" t="n">
        <f aca="false">AVERAGE(K40:K46)</f>
        <v>19.8</v>
      </c>
      <c r="P24" s="491" t="str">
        <f aca="false">O22</f>
        <v>Oil</v>
      </c>
      <c r="Q24" s="468" t="str">
        <f aca="false">IF(OilSwitch=0,[1]!OilUnit,[1]!BrentUnit)</f>
        <v>(UD/BBL)</v>
      </c>
      <c r="R24" s="506" t="n">
        <v>2.56714285714286</v>
      </c>
      <c r="S24" s="506" t="n">
        <v>2.03583333333333</v>
      </c>
      <c r="T24" s="506" t="n">
        <v>2.27583333333333</v>
      </c>
      <c r="U24" s="506" t="n">
        <v>2.82479178810461</v>
      </c>
      <c r="V24" s="506" t="n">
        <v>2.8035582543088</v>
      </c>
      <c r="W24" s="506" t="n">
        <v>2.74763178574304</v>
      </c>
      <c r="X24" s="506" t="n">
        <v>2.76441096627219</v>
      </c>
      <c r="Y24" s="506" t="n">
        <v>2.78808565800806</v>
      </c>
      <c r="Z24" s="506" t="n">
        <v>2.83787127895981</v>
      </c>
      <c r="AA24" s="506" t="n">
        <v>2.91180561777492</v>
      </c>
      <c r="AB24" s="506" t="n">
        <v>2.95927206338587</v>
      </c>
      <c r="AC24" s="506" t="n">
        <v>3.04488395037849</v>
      </c>
      <c r="AD24" s="506" t="n">
        <v>3.078532808518</v>
      </c>
      <c r="AE24" s="506" t="n">
        <v>3.16349242241368</v>
      </c>
      <c r="AF24" s="506" t="n">
        <v>3.23799337729906</v>
      </c>
      <c r="AG24" s="506" t="n">
        <v>3.34108462344798</v>
      </c>
      <c r="AH24" s="506" t="n">
        <v>3.43109196730199</v>
      </c>
      <c r="AI24" s="506" t="n">
        <v>3.51883799932318</v>
      </c>
      <c r="AJ24" s="506" t="n">
        <v>3.62274540644442</v>
      </c>
      <c r="AK24" s="506" t="n">
        <v>3.74817898130504</v>
      </c>
      <c r="AL24" s="506" t="n">
        <v>3.85198409506929</v>
      </c>
      <c r="AM24" s="506" t="n">
        <v>3.93782068261288</v>
      </c>
      <c r="AN24" s="506" t="n">
        <v>4.07697932142449</v>
      </c>
      <c r="AO24" s="506" t="n">
        <v>4.20767012546131</v>
      </c>
      <c r="AP24" s="506" t="n">
        <v>4.33779428028734</v>
      </c>
      <c r="AQ24" s="506" t="n">
        <v>4.48766934095118</v>
      </c>
      <c r="AR24" s="454"/>
      <c r="AS24" s="454"/>
    </row>
    <row r="25" customFormat="false" ht="10.5" hidden="false" customHeight="false" outlineLevel="0" collapsed="false">
      <c r="A25" s="498" t="n">
        <v>35125</v>
      </c>
      <c r="B25" s="499" t="n">
        <f aca="false">YEAR(A25)</f>
        <v>1996</v>
      </c>
      <c r="C25" s="500" t="n">
        <v>2.6</v>
      </c>
      <c r="D25" s="501" t="n">
        <f aca="false">IF(GasSwitch=0,VLOOKUP($A25,[1]!GasCurve,4),VLOOKUP($A25,[1]!AecoCurve,5))</f>
        <v>2.6</v>
      </c>
      <c r="E25" s="502" t="n">
        <v>0</v>
      </c>
      <c r="F25" s="503" t="n">
        <f aca="false">IF(shiftswitch2=1,D25,C25)</f>
        <v>2.6</v>
      </c>
      <c r="G25" s="503"/>
      <c r="H25" s="504" t="n">
        <v>21.47</v>
      </c>
      <c r="I25" s="501" t="n">
        <f aca="false">IF(OilSwitch=0,VLOOKUP($A25,[1]!OilCurve,4),VLOOKUP($A25,[1]!BrentCurve,4))</f>
        <v>21.47</v>
      </c>
      <c r="J25" s="503" t="n">
        <v>0</v>
      </c>
      <c r="K25" s="503" t="n">
        <f aca="false">IF(shiftswitch2=1,I25,H25)</f>
        <v>21.47</v>
      </c>
      <c r="M25" s="508" t="n">
        <f aca="false">+M24+1</f>
        <v>1998</v>
      </c>
      <c r="N25" s="506" t="n">
        <f aca="false">AVERAGE(F47:F58)</f>
        <v>2.03583333333333</v>
      </c>
      <c r="O25" s="506" t="n">
        <f aca="false">AVERAGE(K47:K58)</f>
        <v>14.5825</v>
      </c>
      <c r="P25" s="452" t="s">
        <v>36</v>
      </c>
      <c r="R25" s="509" t="n">
        <v>2.56714285714286</v>
      </c>
      <c r="S25" s="509" t="n">
        <v>2.03583333333333</v>
      </c>
      <c r="T25" s="510" t="n">
        <v>2.27583333333333</v>
      </c>
      <c r="U25" s="510" t="n">
        <v>2.82479178810461</v>
      </c>
      <c r="V25" s="510" t="n">
        <v>2.8035582543088</v>
      </c>
      <c r="W25" s="510" t="n">
        <v>2.74763178574304</v>
      </c>
      <c r="X25" s="510" t="n">
        <v>2.76441096627219</v>
      </c>
      <c r="Y25" s="510" t="n">
        <v>2.78808565800806</v>
      </c>
      <c r="Z25" s="510" t="n">
        <v>2.83787127895981</v>
      </c>
      <c r="AA25" s="510" t="n">
        <v>2.91180561777492</v>
      </c>
      <c r="AB25" s="510" t="n">
        <v>2.95927206338587</v>
      </c>
      <c r="AC25" s="510" t="n">
        <v>3.04488395037849</v>
      </c>
      <c r="AD25" s="510" t="n">
        <v>3.078532808518</v>
      </c>
      <c r="AE25" s="510" t="n">
        <v>3.16349242241368</v>
      </c>
      <c r="AF25" s="510" t="n">
        <v>3.23799337729906</v>
      </c>
      <c r="AG25" s="510" t="n">
        <v>3.34108462344798</v>
      </c>
      <c r="AH25" s="510" t="n">
        <v>3.43109196730199</v>
      </c>
      <c r="AI25" s="510" t="n">
        <v>3.51883799932318</v>
      </c>
      <c r="AJ25" s="510" t="n">
        <v>3.62274540644442</v>
      </c>
      <c r="AK25" s="510" t="n">
        <v>3.74817898130504</v>
      </c>
      <c r="AL25" s="510" t="n">
        <v>3.85198409506929</v>
      </c>
      <c r="AM25" s="510" t="n">
        <v>3.93782068261288</v>
      </c>
      <c r="AN25" s="510" t="n">
        <v>4.07697932142449</v>
      </c>
      <c r="AO25" s="510" t="n">
        <v>4.20767012546131</v>
      </c>
      <c r="AP25" s="510" t="n">
        <v>4.33779428028734</v>
      </c>
      <c r="AQ25" s="510" t="n">
        <v>4.48766934095118</v>
      </c>
      <c r="AR25" s="454"/>
      <c r="AS25" s="454"/>
    </row>
    <row r="26" customFormat="false" ht="10.5" hidden="false" customHeight="false" outlineLevel="0" collapsed="false">
      <c r="A26" s="498" t="n">
        <v>35156</v>
      </c>
      <c r="B26" s="499" t="n">
        <f aca="false">YEAR(A26)</f>
        <v>1996</v>
      </c>
      <c r="C26" s="500" t="n">
        <v>2.25</v>
      </c>
      <c r="D26" s="501" t="n">
        <f aca="false">IF(GasSwitch=0,VLOOKUP($A26,[1]!GasCurve,4),VLOOKUP($A26,[1]!AecoCurve,5))</f>
        <v>2.25</v>
      </c>
      <c r="E26" s="502" t="n">
        <v>0</v>
      </c>
      <c r="F26" s="503" t="n">
        <f aca="false">IF(shiftswitch2=1,D26,C26)</f>
        <v>2.25</v>
      </c>
      <c r="G26" s="503"/>
      <c r="H26" s="504" t="n">
        <v>21.2</v>
      </c>
      <c r="I26" s="501" t="n">
        <f aca="false">IF(OilSwitch=0,VLOOKUP($A26,[1]!OilCurve,4),VLOOKUP($A26,[1]!BrentCurve,4))</f>
        <v>21.2</v>
      </c>
      <c r="J26" s="503" t="n">
        <v>0</v>
      </c>
      <c r="K26" s="503" t="n">
        <f aca="false">IF(shiftswitch2=1,I26,H26)</f>
        <v>21.2</v>
      </c>
      <c r="M26" s="508" t="n">
        <f aca="false">+M25+1</f>
        <v>1999</v>
      </c>
      <c r="N26" s="506" t="n">
        <f aca="false">AVERAGE(F59:F70)</f>
        <v>2.27583333333333</v>
      </c>
      <c r="O26" s="506" t="n">
        <f aca="false">AVERAGE(K59:K70)</f>
        <v>19.64</v>
      </c>
      <c r="AP26" s="454"/>
      <c r="AQ26" s="454"/>
      <c r="AR26" s="454"/>
      <c r="AS26" s="454"/>
    </row>
    <row r="27" customFormat="false" ht="10.5" hidden="false" customHeight="false" outlineLevel="0" collapsed="false">
      <c r="A27" s="498" t="n">
        <v>35186</v>
      </c>
      <c r="B27" s="499" t="n">
        <f aca="false">YEAR(A27)</f>
        <v>1996</v>
      </c>
      <c r="C27" s="500" t="n">
        <v>2.33</v>
      </c>
      <c r="D27" s="501" t="n">
        <f aca="false">IF(GasSwitch=0,VLOOKUP($A27,[1]!GasCurve,4),VLOOKUP($A27,[1]!AecoCurve,5))</f>
        <v>2.33</v>
      </c>
      <c r="E27" s="502" t="n">
        <v>0</v>
      </c>
      <c r="F27" s="503" t="n">
        <f aca="false">IF(shiftswitch2=1,D27,C27)</f>
        <v>2.33</v>
      </c>
      <c r="G27" s="503"/>
      <c r="H27" s="504" t="n">
        <v>19.76</v>
      </c>
      <c r="I27" s="501" t="n">
        <f aca="false">IF(OilSwitch=0,VLOOKUP($A27,[1]!OilCurve,4),VLOOKUP($A27,[1]!BrentCurve,4))</f>
        <v>19.76</v>
      </c>
      <c r="J27" s="503" t="n">
        <v>0</v>
      </c>
      <c r="K27" s="503" t="n">
        <f aca="false">IF(shiftswitch2=1,I27,H27)</f>
        <v>19.76</v>
      </c>
      <c r="M27" s="508" t="n">
        <f aca="false">+M26+1</f>
        <v>2000</v>
      </c>
      <c r="N27" s="506" t="n">
        <f aca="false">AVERAGE(F71:F82)</f>
        <v>2.82479178810461</v>
      </c>
      <c r="O27" s="506" t="n">
        <f aca="false">AVERAGE(K71:K82)</f>
        <v>27.8470185671046</v>
      </c>
      <c r="AP27" s="454"/>
      <c r="AQ27" s="454"/>
      <c r="AR27" s="454"/>
      <c r="AS27" s="454"/>
    </row>
    <row r="28" customFormat="false" ht="10.5" hidden="false" customHeight="false" outlineLevel="0" collapsed="false">
      <c r="A28" s="498" t="n">
        <v>35217</v>
      </c>
      <c r="B28" s="499" t="n">
        <f aca="false">YEAR(A28)</f>
        <v>1996</v>
      </c>
      <c r="C28" s="500" t="n">
        <v>2.65</v>
      </c>
      <c r="D28" s="501" t="n">
        <f aca="false">IF(GasSwitch=0,VLOOKUP($A28,[1]!GasCurve,4),VLOOKUP($A28,[1]!AecoCurve,5))</f>
        <v>2.65</v>
      </c>
      <c r="E28" s="502" t="n">
        <v>0</v>
      </c>
      <c r="F28" s="503" t="n">
        <f aca="false">IF(shiftswitch2=1,D28,C28)</f>
        <v>2.65</v>
      </c>
      <c r="G28" s="503"/>
      <c r="H28" s="504" t="n">
        <v>20.92</v>
      </c>
      <c r="I28" s="501" t="n">
        <f aca="false">IF(OilSwitch=0,VLOOKUP($A28,[1]!OilCurve,4),VLOOKUP($A28,[1]!BrentCurve,4))</f>
        <v>20.92</v>
      </c>
      <c r="J28" s="503" t="n">
        <v>0</v>
      </c>
      <c r="K28" s="503" t="n">
        <f aca="false">IF(shiftswitch2=1,I28,H28)</f>
        <v>20.92</v>
      </c>
      <c r="M28" s="508" t="n">
        <f aca="false">+M27+1</f>
        <v>2001</v>
      </c>
      <c r="N28" s="506" t="n">
        <f aca="false">AVERAGE(F83:F94)</f>
        <v>2.8035582543088</v>
      </c>
      <c r="O28" s="506" t="n">
        <f aca="false">AVERAGE(K83:K94)</f>
        <v>22.2024144291807</v>
      </c>
      <c r="AP28" s="454"/>
      <c r="AQ28" s="454"/>
      <c r="AR28" s="454"/>
      <c r="AS28" s="454"/>
    </row>
    <row r="29" customFormat="false" ht="10.5" hidden="false" customHeight="false" outlineLevel="0" collapsed="false">
      <c r="A29" s="498" t="n">
        <v>35247</v>
      </c>
      <c r="B29" s="499" t="n">
        <f aca="false">YEAR(A29)</f>
        <v>1996</v>
      </c>
      <c r="C29" s="500" t="n">
        <v>2.08</v>
      </c>
      <c r="D29" s="501" t="n">
        <f aca="false">IF(GasSwitch=0,VLOOKUP($A29,[1]!GasCurve,4),VLOOKUP($A29,[1]!AecoCurve,5))</f>
        <v>2.08</v>
      </c>
      <c r="E29" s="502" t="n">
        <v>0</v>
      </c>
      <c r="F29" s="503" t="n">
        <f aca="false">IF(shiftswitch2=1,D29,C29)</f>
        <v>2.08</v>
      </c>
      <c r="G29" s="503"/>
      <c r="H29" s="504" t="n">
        <v>20.42</v>
      </c>
      <c r="I29" s="501" t="n">
        <f aca="false">IF(OilSwitch=0,VLOOKUP($A29,[1]!OilCurve,4),VLOOKUP($A29,[1]!BrentCurve,4))</f>
        <v>20.42</v>
      </c>
      <c r="J29" s="503" t="n">
        <v>0</v>
      </c>
      <c r="K29" s="503" t="n">
        <f aca="false">IF(shiftswitch2=1,I29,H29)</f>
        <v>20.42</v>
      </c>
      <c r="M29" s="508" t="n">
        <f aca="false">+M28+1</f>
        <v>2002</v>
      </c>
      <c r="N29" s="506" t="n">
        <f aca="false">AVERAGE(F95:F106)</f>
        <v>2.74763178574304</v>
      </c>
      <c r="O29" s="506" t="n">
        <f aca="false">AVERAGE(K95:K106)</f>
        <v>19.8374171673036</v>
      </c>
      <c r="AP29" s="454"/>
      <c r="AQ29" s="454"/>
      <c r="AR29" s="454"/>
      <c r="AS29" s="454"/>
    </row>
    <row r="30" customFormat="false" ht="10.5" hidden="false" customHeight="false" outlineLevel="0" collapsed="false">
      <c r="A30" s="498" t="n">
        <v>35278</v>
      </c>
      <c r="B30" s="499" t="n">
        <f aca="false">YEAR(A30)</f>
        <v>1996</v>
      </c>
      <c r="C30" s="500" t="n">
        <v>1.86</v>
      </c>
      <c r="D30" s="501" t="n">
        <f aca="false">IF(GasSwitch=0,VLOOKUP($A30,[1]!GasCurve,4),VLOOKUP($A30,[1]!AecoCurve,5))</f>
        <v>1.86</v>
      </c>
      <c r="E30" s="502" t="n">
        <v>0</v>
      </c>
      <c r="F30" s="503" t="n">
        <f aca="false">IF(shiftswitch2=1,D30,C30)</f>
        <v>1.86</v>
      </c>
      <c r="G30" s="503"/>
      <c r="H30" s="504" t="n">
        <v>22.25</v>
      </c>
      <c r="I30" s="501" t="n">
        <f aca="false">IF(OilSwitch=0,VLOOKUP($A30,[1]!OilCurve,4),VLOOKUP($A30,[1]!BrentCurve,4))</f>
        <v>22.25</v>
      </c>
      <c r="J30" s="503" t="n">
        <v>0</v>
      </c>
      <c r="K30" s="503" t="n">
        <f aca="false">IF(shiftswitch2=1,I30,H30)</f>
        <v>22.25</v>
      </c>
      <c r="M30" s="508" t="n">
        <f aca="false">+M29+1</f>
        <v>2003</v>
      </c>
      <c r="N30" s="506" t="n">
        <f aca="false">AVERAGE(F107:F118)</f>
        <v>2.76441096627219</v>
      </c>
      <c r="O30" s="506" t="n">
        <f aca="false">AVERAGE(K107:K118)</f>
        <v>19.1149698871369</v>
      </c>
      <c r="AP30" s="454"/>
      <c r="AQ30" s="454"/>
      <c r="AR30" s="454"/>
      <c r="AS30" s="454"/>
    </row>
    <row r="31" customFormat="false" ht="10.5" hidden="false" customHeight="false" outlineLevel="0" collapsed="false">
      <c r="A31" s="498" t="n">
        <v>35309</v>
      </c>
      <c r="B31" s="499" t="n">
        <f aca="false">YEAR(A31)</f>
        <v>1996</v>
      </c>
      <c r="C31" s="500" t="n">
        <v>1.86</v>
      </c>
      <c r="D31" s="501" t="n">
        <f aca="false">IF(GasSwitch=0,VLOOKUP($A31,[1]!GasCurve,4),VLOOKUP($A31,[1]!AecoCurve,5))</f>
        <v>1.86</v>
      </c>
      <c r="E31" s="502" t="n">
        <v>0</v>
      </c>
      <c r="F31" s="503" t="n">
        <f aca="false">IF(shiftswitch2=1,D31,C31)</f>
        <v>1.86</v>
      </c>
      <c r="G31" s="503"/>
      <c r="H31" s="504" t="n">
        <v>24.38</v>
      </c>
      <c r="I31" s="501" t="n">
        <f aca="false">IF(OilSwitch=0,VLOOKUP($A31,[1]!OilCurve,4),VLOOKUP($A31,[1]!BrentCurve,4))</f>
        <v>24.38</v>
      </c>
      <c r="J31" s="503" t="n">
        <v>0</v>
      </c>
      <c r="K31" s="503" t="n">
        <f aca="false">IF(shiftswitch2=1,I31,H31)</f>
        <v>24.38</v>
      </c>
      <c r="M31" s="508" t="n">
        <f aca="false">+M30+1</f>
        <v>2004</v>
      </c>
      <c r="N31" s="506" t="n">
        <f aca="false">AVERAGE(F119:F130)</f>
        <v>2.78808565800806</v>
      </c>
      <c r="O31" s="506" t="n">
        <f aca="false">AVERAGE(K119:K130)</f>
        <v>18.7681602254473</v>
      </c>
      <c r="AP31" s="454"/>
      <c r="AQ31" s="454"/>
      <c r="AR31" s="454"/>
      <c r="AS31" s="454"/>
    </row>
    <row r="32" customFormat="false" ht="10.5" hidden="false" customHeight="false" outlineLevel="0" collapsed="false">
      <c r="A32" s="498" t="n">
        <v>35339</v>
      </c>
      <c r="B32" s="499" t="n">
        <f aca="false">YEAR(A32)</f>
        <v>1996</v>
      </c>
      <c r="C32" s="500" t="n">
        <v>2.7</v>
      </c>
      <c r="D32" s="501" t="n">
        <f aca="false">IF(GasSwitch=0,VLOOKUP($A32,[1]!GasCurve,4),VLOOKUP($A32,[1]!AecoCurve,5))</f>
        <v>2.7</v>
      </c>
      <c r="E32" s="502" t="n">
        <v>0</v>
      </c>
      <c r="F32" s="503" t="n">
        <f aca="false">IF(shiftswitch2=1,D32,C32)</f>
        <v>2.7</v>
      </c>
      <c r="G32" s="503"/>
      <c r="H32" s="504" t="n">
        <v>23.35</v>
      </c>
      <c r="I32" s="501" t="n">
        <f aca="false">IF(OilSwitch=0,VLOOKUP($A32,[1]!OilCurve,4),VLOOKUP($A32,[1]!BrentCurve,4))</f>
        <v>23.35</v>
      </c>
      <c r="J32" s="503" t="n">
        <v>0</v>
      </c>
      <c r="K32" s="503" t="n">
        <f aca="false">IF(shiftswitch2=1,I32,H32)</f>
        <v>23.35</v>
      </c>
      <c r="M32" s="508" t="n">
        <f aca="false">+M31+1</f>
        <v>2005</v>
      </c>
      <c r="N32" s="506" t="n">
        <f aca="false">AVERAGE(F131:F142)</f>
        <v>2.83787127895981</v>
      </c>
      <c r="O32" s="506" t="n">
        <f aca="false">AVERAGE(K131:K142)</f>
        <v>18.7087042871582</v>
      </c>
      <c r="AP32" s="454"/>
      <c r="AQ32" s="454"/>
      <c r="AR32" s="454"/>
      <c r="AS32" s="454"/>
    </row>
    <row r="33" customFormat="false" ht="10.5" hidden="false" customHeight="false" outlineLevel="0" collapsed="false">
      <c r="A33" s="498" t="n">
        <v>35370</v>
      </c>
      <c r="B33" s="499" t="n">
        <f aca="false">YEAR(A33)</f>
        <v>1996</v>
      </c>
      <c r="C33" s="500" t="n">
        <v>3.8</v>
      </c>
      <c r="D33" s="501" t="n">
        <f aca="false">IF(GasSwitch=0,VLOOKUP($A33,[1]!GasCurve,4),VLOOKUP($A33,[1]!AecoCurve,5))</f>
        <v>3.8</v>
      </c>
      <c r="E33" s="502" t="n">
        <v>0</v>
      </c>
      <c r="F33" s="503" t="n">
        <f aca="false">IF(shiftswitch2=1,F32+$D$8*(D33-F32)+($E$8*(F32^$F$8)*E33)+(1-$D$8)*(D33-D32),F32+$D$10*(C33-F32)+($E$10*(F32^$F$10)*E33)+(1-$D$10)*(C33-C32))</f>
        <v>3.8</v>
      </c>
      <c r="G33" s="503"/>
      <c r="H33" s="504" t="n">
        <v>23.75</v>
      </c>
      <c r="I33" s="501" t="n">
        <f aca="false">IF(OilSwitch=0,VLOOKUP($A33,[1]!OilCurve,4),VLOOKUP($A33,[1]!BrentCurve,4))</f>
        <v>23.75</v>
      </c>
      <c r="J33" s="502" t="n">
        <v>0</v>
      </c>
      <c r="K33" s="503" t="n">
        <f aca="false">IF(shiftswitch2=1,K32+$D$9*(I33-K32)+($E$9*(K32^$F$9)*J33)+(1-$D$9)*(I33-I32),K32+$D$11*(H33-K32)+($E$11*(K32^$F$11)*J33)+(1-$D$11)*(H33-H32))</f>
        <v>23.75</v>
      </c>
      <c r="M33" s="508" t="n">
        <f aca="false">+M32+1</f>
        <v>2006</v>
      </c>
      <c r="N33" s="506" t="n">
        <f aca="false">AVERAGE(F143:F154)</f>
        <v>2.91180561777492</v>
      </c>
      <c r="O33" s="506" t="n">
        <f aca="false">AVERAGE(K143:K154)</f>
        <v>18.7122937941253</v>
      </c>
      <c r="AP33" s="454"/>
      <c r="AQ33" s="454"/>
      <c r="AR33" s="454"/>
      <c r="AS33" s="454"/>
    </row>
    <row r="34" customFormat="false" ht="10.5" hidden="false" customHeight="false" outlineLevel="0" collapsed="false">
      <c r="A34" s="498" t="n">
        <v>35400</v>
      </c>
      <c r="B34" s="499" t="n">
        <f aca="false">YEAR(A34)</f>
        <v>1996</v>
      </c>
      <c r="C34" s="500" t="n">
        <v>2.46</v>
      </c>
      <c r="D34" s="501" t="n">
        <f aca="false">IF(GasSwitch=0,VLOOKUP($A34,[1]!GasCurve,4),VLOOKUP($A34,[1]!AecoCurve,5))</f>
        <v>2.46</v>
      </c>
      <c r="E34" s="502" t="n">
        <v>0</v>
      </c>
      <c r="F34" s="503" t="n">
        <f aca="false">IF(shiftswitch2=1,F33+$D$8*(D34-F33)+($E$8*(F33^$F$8)*E34)+(1-$D$8)*(D34-D33),F33+$D$10*(C34-F33)+($E$10*(F33^$F$10)*E34)+(1-$D$10)*(C34-C33))</f>
        <v>2.46</v>
      </c>
      <c r="G34" s="503"/>
      <c r="H34" s="504" t="n">
        <v>25.92</v>
      </c>
      <c r="I34" s="501" t="n">
        <f aca="false">IF(OilSwitch=0,VLOOKUP($A34,[1]!OilCurve,4),VLOOKUP($A34,[1]!BrentCurve,4))</f>
        <v>25.92</v>
      </c>
      <c r="J34" s="502" t="n">
        <v>0</v>
      </c>
      <c r="K34" s="503" t="n">
        <f aca="false">IF(shiftswitch2=1,K33+$D$9*(I34-K33)+($E$9*(K33^$F$9)*J34)+(1-$D$9)*(I34-I33),K33+$D$11*(H34-K33)+($E$11*(K33^$F$11)*J34)+(1-$D$11)*(H34-H33))</f>
        <v>25.92</v>
      </c>
      <c r="M34" s="508" t="n">
        <f aca="false">+M33+1</f>
        <v>2007</v>
      </c>
      <c r="N34" s="506" t="n">
        <f aca="false">AVERAGE(F155:F165)</f>
        <v>2.95927206338587</v>
      </c>
      <c r="O34" s="506" t="n">
        <f aca="false">AVERAGE(K155:K165)</f>
        <v>19.031575199375</v>
      </c>
      <c r="AP34" s="454"/>
      <c r="AQ34" s="454"/>
      <c r="AR34" s="454"/>
      <c r="AS34" s="454"/>
    </row>
    <row r="35" customFormat="false" ht="10.5" hidden="false" customHeight="false" outlineLevel="0" collapsed="false">
      <c r="A35" s="511" t="n">
        <v>35431</v>
      </c>
      <c r="B35" s="512" t="n">
        <f aca="false">YEAR(A35)</f>
        <v>1997</v>
      </c>
      <c r="C35" s="513" t="n">
        <v>2.88</v>
      </c>
      <c r="D35" s="501" t="n">
        <f aca="false">IF(GasSwitch=0,VLOOKUP($A35,[1]!GasCurve,4),VLOOKUP($A35,[1]!AecoCurve,5))</f>
        <v>2.88</v>
      </c>
      <c r="E35" s="514" t="n">
        <v>0</v>
      </c>
      <c r="F35" s="515" t="n">
        <f aca="false">IF(shiftswitch2=1,F34+$D$8*(D35-F34)+($E$8*(F34^$F$8)*E35)+(1-$D$8)*(D35-D34),F34+$D$10*(C35-F34)+($E$10*(F34^$F$10)*E35)+(1-$D$10)*(C35-C34))</f>
        <v>2.88</v>
      </c>
      <c r="G35" s="503"/>
      <c r="H35" s="516" t="n">
        <v>24.15</v>
      </c>
      <c r="I35" s="501" t="n">
        <f aca="false">IF(OilSwitch=0,VLOOKUP($A35,[1]!OilCurve,4),VLOOKUP($A35,[1]!BrentCurve,4))</f>
        <v>24.15</v>
      </c>
      <c r="J35" s="514" t="n">
        <v>0</v>
      </c>
      <c r="K35" s="515" t="n">
        <f aca="false">IF(shiftswitch2=1,K34+$D$9*(I35-K34)+($E$9*(K34^$F$9)*J35)+(1-$D$9)*(I35-I34),K34+$D$11*(H35-K34)+($E$11*(K34^$F$11)*J35)+(1-$D$11)*(H35-H34))</f>
        <v>24.15</v>
      </c>
      <c r="M35" s="508" t="n">
        <f aca="false">+M34+1</f>
        <v>2008</v>
      </c>
      <c r="N35" s="506" t="n">
        <f aca="false">AVERAGE(F167:F178)</f>
        <v>3.04488395037849</v>
      </c>
      <c r="O35" s="506" t="n">
        <f aca="false">AVERAGE(K167:K178)</f>
        <v>19.5599580076844</v>
      </c>
      <c r="AP35" s="454"/>
      <c r="AQ35" s="454"/>
      <c r="AR35" s="454"/>
      <c r="AS35" s="454"/>
    </row>
    <row r="36" customFormat="false" ht="10.5" hidden="false" customHeight="false" outlineLevel="0" collapsed="false">
      <c r="A36" s="498" t="n">
        <v>35462</v>
      </c>
      <c r="B36" s="499" t="n">
        <f aca="false">YEAR(A36)</f>
        <v>1997</v>
      </c>
      <c r="C36" s="500" t="n">
        <v>1.79</v>
      </c>
      <c r="D36" s="501" t="n">
        <f aca="false">IF(GasSwitch=0,VLOOKUP($A36,[1]!GasCurve,4),VLOOKUP($A36,[1]!AecoCurve,5))</f>
        <v>1.79</v>
      </c>
      <c r="E36" s="502" t="n">
        <v>0</v>
      </c>
      <c r="F36" s="503" t="n">
        <f aca="false">IF(shiftswitch2=1,F35+$D$8*(D36-F35)+($E$8*(F35^$F$8)*E36)+(1-$D$8)*(D36-D35),F35+$D$10*(C36-F35)+($E$10*(F35^$F$10)*E36)+(1-$D$10)*(C36-C35))</f>
        <v>1.79</v>
      </c>
      <c r="G36" s="503"/>
      <c r="H36" s="504" t="n">
        <v>20.3</v>
      </c>
      <c r="I36" s="501" t="n">
        <f aca="false">IF(OilSwitch=0,VLOOKUP($A36,[1]!OilCurve,4),VLOOKUP($A36,[1]!BrentCurve,4))</f>
        <v>20.3</v>
      </c>
      <c r="J36" s="502" t="n">
        <v>0</v>
      </c>
      <c r="K36" s="503" t="n">
        <f aca="false">IF(shiftswitch2=1,K35+$D$9*(I36-K35)+($E$9*(K35^$F$9)*J36)+(1-$D$9)*(I36-I35),K35+$D$11*(H36-K35)+($E$11*(K35^$F$11)*J36)+(1-$D$11)*(H36-H35))</f>
        <v>20.3</v>
      </c>
      <c r="M36" s="508" t="n">
        <f aca="false">+M35+1</f>
        <v>2009</v>
      </c>
      <c r="N36" s="506" t="n">
        <f aca="false">AVERAGE(F179:F190)</f>
        <v>3.078532808518</v>
      </c>
      <c r="O36" s="506" t="n">
        <f aca="false">AVERAGE(K179:K190)</f>
        <v>20.0556518923583</v>
      </c>
      <c r="AP36" s="454"/>
      <c r="AQ36" s="454"/>
      <c r="AR36" s="454"/>
      <c r="AS36" s="454"/>
    </row>
    <row r="37" customFormat="false" ht="10.5" hidden="false" customHeight="false" outlineLevel="0" collapsed="false">
      <c r="A37" s="498" t="n">
        <v>35490</v>
      </c>
      <c r="B37" s="499" t="n">
        <f aca="false">YEAR(A37)</f>
        <v>1997</v>
      </c>
      <c r="C37" s="500" t="n">
        <v>1.85</v>
      </c>
      <c r="D37" s="501" t="n">
        <f aca="false">IF(GasSwitch=0,VLOOKUP($A37,[1]!GasCurve,4),VLOOKUP($A37,[1]!AecoCurve,5))</f>
        <v>1.85</v>
      </c>
      <c r="E37" s="502" t="n">
        <v>0</v>
      </c>
      <c r="F37" s="503" t="n">
        <f aca="false">IF(shiftswitch2=1,F36+$D$8*(D37-F36)+($E$8*(F36^$F$8)*E37)+(1-$D$8)*(D37-D36),F36+$D$10*(C37-F36)+($E$10*(F36^$F$10)*E37)+(1-$D$10)*(C37-C36))</f>
        <v>1.85</v>
      </c>
      <c r="G37" s="503"/>
      <c r="H37" s="504" t="n">
        <v>20.41</v>
      </c>
      <c r="I37" s="501" t="n">
        <f aca="false">IF(OilSwitch=0,VLOOKUP($A37,[1]!OilCurve,4),VLOOKUP($A37,[1]!BrentCurve,4))</f>
        <v>20.41</v>
      </c>
      <c r="J37" s="502" t="n">
        <v>0</v>
      </c>
      <c r="K37" s="503" t="n">
        <f aca="false">IF(shiftswitch2=1,K36+$D$9*(I37-K36)+($E$9*(K36^$F$9)*J37)+(1-$D$9)*(I37-I36),K36+$D$11*(H37-K36)+($E$11*(K36^$F$11)*J37)+(1-$D$11)*(H37-H36))</f>
        <v>20.41</v>
      </c>
      <c r="M37" s="508" t="n">
        <f aca="false">+M36+1</f>
        <v>2010</v>
      </c>
      <c r="N37" s="506" t="n">
        <f aca="false">AVERAGE(F191:F202)</f>
        <v>3.16349242241368</v>
      </c>
      <c r="O37" s="506" t="n">
        <f aca="false">AVERAGE(K191:K202)</f>
        <v>20.7762967888107</v>
      </c>
      <c r="AP37" s="454"/>
      <c r="AQ37" s="454"/>
      <c r="AR37" s="454"/>
      <c r="AS37" s="454"/>
    </row>
    <row r="38" customFormat="false" ht="10.5" hidden="false" customHeight="false" outlineLevel="0" collapsed="false">
      <c r="A38" s="498" t="n">
        <v>35521</v>
      </c>
      <c r="B38" s="499" t="n">
        <f aca="false">YEAR(A38)</f>
        <v>1997</v>
      </c>
      <c r="C38" s="500" t="n">
        <v>2.1</v>
      </c>
      <c r="D38" s="501" t="n">
        <f aca="false">IF(GasSwitch=0,VLOOKUP($A38,[1]!GasCurve,4),VLOOKUP($A38,[1]!AecoCurve,5))</f>
        <v>2.1</v>
      </c>
      <c r="E38" s="502" t="n">
        <v>0</v>
      </c>
      <c r="F38" s="503" t="n">
        <f aca="false">IF(shiftswitch2=1,F37+$D$8*(D38-F37)+($E$8*(F37^$F$8)*E38)+(1-$D$8)*(D38-D37),F37+$D$10*(C38-F37)+($E$10*(F37^$F$10)*E38)+(1-$D$10)*(C38-C37))</f>
        <v>2.1</v>
      </c>
      <c r="G38" s="503"/>
      <c r="H38" s="504" t="n">
        <v>20.21</v>
      </c>
      <c r="I38" s="501" t="n">
        <f aca="false">IF(OilSwitch=0,VLOOKUP($A38,[1]!OilCurve,4),VLOOKUP($A38,[1]!BrentCurve,4))</f>
        <v>20.21</v>
      </c>
      <c r="J38" s="502" t="n">
        <v>0</v>
      </c>
      <c r="K38" s="503" t="n">
        <f aca="false">IF(shiftswitch2=1,K37+$D$9*(I38-K37)+($E$9*(K37^$F$9)*J38)+(1-$D$9)*(I38-I37),K37+$D$11*(H38-K37)+($E$11*(K37^$F$11)*J38)+(1-$D$11)*(H38-H37))</f>
        <v>20.21</v>
      </c>
      <c r="M38" s="508" t="n">
        <f aca="false">+M37+1</f>
        <v>2011</v>
      </c>
      <c r="N38" s="506" t="n">
        <f aca="false">AVERAGE(F203:F214)</f>
        <v>3.23799337729906</v>
      </c>
      <c r="O38" s="506" t="n">
        <f aca="false">AVERAGE(K203:K214)</f>
        <v>21.3718950973739</v>
      </c>
      <c r="AP38" s="454"/>
      <c r="AQ38" s="454"/>
      <c r="AR38" s="454"/>
      <c r="AS38" s="454"/>
    </row>
    <row r="39" customFormat="false" ht="10.5" hidden="false" customHeight="false" outlineLevel="0" collapsed="false">
      <c r="A39" s="498" t="n">
        <v>35551</v>
      </c>
      <c r="B39" s="499" t="n">
        <f aca="false">YEAR(A39)</f>
        <v>1997</v>
      </c>
      <c r="C39" s="500" t="n">
        <v>2.2</v>
      </c>
      <c r="D39" s="501" t="n">
        <f aca="false">IF(GasSwitch=0,VLOOKUP($A39,[1]!GasCurve,4),VLOOKUP($A39,[1]!AecoCurve,5))</f>
        <v>2.2</v>
      </c>
      <c r="E39" s="502" t="n">
        <v>0</v>
      </c>
      <c r="F39" s="503" t="n">
        <f aca="false">IF(shiftswitch2=1,F38+$D$8*(D39-F38)+($E$8*(F38^$F$8)*E39)+(1-$D$8)*(D39-D38),F38+$D$10*(C39-F38)+($E$10*(F38^$F$10)*E39)+(1-$D$10)*(C39-C38))</f>
        <v>2.2</v>
      </c>
      <c r="G39" s="503"/>
      <c r="H39" s="504" t="n">
        <v>20.88</v>
      </c>
      <c r="I39" s="501" t="n">
        <f aca="false">IF(OilSwitch=0,VLOOKUP($A39,[1]!OilCurve,4),VLOOKUP($A39,[1]!BrentCurve,4))</f>
        <v>20.88</v>
      </c>
      <c r="J39" s="502" t="n">
        <v>0</v>
      </c>
      <c r="K39" s="503" t="n">
        <f aca="false">IF(shiftswitch2=1,K38+$D$9*(I39-K38)+($E$9*(K38^$F$9)*J39)+(1-$D$9)*(I39-I38),K38+$D$11*(H39-K38)+($E$11*(K38^$F$11)*J39)+(1-$D$11)*(H39-H38))</f>
        <v>20.88</v>
      </c>
      <c r="M39" s="508" t="n">
        <f aca="false">+M38+1</f>
        <v>2012</v>
      </c>
      <c r="N39" s="506" t="n">
        <f aca="false">AVERAGE(F215:F226)</f>
        <v>3.34108462344798</v>
      </c>
      <c r="O39" s="506" t="n">
        <f aca="false">AVERAGE(K215:K226)</f>
        <v>22.0006668747844</v>
      </c>
      <c r="AP39" s="454"/>
      <c r="AQ39" s="454"/>
      <c r="AR39" s="454"/>
      <c r="AS39" s="454"/>
    </row>
    <row r="40" customFormat="false" ht="10.5" hidden="false" customHeight="false" outlineLevel="0" collapsed="false">
      <c r="A40" s="498" t="n">
        <v>35582</v>
      </c>
      <c r="B40" s="499" t="n">
        <f aca="false">YEAR(A40)</f>
        <v>1997</v>
      </c>
      <c r="C40" s="500" t="n">
        <v>2.17</v>
      </c>
      <c r="D40" s="501" t="n">
        <f aca="false">IF(GasSwitch=0,VLOOKUP($A40,[1]!GasCurve,4),VLOOKUP($A40,[1]!AecoCurve,5))</f>
        <v>2.17</v>
      </c>
      <c r="E40" s="502" t="n">
        <v>0</v>
      </c>
      <c r="F40" s="503" t="n">
        <f aca="false">IF(shiftswitch2=1,F39+$D$8*(D40-F39)+($E$8*(F39^$F$8)*E40)+(1-$D$8)*(D40-D39),F39+$D$10*(C40-F39)+($E$10*(F39^$F$10)*E40)+(1-$D$10)*(C40-C39))</f>
        <v>2.17</v>
      </c>
      <c r="G40" s="503"/>
      <c r="H40" s="504" t="n">
        <v>19.8</v>
      </c>
      <c r="I40" s="501" t="n">
        <f aca="false">IF(OilSwitch=0,VLOOKUP($A40,[1]!OilCurve,4),VLOOKUP($A40,[1]!BrentCurve,4))</f>
        <v>19.8</v>
      </c>
      <c r="J40" s="502" t="n">
        <v>0</v>
      </c>
      <c r="K40" s="503" t="n">
        <f aca="false">IF(shiftswitch2=1,K39+$D$9*(I40-K39)+($E$9*(K39^$F$9)*J40)+(1-$D$9)*(I40-I39),K39+$D$11*(H40-K39)+($E$11*(K39^$F$11)*J40)+(1-$D$11)*(H40-H39))</f>
        <v>19.8</v>
      </c>
      <c r="M40" s="508" t="n">
        <f aca="false">+M39+1</f>
        <v>2013</v>
      </c>
      <c r="N40" s="506" t="n">
        <f aca="false">AVERAGE(F227:F238)</f>
        <v>3.43109196730199</v>
      </c>
      <c r="O40" s="506" t="n">
        <f aca="false">AVERAGE(K227:K238)</f>
        <v>22.4507477571524</v>
      </c>
      <c r="AP40" s="454"/>
      <c r="AQ40" s="454"/>
      <c r="AR40" s="454"/>
      <c r="AS40" s="454"/>
    </row>
    <row r="41" customFormat="false" ht="10.5" hidden="false" customHeight="false" outlineLevel="0" collapsed="false">
      <c r="A41" s="498" t="n">
        <v>35612</v>
      </c>
      <c r="B41" s="499" t="n">
        <f aca="false">YEAR(A41)</f>
        <v>1997</v>
      </c>
      <c r="C41" s="500" t="n">
        <v>2.23</v>
      </c>
      <c r="D41" s="501" t="n">
        <f aca="false">IF(GasSwitch=0,VLOOKUP($A41,[1]!GasCurve,4),VLOOKUP($A41,[1]!AecoCurve,5))</f>
        <v>2.23</v>
      </c>
      <c r="E41" s="502" t="n">
        <v>0</v>
      </c>
      <c r="F41" s="503" t="n">
        <f aca="false">IF(shiftswitch2=1,F40+$D$8*(D41-F40)+($E$8*(F40^$F$8)*E41)+(1-$D$8)*(D41-D40),F40+$D$10*(C41-F40)+($E$10*(F40^$F$10)*E41)+(1-$D$10)*(C41-C40))</f>
        <v>2.23</v>
      </c>
      <c r="G41" s="503"/>
      <c r="H41" s="504" t="n">
        <v>20.14</v>
      </c>
      <c r="I41" s="501" t="n">
        <f aca="false">IF(OilSwitch=0,VLOOKUP($A41,[1]!OilCurve,4),VLOOKUP($A41,[1]!BrentCurve,4))</f>
        <v>20.14</v>
      </c>
      <c r="J41" s="502" t="n">
        <v>0</v>
      </c>
      <c r="K41" s="503" t="n">
        <f aca="false">IF(shiftswitch2=1,K40+$D$9*(I41-K40)+($E$9*(K40^$F$9)*J41)+(1-$D$9)*(I41-I40),K40+$D$11*(H41-K40)+($E$11*(K40^$F$11)*J41)+(1-$D$11)*(H41-H40))</f>
        <v>20.14</v>
      </c>
      <c r="M41" s="508" t="n">
        <f aca="false">+M40+1</f>
        <v>2014</v>
      </c>
      <c r="N41" s="506" t="n">
        <f aca="false">AVERAGE(F239:F250)</f>
        <v>3.51883799932318</v>
      </c>
      <c r="O41" s="506" t="n">
        <f aca="false">AVERAGE(K239:K250)</f>
        <v>23.1863954403134</v>
      </c>
      <c r="AP41" s="454"/>
      <c r="AQ41" s="454"/>
      <c r="AR41" s="454"/>
      <c r="AS41" s="454"/>
    </row>
    <row r="42" customFormat="false" ht="10.5" hidden="false" customHeight="false" outlineLevel="0" collapsed="false">
      <c r="A42" s="498" t="n">
        <v>35643</v>
      </c>
      <c r="B42" s="499" t="n">
        <f aca="false">YEAR(A42)</f>
        <v>1997</v>
      </c>
      <c r="C42" s="500" t="n">
        <v>2.7</v>
      </c>
      <c r="D42" s="501" t="n">
        <f aca="false">IF(GasSwitch=0,VLOOKUP($A42,[1]!GasCurve,4),VLOOKUP($A42,[1]!AecoCurve,5))</f>
        <v>2.7</v>
      </c>
      <c r="E42" s="502" t="n">
        <v>0</v>
      </c>
      <c r="F42" s="503" t="n">
        <f aca="false">IF(shiftswitch2=1,F41+$D$8*(D42-F41)+($E$8*(F41^$F$8)*E42)+(1-$D$8)*(D42-D41),F41+$D$10*(C42-F41)+($E$10*(F41^$F$10)*E42)+(1-$D$10)*(C42-C41))</f>
        <v>2.7</v>
      </c>
      <c r="G42" s="503"/>
      <c r="H42" s="504" t="n">
        <v>19.61</v>
      </c>
      <c r="I42" s="501" t="n">
        <f aca="false">IF(OilSwitch=0,VLOOKUP($A42,[1]!OilCurve,4),VLOOKUP($A42,[1]!BrentCurve,4))</f>
        <v>19.61</v>
      </c>
      <c r="J42" s="502" t="n">
        <v>0</v>
      </c>
      <c r="K42" s="503" t="n">
        <f aca="false">IF(shiftswitch2=1,K41+$D$9*(I42-K41)+($E$9*(K41^$F$9)*J42)+(1-$D$9)*(I42-I41),K41+$D$11*(H42-K41)+($E$11*(K41^$F$11)*J42)+(1-$D$11)*(H42-H41))</f>
        <v>19.61</v>
      </c>
      <c r="M42" s="508" t="n">
        <f aca="false">+M41+1</f>
        <v>2015</v>
      </c>
      <c r="N42" s="506" t="n">
        <f aca="false">AVERAGE(F251:F262)</f>
        <v>3.62274540644442</v>
      </c>
      <c r="O42" s="506" t="n">
        <f aca="false">AVERAGE(K251:K262)</f>
        <v>23.9548915886247</v>
      </c>
      <c r="AP42" s="454"/>
      <c r="AQ42" s="454"/>
      <c r="AR42" s="454"/>
      <c r="AS42" s="454"/>
    </row>
    <row r="43" customFormat="false" ht="10.5" hidden="false" customHeight="false" outlineLevel="0" collapsed="false">
      <c r="A43" s="498" t="n">
        <v>35674</v>
      </c>
      <c r="B43" s="499" t="n">
        <f aca="false">YEAR(A43)</f>
        <v>1997</v>
      </c>
      <c r="C43" s="500" t="n">
        <v>2.97</v>
      </c>
      <c r="D43" s="501" t="n">
        <f aca="false">IF(GasSwitch=0,VLOOKUP($A43,[1]!GasCurve,4),VLOOKUP($A43,[1]!AecoCurve,5))</f>
        <v>2.97</v>
      </c>
      <c r="E43" s="502" t="n">
        <v>0</v>
      </c>
      <c r="F43" s="503" t="n">
        <f aca="false">IF(shiftswitch2=1,F42+$D$8*(D43-F42)+($E$8*(F42^$F$8)*E43)+(1-$D$8)*(D43-D42),F42+$D$10*(C43-F42)+($E$10*(F42^$F$10)*E43)+(1-$D$10)*(C43-C42))</f>
        <v>2.97</v>
      </c>
      <c r="G43" s="503"/>
      <c r="H43" s="504" t="n">
        <v>21.18</v>
      </c>
      <c r="I43" s="501" t="n">
        <f aca="false">IF(OilSwitch=0,VLOOKUP($A43,[1]!OilCurve,4),VLOOKUP($A43,[1]!BrentCurve,4))</f>
        <v>21.18</v>
      </c>
      <c r="J43" s="502" t="n">
        <v>0</v>
      </c>
      <c r="K43" s="503" t="n">
        <f aca="false">IF(shiftswitch2=1,K42+$D$9*(I43-K42)+($E$9*(K42^$F$9)*J43)+(1-$D$9)*(I43-I42),K42+$D$11*(H43-K42)+($E$11*(K42^$F$11)*J43)+(1-$D$11)*(H43-H42))</f>
        <v>21.18</v>
      </c>
      <c r="M43" s="508" t="n">
        <f aca="false">+M42+1</f>
        <v>2016</v>
      </c>
      <c r="N43" s="506" t="n">
        <f aca="false">AVERAGE(F263:F274)</f>
        <v>3.74817898130504</v>
      </c>
      <c r="O43" s="506" t="n">
        <f aca="false">AVERAGE(K263:K274)</f>
        <v>24.3705406036562</v>
      </c>
      <c r="AP43" s="454"/>
      <c r="AQ43" s="454"/>
      <c r="AR43" s="454"/>
      <c r="AS43" s="454"/>
    </row>
    <row r="44" customFormat="false" ht="10.5" hidden="false" customHeight="false" outlineLevel="0" collapsed="false">
      <c r="A44" s="498" t="n">
        <v>35704</v>
      </c>
      <c r="B44" s="499" t="n">
        <f aca="false">YEAR(A44)</f>
        <v>1997</v>
      </c>
      <c r="C44" s="500" t="n">
        <v>3.27</v>
      </c>
      <c r="D44" s="501" t="n">
        <f aca="false">IF(GasSwitch=0,VLOOKUP($A44,[1]!GasCurve,4),VLOOKUP($A44,[1]!AecoCurve,5))</f>
        <v>3.27</v>
      </c>
      <c r="E44" s="502" t="n">
        <v>0</v>
      </c>
      <c r="F44" s="503" t="n">
        <f aca="false">IF(shiftswitch2=1,F43+$D$8*(D44-F43)+($E$8*(F43^$F$8)*E44)+(1-$D$8)*(D44-D43),F43+$D$10*(C44-F43)+($E$10*(F43^$F$10)*E44)+(1-$D$10)*(C44-C43))</f>
        <v>3.27</v>
      </c>
      <c r="G44" s="503"/>
      <c r="H44" s="504" t="n">
        <v>21.08</v>
      </c>
      <c r="I44" s="501" t="n">
        <f aca="false">IF(OilSwitch=0,VLOOKUP($A44,[1]!OilCurve,4),VLOOKUP($A44,[1]!BrentCurve,4))</f>
        <v>21.08</v>
      </c>
      <c r="J44" s="502" t="n">
        <v>0</v>
      </c>
      <c r="K44" s="503" t="n">
        <f aca="false">IF(shiftswitch2=1,K43+$D$9*(I44-K43)+($E$9*(K43^$F$9)*J44)+(1-$D$9)*(I44-I43),K43+$D$11*(H44-K43)+($E$11*(K43^$F$11)*J44)+(1-$D$11)*(H44-H43))</f>
        <v>21.08</v>
      </c>
      <c r="M44" s="508" t="n">
        <f aca="false">+M43+1</f>
        <v>2017</v>
      </c>
      <c r="N44" s="506" t="n">
        <f aca="false">AVERAGE(F275:F286)</f>
        <v>3.85198409506929</v>
      </c>
      <c r="O44" s="506" t="n">
        <f aca="false">AVERAGE(K275:K286)</f>
        <v>24.2490070513975</v>
      </c>
      <c r="AP44" s="454"/>
      <c r="AQ44" s="454"/>
      <c r="AR44" s="454"/>
      <c r="AS44" s="454"/>
    </row>
    <row r="45" customFormat="false" ht="10.5" hidden="false" customHeight="false" outlineLevel="0" collapsed="false">
      <c r="A45" s="498" t="n">
        <v>35735</v>
      </c>
      <c r="B45" s="499" t="n">
        <f aca="false">YEAR(A45)</f>
        <v>1997</v>
      </c>
      <c r="C45" s="500" t="n">
        <v>2.4</v>
      </c>
      <c r="D45" s="501" t="n">
        <f aca="false">IF(GasSwitch=0,VLOOKUP($A45,[1]!GasCurve,4),VLOOKUP($A45,[1]!AecoCurve,5))</f>
        <v>2.4</v>
      </c>
      <c r="E45" s="502" t="n">
        <v>0</v>
      </c>
      <c r="F45" s="503" t="n">
        <f aca="false">IF(shiftswitch2=1,F44+$D$8*(D45-F44)+($E$8*(F44^$F$8)*E45)+(1-$D$8)*(D45-D44),F44+$D$10*(C45-F44)+($E$10*(F44^$F$10)*E45)+(1-$D$10)*(C45-C44))</f>
        <v>2.4</v>
      </c>
      <c r="G45" s="503"/>
      <c r="H45" s="504" t="n">
        <v>19.15</v>
      </c>
      <c r="I45" s="501" t="n">
        <f aca="false">IF(OilSwitch=0,VLOOKUP($A45,[1]!OilCurve,4),VLOOKUP($A45,[1]!BrentCurve,4))</f>
        <v>19.15</v>
      </c>
      <c r="J45" s="502" t="n">
        <v>0</v>
      </c>
      <c r="K45" s="503" t="n">
        <f aca="false">IF(shiftswitch2=1,K44+$D$9*(I45-K44)+($E$9*(K44^$F$9)*J45)+(1-$D$9)*(I45-I44),K44+$D$11*(H45-K44)+($E$11*(K44^$F$11)*J45)+(1-$D$11)*(H45-H44))</f>
        <v>19.15</v>
      </c>
      <c r="M45" s="508" t="n">
        <f aca="false">+M44+1</f>
        <v>2018</v>
      </c>
      <c r="N45" s="506" t="n">
        <f aca="false">SUMIF($B$23:$B$363,M45,$F$23:$F$386)/12</f>
        <v>3.93782068261288</v>
      </c>
      <c r="O45" s="506" t="n">
        <f aca="false">SUMIF($B$23:$B$363,M45,$K$23:$K$386)/12</f>
        <v>21.1638295249134</v>
      </c>
      <c r="AP45" s="454"/>
      <c r="AQ45" s="454"/>
      <c r="AR45" s="454"/>
      <c r="AS45" s="454"/>
    </row>
    <row r="46" customFormat="false" ht="10.5" hidden="false" customHeight="false" outlineLevel="0" collapsed="false">
      <c r="A46" s="498" t="n">
        <v>35765</v>
      </c>
      <c r="B46" s="499" t="n">
        <f aca="false">YEAR(A46)</f>
        <v>1997</v>
      </c>
      <c r="C46" s="500" t="n">
        <v>2.23</v>
      </c>
      <c r="D46" s="501" t="n">
        <f aca="false">IF(GasSwitch=0,VLOOKUP($A46,[1]!GasCurve,4),VLOOKUP($A46,[1]!AecoCurve,5))</f>
        <v>2.23</v>
      </c>
      <c r="E46" s="502" t="n">
        <v>0</v>
      </c>
      <c r="F46" s="503" t="n">
        <f aca="false">IF(shiftswitch2=1,F45+$D$8*(D46-F45)+($E$8*(F45^$F$8)*E46)+(1-$D$8)*(D46-D45),F45+$D$10*(C46-F45)+($E$10*(F45^$F$10)*E46)+(1-$D$10)*(C46-C45))</f>
        <v>2.23</v>
      </c>
      <c r="G46" s="503"/>
      <c r="H46" s="504" t="n">
        <v>17.64</v>
      </c>
      <c r="I46" s="501" t="n">
        <f aca="false">IF(OilSwitch=0,VLOOKUP($A46,[1]!OilCurve,4),VLOOKUP($A46,[1]!BrentCurve,4))</f>
        <v>17.64</v>
      </c>
      <c r="J46" s="502" t="n">
        <v>0</v>
      </c>
      <c r="K46" s="503" t="n">
        <f aca="false">IF(shiftswitch2=1,K45+$D$9*(I46-K45)+($E$9*(K45^$F$9)*J46)+(1-$D$9)*(I46-I45),K45+$D$11*(H46-K45)+($E$11*(K45^$F$11)*J46)+(1-$D$11)*(H46-H45))</f>
        <v>17.64</v>
      </c>
      <c r="M46" s="508" t="n">
        <f aca="false">+M45+1</f>
        <v>2019</v>
      </c>
      <c r="N46" s="506" t="n">
        <f aca="false">SUMIF($B$23:$B$363,M46,$F$23:$F$386)/12</f>
        <v>4.07697932142449</v>
      </c>
      <c r="O46" s="506" t="n">
        <f aca="false">SUMIF($B$23:$B$363,M46,$K$23:$K$386)/12</f>
        <v>21.119200347502</v>
      </c>
      <c r="AP46" s="454"/>
      <c r="AQ46" s="454"/>
      <c r="AR46" s="454"/>
      <c r="AS46" s="454"/>
    </row>
    <row r="47" customFormat="false" ht="10.5" hidden="false" customHeight="false" outlineLevel="0" collapsed="false">
      <c r="A47" s="511" t="n">
        <v>35796</v>
      </c>
      <c r="B47" s="512" t="n">
        <f aca="false">YEAR(A47)</f>
        <v>1998</v>
      </c>
      <c r="C47" s="513" t="n">
        <v>2.07</v>
      </c>
      <c r="D47" s="501" t="n">
        <f aca="false">IF(GasSwitch=0,VLOOKUP($A47,[1]!GasCurve,4),VLOOKUP($A47,[1]!AecoCurve,5))</f>
        <v>2.07</v>
      </c>
      <c r="E47" s="514" t="n">
        <v>0</v>
      </c>
      <c r="F47" s="515" t="n">
        <f aca="false">IF(shiftswitch2=1,F46+$D$8*(D47-F46)+($E$8*(F46^$F$8)*E47)+(1-$D$8)*(D47-D46),F46+$D$10*(C47-F46)+($E$10*(F46^$F$10)*E47)+(1-$D$10)*(C47-C46))</f>
        <v>2.07</v>
      </c>
      <c r="G47" s="503"/>
      <c r="H47" s="516" t="n">
        <v>17.21</v>
      </c>
      <c r="I47" s="501" t="n">
        <f aca="false">IF(OilSwitch=0,VLOOKUP($A47,[1]!OilCurve,4),VLOOKUP($A47,[1]!BrentCurve,4))</f>
        <v>17.21</v>
      </c>
      <c r="J47" s="514" t="n">
        <v>0</v>
      </c>
      <c r="K47" s="515" t="n">
        <f aca="false">IF(shiftswitch2=1,K46+$D$9*(I47-K46)+($E$9*(K46^$F$9)*J47)+(1-$D$9)*(I47-I46),K46+$D$11*(H47-K46)+($E$11*(K46^$F$11)*J47)+(1-$D$11)*(H47-H46))</f>
        <v>17.21</v>
      </c>
      <c r="M47" s="508" t="n">
        <f aca="false">+M46+1</f>
        <v>2020</v>
      </c>
      <c r="N47" s="506" t="n">
        <f aca="false">SUMIF($B$23:$B$363,M47,$F$23:$F$386)/12</f>
        <v>4.20767012546131</v>
      </c>
      <c r="O47" s="506" t="n">
        <f aca="false">SUMIF($B$23:$B$363,M47,$K$23:$K$386)/12</f>
        <v>21.1439360638386</v>
      </c>
      <c r="AP47" s="454"/>
      <c r="AQ47" s="454"/>
      <c r="AR47" s="454"/>
      <c r="AS47" s="454"/>
    </row>
    <row r="48" customFormat="false" ht="10.5" hidden="false" customHeight="false" outlineLevel="0" collapsed="false">
      <c r="A48" s="498" t="n">
        <v>35827</v>
      </c>
      <c r="B48" s="499" t="n">
        <f aca="false">YEAR(A48)</f>
        <v>1998</v>
      </c>
      <c r="C48" s="500" t="n">
        <v>2.2</v>
      </c>
      <c r="D48" s="501" t="n">
        <f aca="false">IF(GasSwitch=0,VLOOKUP($A48,[1]!GasCurve,4),VLOOKUP($A48,[1]!AecoCurve,5))</f>
        <v>2.2</v>
      </c>
      <c r="E48" s="502" t="n">
        <v>0</v>
      </c>
      <c r="F48" s="503" t="n">
        <f aca="false">IF(shiftswitch2=1,F47+$D$8*(D48-F47)+($E$8*(F47^$F$8)*E48)+(1-$D$8)*(D48-D47),F47+$D$10*(C48-F47)+($E$10*(F47^$F$10)*E48)+(1-$D$10)*(C48-C47))</f>
        <v>2.2</v>
      </c>
      <c r="G48" s="503"/>
      <c r="H48" s="504" t="n">
        <v>15.5</v>
      </c>
      <c r="I48" s="501" t="n">
        <f aca="false">IF(OilSwitch=0,VLOOKUP($A48,[1]!OilCurve,4),VLOOKUP($A48,[1]!BrentCurve,4))</f>
        <v>15.5</v>
      </c>
      <c r="J48" s="502" t="n">
        <v>0</v>
      </c>
      <c r="K48" s="503" t="n">
        <f aca="false">IF(shiftswitch2=1,K47+$D$9*(I48-K47)+($E$9*(K47^$F$9)*J48)+(1-$D$9)*(I48-I47),K47+$D$11*(H48-K47)+($E$11*(K47^$F$11)*J48)+(1-$D$11)*(H48-H47))</f>
        <v>15.5</v>
      </c>
      <c r="M48" s="508" t="n">
        <f aca="false">+M47+1</f>
        <v>2021</v>
      </c>
      <c r="N48" s="506" t="n">
        <f aca="false">SUMIF($B$23:$B$363,M48,$F$23:$F$386)/12</f>
        <v>4.33779428028734</v>
      </c>
      <c r="O48" s="506" t="n">
        <f aca="false">SUMIF($B$23:$B$363,M48,$K$23:$K$386)/12</f>
        <v>21.0951116243088</v>
      </c>
      <c r="AP48" s="454"/>
      <c r="AQ48" s="454"/>
      <c r="AR48" s="454"/>
      <c r="AS48" s="454"/>
    </row>
    <row r="49" customFormat="false" ht="10.5" hidden="false" customHeight="false" outlineLevel="0" collapsed="false">
      <c r="A49" s="498" t="n">
        <v>35855</v>
      </c>
      <c r="B49" s="499" t="n">
        <f aca="false">YEAR(A49)</f>
        <v>1998</v>
      </c>
      <c r="C49" s="500" t="n">
        <v>2.34</v>
      </c>
      <c r="D49" s="501" t="n">
        <f aca="false">IF(GasSwitch=0,VLOOKUP($A49,[1]!GasCurve,4),VLOOKUP($A49,[1]!AecoCurve,5))</f>
        <v>2.34</v>
      </c>
      <c r="E49" s="502" t="n">
        <v>0</v>
      </c>
      <c r="F49" s="503" t="n">
        <f aca="false">IF(shiftswitch2=1,F48+$D$8*(D49-F48)+($E$8*(F48^$F$8)*E49)+(1-$D$8)*(D49-D48),F48+$D$10*(C49-F48)+($E$10*(F48^$F$10)*E49)+(1-$D$10)*(C49-C48))</f>
        <v>2.34</v>
      </c>
      <c r="G49" s="503"/>
      <c r="H49" s="504" t="n">
        <v>15.7</v>
      </c>
      <c r="I49" s="501" t="n">
        <f aca="false">IF(OilSwitch=0,VLOOKUP($A49,[1]!OilCurve,4),VLOOKUP($A49,[1]!BrentCurve,4))</f>
        <v>15.7</v>
      </c>
      <c r="J49" s="502" t="n">
        <v>0</v>
      </c>
      <c r="K49" s="503" t="n">
        <f aca="false">IF(shiftswitch2=1,K48+$D$9*(I49-K48)+($E$9*(K48^$F$9)*J49)+(1-$D$9)*(I49-I48),K48+$D$11*(H49-K48)+($E$11*(K48^$F$11)*J49)+(1-$D$11)*(H49-H48))</f>
        <v>15.7</v>
      </c>
      <c r="M49" s="508" t="n">
        <f aca="false">+M48+1</f>
        <v>2022</v>
      </c>
      <c r="N49" s="506" t="n">
        <f aca="false">SUMIF($B$23:$B$363,M49,$F$23:$F$386)/12</f>
        <v>4.48766934095118</v>
      </c>
      <c r="O49" s="506" t="n">
        <f aca="false">SUMIF($B$23:$B$363,M49,$K$23:$K$386)/12</f>
        <v>21.1171031076376</v>
      </c>
      <c r="AP49" s="454"/>
      <c r="AQ49" s="454"/>
      <c r="AR49" s="454"/>
      <c r="AS49" s="454"/>
    </row>
    <row r="50" customFormat="false" ht="10.5" hidden="false" customHeight="false" outlineLevel="0" collapsed="false">
      <c r="A50" s="498" t="n">
        <v>35886</v>
      </c>
      <c r="B50" s="499" t="n">
        <f aca="false">YEAR(A50)</f>
        <v>1998</v>
      </c>
      <c r="C50" s="500" t="n">
        <v>2.14</v>
      </c>
      <c r="D50" s="501" t="n">
        <f aca="false">IF(GasSwitch=0,VLOOKUP($A50,[1]!GasCurve,4),VLOOKUP($A50,[1]!AecoCurve,5))</f>
        <v>2.14</v>
      </c>
      <c r="E50" s="502" t="n">
        <v>0</v>
      </c>
      <c r="F50" s="503" t="n">
        <f aca="false">IF(shiftswitch2=1,F49+$D$8*(D50-F49)+($E$8*(F49^$F$8)*E50)+(1-$D$8)*(D50-D49),F49+$D$10*(C50-F49)+($E$10*(F49^$F$10)*E50)+(1-$D$10)*(C50-C49))</f>
        <v>2.14</v>
      </c>
      <c r="G50" s="503"/>
      <c r="H50" s="504" t="n">
        <v>15.48</v>
      </c>
      <c r="I50" s="501" t="n">
        <f aca="false">IF(OilSwitch=0,VLOOKUP($A50,[1]!OilCurve,4),VLOOKUP($A50,[1]!BrentCurve,4))</f>
        <v>15.48</v>
      </c>
      <c r="J50" s="502" t="n">
        <v>0</v>
      </c>
      <c r="K50" s="503" t="n">
        <f aca="false">IF(shiftswitch2=1,K49+$D$9*(I50-K49)+($E$9*(K49^$F$9)*J50)+(1-$D$9)*(I50-I49),K49+$D$11*(H50-K49)+($E$11*(K49^$F$11)*J50)+(1-$D$11)*(H50-H49))</f>
        <v>15.48</v>
      </c>
      <c r="M50" s="508" t="n">
        <f aca="false">+M49+1</f>
        <v>2023</v>
      </c>
      <c r="N50" s="506" t="n">
        <f aca="false">SUMIF($B$23:$B$363,M50,$F$23:$F$386)/12</f>
        <v>4.63703670559661</v>
      </c>
      <c r="O50" s="506" t="n">
        <f aca="false">SUMIF($B$23:$B$363,M50,$K$23:$K$386)/12</f>
        <v>21.1540595536697</v>
      </c>
      <c r="AP50" s="454"/>
      <c r="AQ50" s="454"/>
      <c r="AR50" s="454"/>
      <c r="AS50" s="454"/>
    </row>
    <row r="51" customFormat="false" ht="10.5" hidden="false" customHeight="false" outlineLevel="0" collapsed="false">
      <c r="A51" s="498" t="n">
        <v>35916</v>
      </c>
      <c r="B51" s="499" t="n">
        <f aca="false">YEAR(A51)</f>
        <v>1998</v>
      </c>
      <c r="C51" s="500" t="n">
        <v>2.11</v>
      </c>
      <c r="D51" s="501" t="n">
        <f aca="false">IF(GasSwitch=0,VLOOKUP($A51,[1]!GasCurve,4),VLOOKUP($A51,[1]!AecoCurve,5))</f>
        <v>2.11</v>
      </c>
      <c r="E51" s="502" t="n">
        <v>0</v>
      </c>
      <c r="F51" s="503" t="n">
        <f aca="false">IF(shiftswitch2=1,F50+$D$8*(D51-F50)+($E$8*(F50^$F$8)*E51)+(1-$D$8)*(D51-D50),F50+$D$10*(C51-F50)+($E$10*(F50^$F$10)*E51)+(1-$D$10)*(C51-C50))</f>
        <v>2.11</v>
      </c>
      <c r="G51" s="503"/>
      <c r="H51" s="504" t="n">
        <v>15.23</v>
      </c>
      <c r="I51" s="501" t="n">
        <f aca="false">IF(OilSwitch=0,VLOOKUP($A51,[1]!OilCurve,4),VLOOKUP($A51,[1]!BrentCurve,4))</f>
        <v>15.23</v>
      </c>
      <c r="J51" s="502" t="n">
        <v>0</v>
      </c>
      <c r="K51" s="503" t="n">
        <f aca="false">IF(shiftswitch2=1,K50+$D$9*(I51-K50)+($E$9*(K50^$F$9)*J51)+(1-$D$9)*(I51-I50),K50+$D$11*(H51-K50)+($E$11*(K50^$F$11)*J51)+(1-$D$11)*(H51-H50))</f>
        <v>15.23</v>
      </c>
      <c r="M51" s="508" t="n">
        <f aca="false">+M50+1</f>
        <v>2024</v>
      </c>
      <c r="N51" s="506" t="n">
        <f aca="false">SUMIF($B$23:$B$363,M51,$F$23:$F$386)/5</f>
        <v>4.76259347157798</v>
      </c>
      <c r="O51" s="506" t="n">
        <f aca="false">SUMIF($B$23:$B$363,M51,$K$23:$K$386)/5</f>
        <v>21.1274324113425</v>
      </c>
      <c r="AP51" s="454"/>
      <c r="AQ51" s="454"/>
      <c r="AR51" s="454"/>
      <c r="AS51" s="454"/>
    </row>
    <row r="52" customFormat="false" ht="10.5" hidden="false" customHeight="false" outlineLevel="0" collapsed="false">
      <c r="A52" s="498" t="n">
        <v>35947</v>
      </c>
      <c r="B52" s="499" t="n">
        <f aca="false">YEAR(A52)</f>
        <v>1998</v>
      </c>
      <c r="C52" s="500" t="n">
        <v>2.41</v>
      </c>
      <c r="D52" s="501" t="n">
        <f aca="false">IF(GasSwitch=0,VLOOKUP($A52,[1]!GasCurve,4),VLOOKUP($A52,[1]!AecoCurve,5))</f>
        <v>2.41</v>
      </c>
      <c r="E52" s="502" t="n">
        <v>0</v>
      </c>
      <c r="F52" s="502" t="n">
        <f aca="false">IF(shiftswitch2=1,IF(F51+$D$8*(D52-F51)+($E$8*(F51^$F$8)*E52)+(1-$D$8)*(D52-D51)&lt;0,0.01,F51+$D$8*(D52-F51)+($E$8*(F51^$F$8)*E52)+(1-$D$8)*(D52-D51)),IF(F51+$D$10*(C52-F51)+($E$10*(F51^$F$10)*E52)+(1-$D$10)*(C52-C51)&lt;0,0.01,F51+$D$10*(C52-F51)+($E$10*(F51^$F$10)*E52)+(1-$D$10)*(C52-C51)))</f>
        <v>2.41</v>
      </c>
      <c r="G52" s="503"/>
      <c r="H52" s="504" t="n">
        <v>14.26</v>
      </c>
      <c r="I52" s="501" t="n">
        <f aca="false">IF(OilSwitch=0,VLOOKUP($A52,[1]!OilCurve,4),VLOOKUP($A52,[1]!BrentCurve,4))</f>
        <v>14.26</v>
      </c>
      <c r="J52" s="502" t="n">
        <v>0</v>
      </c>
      <c r="K52" s="503" t="n">
        <f aca="false">IF(shiftswitch2=1,K51+$D$9*(I52-K51)+($E$9*(K51^$F$9)*J52)+(1-$D$9)*(I52-I51),K51+$D$11*(H52-K51)+($E$11*(K51^$F$11)*J52)+(1-$D$11)*(H52-H51))</f>
        <v>14.26</v>
      </c>
      <c r="M52" s="508"/>
      <c r="N52" s="503"/>
      <c r="AP52" s="454"/>
      <c r="AQ52" s="454"/>
      <c r="AR52" s="454"/>
      <c r="AS52" s="454"/>
    </row>
    <row r="53" customFormat="false" ht="10.5" hidden="false" customHeight="false" outlineLevel="0" collapsed="false">
      <c r="A53" s="498" t="n">
        <v>35977</v>
      </c>
      <c r="B53" s="499" t="n">
        <f aca="false">YEAR(A53)</f>
        <v>1998</v>
      </c>
      <c r="C53" s="500" t="n">
        <v>1.85</v>
      </c>
      <c r="D53" s="501" t="n">
        <f aca="false">IF(GasSwitch=0,VLOOKUP($A53,[1]!GasCurve,4),VLOOKUP($A53,[1]!AecoCurve,5))</f>
        <v>1.85</v>
      </c>
      <c r="E53" s="502" t="n">
        <v>0</v>
      </c>
      <c r="F53" s="502" t="n">
        <f aca="false">IF(shiftswitch2=1,IF(F52+$D$8*(D53-F52)+($E$8*(F52^$F$8)*E53)+(1-$D$8)*(D53-D52)&lt;0,0.01,F52+$D$8*(D53-F52)+($E$8*(F52^$F$8)*E53)+(1-$D$8)*(D53-D52)),IF(F52+$D$10*(C53-F52)+($E$10*(F52^$F$10)*E53)+(1-$D$10)*(C53-C52)&lt;0,0.01,F52+$D$10*(C53-F52)+($E$10*(F52^$F$10)*E53)+(1-$D$10)*(C53-C52)))</f>
        <v>1.85</v>
      </c>
      <c r="G53" s="503"/>
      <c r="H53" s="504" t="n">
        <v>14.26</v>
      </c>
      <c r="I53" s="501" t="n">
        <f aca="false">IF(OilSwitch=0,VLOOKUP($A53,[1]!OilCurve,4),VLOOKUP($A53,[1]!BrentCurve,4))</f>
        <v>14.26</v>
      </c>
      <c r="J53" s="502" t="n">
        <v>0</v>
      </c>
      <c r="K53" s="503" t="n">
        <f aca="false">IF(shiftswitch2=1,K52+$D$9*(I53-K52)+($E$9*(K52^$F$9)*J53)+(1-$D$9)*(I53-I52),K52+$D$11*(H53-K52)+($E$11*(K52^$F$11)*J53)+(1-$D$11)*(H53-H52))</f>
        <v>14.26</v>
      </c>
      <c r="M53" s="503"/>
      <c r="N53" s="503"/>
      <c r="AP53" s="454"/>
      <c r="AQ53" s="454"/>
      <c r="AR53" s="454"/>
      <c r="AS53" s="454"/>
    </row>
    <row r="54" customFormat="false" ht="10.5" hidden="false" customHeight="false" outlineLevel="0" collapsed="false">
      <c r="A54" s="498" t="n">
        <v>36008</v>
      </c>
      <c r="B54" s="499" t="n">
        <f aca="false">YEAR(A54)</f>
        <v>1998</v>
      </c>
      <c r="C54" s="500" t="n">
        <v>1.68</v>
      </c>
      <c r="D54" s="501" t="n">
        <f aca="false">IF(GasSwitch=0,VLOOKUP($A54,[1]!GasCurve,4),VLOOKUP($A54,[1]!AecoCurve,5))</f>
        <v>1.68</v>
      </c>
      <c r="E54" s="502" t="n">
        <v>0</v>
      </c>
      <c r="F54" s="502" t="n">
        <f aca="false">IF(shiftswitch2=1,IF(F53+$D$8*(D54-F53)+($E$8*(F53^$F$8)*E54)+(1-$D$8)*(D54-D53)&lt;0,0.01,F53+$D$8*(D54-F53)+($E$8*(F53^$F$8)*E54)+(1-$D$8)*(D54-D53)),IF(F53+$D$10*(C54-F53)+($E$10*(F53^$F$10)*E54)+(1-$D$10)*(C54-C53)&lt;0,0.01,F53+$D$10*(C54-F53)+($E$10*(F53^$F$10)*E54)+(1-$D$10)*(C54-C53)))</f>
        <v>1.68</v>
      </c>
      <c r="G54" s="503"/>
      <c r="H54" s="504" t="n">
        <v>13.38</v>
      </c>
      <c r="I54" s="501" t="n">
        <f aca="false">IF(OilSwitch=0,VLOOKUP($A54,[1]!OilCurve,4),VLOOKUP($A54,[1]!BrentCurve,4))</f>
        <v>13.38</v>
      </c>
      <c r="J54" s="502" t="n">
        <v>0</v>
      </c>
      <c r="K54" s="503" t="n">
        <f aca="false">IF(shiftswitch2=1,K53+$D$9*(I54-K53)+($E$9*(K53^$F$9)*J54)+(1-$D$9)*(I54-I53),K53+$D$11*(H54-K53)+($E$11*(K53^$F$11)*J54)+(1-$D$11)*(H54-H53))</f>
        <v>13.38</v>
      </c>
      <c r="M54" s="503"/>
      <c r="N54" s="503"/>
      <c r="AP54" s="454"/>
      <c r="AQ54" s="454"/>
      <c r="AR54" s="454"/>
      <c r="AS54" s="454"/>
    </row>
    <row r="55" customFormat="false" ht="10.5" hidden="false" customHeight="false" outlineLevel="0" collapsed="false">
      <c r="A55" s="498" t="n">
        <v>36039</v>
      </c>
      <c r="B55" s="499" t="n">
        <f aca="false">YEAR(A55)</f>
        <v>1998</v>
      </c>
      <c r="C55" s="500" t="n">
        <v>2.2</v>
      </c>
      <c r="D55" s="501" t="n">
        <f aca="false">IF(GasSwitch=0,VLOOKUP($A55,[1]!GasCurve,4),VLOOKUP($A55,[1]!AecoCurve,5))</f>
        <v>2.2</v>
      </c>
      <c r="E55" s="502" t="n">
        <v>0</v>
      </c>
      <c r="F55" s="502" t="n">
        <f aca="false">IF(shiftswitch2=1,IF(F54+$D$8*(D55-F54)+($E$8*(F54^$F$8)*E55)+(1-$D$8)*(D55-D54)&lt;0,0.01,F54+$D$8*(D55-F54)+($E$8*(F54^$F$8)*E55)+(1-$D$8)*(D55-D54)),IF(F54+$D$10*(C55-F54)+($E$10*(F54^$F$10)*E55)+(1-$D$10)*(C55-C54)&lt;0,0.01,F54+$D$10*(C55-F54)+($E$10*(F54^$F$10)*E55)+(1-$D$10)*(C55-C54)))</f>
        <v>2.2</v>
      </c>
      <c r="G55" s="503"/>
      <c r="H55" s="504" t="n">
        <v>16.17</v>
      </c>
      <c r="I55" s="501" t="n">
        <f aca="false">IF(OilSwitch=0,VLOOKUP($A55,[1]!OilCurve,4),VLOOKUP($A55,[1]!BrentCurve,4))</f>
        <v>16.17</v>
      </c>
      <c r="J55" s="502" t="n">
        <v>0</v>
      </c>
      <c r="K55" s="503" t="n">
        <f aca="false">IF(shiftswitch2=1,K54+$D$9*(I55-K54)+($E$9*(K54^$F$9)*J55)+(1-$D$9)*(I55-I54),K54+$D$11*(H55-K54)+($E$11*(K54^$F$11)*J55)+(1-$D$11)*(H55-H54))</f>
        <v>16.17</v>
      </c>
      <c r="M55" s="503"/>
      <c r="AP55" s="454"/>
      <c r="AQ55" s="454"/>
      <c r="AR55" s="454"/>
      <c r="AS55" s="454"/>
    </row>
    <row r="56" customFormat="false" ht="10.5" hidden="false" customHeight="false" outlineLevel="0" collapsed="false">
      <c r="A56" s="498" t="n">
        <v>36069</v>
      </c>
      <c r="B56" s="499" t="n">
        <f aca="false">YEAR(A56)</f>
        <v>1998</v>
      </c>
      <c r="C56" s="500" t="n">
        <v>1.83</v>
      </c>
      <c r="D56" s="501" t="n">
        <f aca="false">IF(GasSwitch=0,VLOOKUP($A56,[1]!GasCurve,4),VLOOKUP($A56,[1]!AecoCurve,5))</f>
        <v>1.83</v>
      </c>
      <c r="E56" s="502" t="n">
        <v>0</v>
      </c>
      <c r="F56" s="502" t="n">
        <f aca="false">IF(shiftswitch2=1,IF(F55+$D$8*(D56-F55)+($E$8*(F55^$F$8)*E56)+(1-$D$8)*(D56-D55)&lt;0,0.01,F55+$D$8*(D56-F55)+($E$8*(F55^$F$8)*E56)+(1-$D$8)*(D56-D55)),IF(F55+$D$10*(C56-F55)+($E$10*(F55^$F$10)*E56)+(1-$D$10)*(C56-C55)&lt;0,0.01,F55+$D$10*(C56-F55)+($E$10*(F55^$F$10)*E56)+(1-$D$10)*(C56-C55)))</f>
        <v>1.83</v>
      </c>
      <c r="G56" s="503"/>
      <c r="H56" s="504" t="n">
        <v>14.45</v>
      </c>
      <c r="I56" s="501" t="n">
        <f aca="false">IF(OilSwitch=0,VLOOKUP($A56,[1]!OilCurve,4),VLOOKUP($A56,[1]!BrentCurve,4))</f>
        <v>14.45</v>
      </c>
      <c r="J56" s="502" t="n">
        <v>0</v>
      </c>
      <c r="K56" s="503" t="n">
        <f aca="false">IF(shiftswitch2=1,K55+$D$9*(I56-K55)+($E$9*(K55^$F$9)*J56)+(1-$D$9)*(I56-I55),K55+$D$11*(H56-K55)+($E$11*(K55^$F$11)*J56)+(1-$D$11)*(H56-H55))</f>
        <v>14.45</v>
      </c>
      <c r="M56" s="503"/>
      <c r="AP56" s="454"/>
      <c r="AQ56" s="454"/>
      <c r="AR56" s="454"/>
      <c r="AS56" s="454"/>
    </row>
    <row r="57" customFormat="false" ht="10.5" hidden="false" customHeight="false" outlineLevel="0" collapsed="false">
      <c r="A57" s="498" t="n">
        <v>36100</v>
      </c>
      <c r="B57" s="499" t="n">
        <f aca="false">YEAR(A57)</f>
        <v>1998</v>
      </c>
      <c r="C57" s="500" t="n">
        <v>1.66</v>
      </c>
      <c r="D57" s="501" t="n">
        <f aca="false">IF(GasSwitch=0,VLOOKUP($A57,[1]!GasCurve,4),VLOOKUP($A57,[1]!AecoCurve,5))</f>
        <v>1.66</v>
      </c>
      <c r="E57" s="502" t="n">
        <v>0</v>
      </c>
      <c r="F57" s="502" t="n">
        <f aca="false">IF(shiftswitch2=1,IF(F56+$D$8*(D57-F56)+($E$8*(F56^$F$8)*E57)+(1-$D$8)*(D57-D56)&lt;0,0.01,F56+$D$8*(D57-F56)+($E$8*(F56^$F$8)*E57)+(1-$D$8)*(D57-D56)),IF(F56+$D$10*(C57-F56)+($E$10*(F56^$F$10)*E57)+(1-$D$10)*(C57-C56)&lt;0,0.01,F56+$D$10*(C57-F56)+($E$10*(F56^$F$10)*E57)+(1-$D$10)*(C57-C56)))</f>
        <v>1.66</v>
      </c>
      <c r="G57" s="503"/>
      <c r="H57" s="504" t="n">
        <v>11.26</v>
      </c>
      <c r="I57" s="501" t="n">
        <f aca="false">IF(OilSwitch=0,VLOOKUP($A57,[1]!OilCurve,4),VLOOKUP($A57,[1]!BrentCurve,4))</f>
        <v>11.26</v>
      </c>
      <c r="J57" s="502" t="n">
        <v>0</v>
      </c>
      <c r="K57" s="503" t="n">
        <f aca="false">IF(shiftswitch2=1,K56+$D$9*(I57-K56)+($E$9*(K56^$F$9)*J57)+(1-$D$9)*(I57-I56),K56+$D$11*(H57-K56)+($E$11*(K56^$F$11)*J57)+(1-$D$11)*(H57-H56))</f>
        <v>11.26</v>
      </c>
      <c r="M57" s="503"/>
      <c r="AP57" s="454"/>
      <c r="AQ57" s="454"/>
      <c r="AR57" s="454"/>
      <c r="AS57" s="454"/>
    </row>
    <row r="58" customFormat="false" ht="10.5" hidden="false" customHeight="false" outlineLevel="0" collapsed="false">
      <c r="A58" s="498" t="n">
        <v>36130</v>
      </c>
      <c r="B58" s="499" t="n">
        <f aca="false">YEAR(A58)</f>
        <v>1998</v>
      </c>
      <c r="C58" s="500" t="n">
        <v>1.94</v>
      </c>
      <c r="D58" s="501" t="n">
        <f aca="false">IF(GasSwitch=0,VLOOKUP($A58,[1]!GasCurve,4),VLOOKUP($A58,[1]!AecoCurve,5))</f>
        <v>1.94</v>
      </c>
      <c r="E58" s="502" t="n">
        <v>0</v>
      </c>
      <c r="F58" s="502" t="n">
        <f aca="false">IF(shiftswitch2=1,IF(F57+$D$8*(D58-F57)+($E$8*(F57^$F$8)*E58)+(1-$D$8)*(D58-D57)&lt;0,0.01,F57+$D$8*(D58-F57)+($E$8*(F57^$F$8)*E58)+(1-$D$8)*(D58-D57)),IF(F57+$D$10*(C58-F57)+($E$10*(F57^$F$10)*E58)+(1-$D$10)*(C58-C57)&lt;0,0.01,F57+$D$10*(C58-F57)+($E$10*(F57^$F$10)*E58)+(1-$D$10)*(C58-C57)))</f>
        <v>1.94</v>
      </c>
      <c r="G58" s="503"/>
      <c r="H58" s="504" t="n">
        <v>12.09</v>
      </c>
      <c r="I58" s="501" t="n">
        <f aca="false">IF(OilSwitch=0,VLOOKUP($A58,[1]!OilCurve,4),VLOOKUP($A58,[1]!BrentCurve,4))</f>
        <v>12.09</v>
      </c>
      <c r="J58" s="502" t="n">
        <v>0</v>
      </c>
      <c r="K58" s="503" t="n">
        <f aca="false">IF(shiftswitch2=1,K57+$D$9*(I58-K57)+($E$9*(K57^$F$9)*J58)+(1-$D$9)*(I58-I57),K57+$D$11*(H58-K57)+($E$11*(K57^$F$11)*J58)+(1-$D$11)*(H58-H57))</f>
        <v>12.09</v>
      </c>
      <c r="M58" s="503"/>
      <c r="AP58" s="454"/>
      <c r="AQ58" s="454"/>
      <c r="AR58" s="454"/>
      <c r="AS58" s="454"/>
    </row>
    <row r="59" customFormat="false" ht="10.5" hidden="false" customHeight="false" outlineLevel="0" collapsed="false">
      <c r="A59" s="498" t="n">
        <v>36161</v>
      </c>
      <c r="B59" s="512" t="n">
        <f aca="false">YEAR(A59)</f>
        <v>1999</v>
      </c>
      <c r="C59" s="513" t="n">
        <v>1.82</v>
      </c>
      <c r="D59" s="501" t="n">
        <f aca="false">IF(GasSwitch=0,VLOOKUP($A59,[1]!GasCurve,4),VLOOKUP($A59,[1]!AecoCurve,5))</f>
        <v>1.82</v>
      </c>
      <c r="E59" s="502" t="n">
        <v>0</v>
      </c>
      <c r="F59" s="502" t="n">
        <f aca="false">IF(shiftswitch2=1,IF(F58+$D$8*(D59-F58)+($E$8*(F58^$F$8)*E59)+(1-$D$8)*(D59-D58)&lt;0,0.01,F58+$D$8*(D59-F58)+($E$8*(F58^$F$8)*E59)+(1-$D$8)*(D59-D58)),IF(F58+$D$10*(C59-F58)+($E$10*(F58^$F$10)*E59)+(1-$D$10)*(C59-C58)&lt;0,0.01,F58+$D$10*(C59-F58)+($E$10*(F58^$F$10)*E59)+(1-$D$10)*(C59-C58)))</f>
        <v>1.82</v>
      </c>
      <c r="G59" s="503"/>
      <c r="H59" s="516" t="n">
        <v>12.76</v>
      </c>
      <c r="I59" s="501" t="n">
        <f aca="false">IF(OilSwitch=0,VLOOKUP($A59,[1]!OilCurve,4),VLOOKUP($A59,[1]!BrentCurve,4))</f>
        <v>12.76</v>
      </c>
      <c r="J59" s="514" t="n">
        <v>0</v>
      </c>
      <c r="K59" s="515" t="n">
        <f aca="false">IF(shiftswitch2=1,K58+$D$9*(I59-K58)+($E$9*(K58^$F$9)*J59)+(1-$D$9)*(I59-I58),K58+$D$11*(H59-K58)+($E$11*(K58^$F$11)*J59)+(1-$D$11)*(H59-H58))</f>
        <v>12.76</v>
      </c>
      <c r="M59" s="503"/>
      <c r="AP59" s="454"/>
      <c r="AQ59" s="454"/>
      <c r="AR59" s="454"/>
      <c r="AS59" s="454"/>
    </row>
    <row r="60" customFormat="false" ht="10.5" hidden="false" customHeight="false" outlineLevel="0" collapsed="false">
      <c r="A60" s="498" t="n">
        <v>36192</v>
      </c>
      <c r="B60" s="499" t="n">
        <f aca="false">YEAR(A60)</f>
        <v>1999</v>
      </c>
      <c r="C60" s="500" t="n">
        <v>1.66</v>
      </c>
      <c r="D60" s="501" t="n">
        <f aca="false">IF(GasSwitch=0,VLOOKUP($A60,[1]!GasCurve,4),VLOOKUP($A60,[1]!AecoCurve,5))</f>
        <v>1.66</v>
      </c>
      <c r="E60" s="502" t="n">
        <v>0</v>
      </c>
      <c r="F60" s="502" t="n">
        <f aca="false">IF(shiftswitch2=1,IF(F59+$D$8*(D60-F59)+($E$8*(F59^$F$8)*E60)+(1-$D$8)*(D60-D59)&lt;0,0.01,F59+$D$8*(D60-F59)+($E$8*(F59^$F$8)*E60)+(1-$D$8)*(D60-D59)),IF(F59+$D$10*(C60-F59)+($E$10*(F59^$F$10)*E60)+(1-$D$10)*(C60-C59)&lt;0,0.01,F59+$D$10*(C60-F59)+($E$10*(F59^$F$10)*E60)+(1-$D$10)*(C60-C59)))</f>
        <v>1.66</v>
      </c>
      <c r="G60" s="503"/>
      <c r="H60" s="504" t="n">
        <v>12.28</v>
      </c>
      <c r="I60" s="501" t="n">
        <f aca="false">IF(OilSwitch=0,VLOOKUP($A60,[1]!OilCurve,4),VLOOKUP($A60,[1]!BrentCurve,4))</f>
        <v>12.28</v>
      </c>
      <c r="J60" s="502" t="n">
        <v>0</v>
      </c>
      <c r="K60" s="503" t="n">
        <f aca="false">IF(shiftswitch2=1,K59+$D$9*(I60-K59)+($E$9*(K59^$F$9)*J60)+(1-$D$9)*(I60-I59),K59+$D$11*(H60-K59)+($E$11*(K59^$F$11)*J60)+(1-$D$11)*(H60-H59))</f>
        <v>12.28</v>
      </c>
      <c r="M60" s="503"/>
      <c r="AP60" s="454"/>
      <c r="AQ60" s="454"/>
      <c r="AR60" s="454"/>
      <c r="AS60" s="454"/>
    </row>
    <row r="61" customFormat="false" ht="10.5" hidden="false" customHeight="false" outlineLevel="0" collapsed="false">
      <c r="A61" s="498" t="n">
        <v>36220</v>
      </c>
      <c r="B61" s="499" t="n">
        <f aca="false">YEAR(A61)</f>
        <v>1999</v>
      </c>
      <c r="C61" s="500" t="n">
        <v>2</v>
      </c>
      <c r="D61" s="501" t="n">
        <f aca="false">IF(GasSwitch=0,VLOOKUP($A61,[1]!GasCurve,4),VLOOKUP($A61,[1]!AecoCurve,5))</f>
        <v>2</v>
      </c>
      <c r="E61" s="502" t="n">
        <v>0</v>
      </c>
      <c r="F61" s="502" t="n">
        <f aca="false">IF(shiftswitch2=1,IF(F60+$D$8*(D61-F60)+($E$8*(F60^$F$8)*E61)+(1-$D$8)*(D61-D60)&lt;0,0.01,F60+$D$8*(D61-F60)+($E$8*(F60^$F$8)*E61)+(1-$D$8)*(D61-D60)),IF(F60+$D$10*(C61-F60)+($E$10*(F60^$F$10)*E61)+(1-$D$10)*(C61-C60)&lt;0,0.01,F60+$D$10*(C61-F60)+($E$10*(F60^$F$10)*E61)+(1-$D$10)*(C61-C60)))</f>
        <v>2</v>
      </c>
      <c r="G61" s="503"/>
      <c r="H61" s="504" t="n">
        <v>16.76</v>
      </c>
      <c r="I61" s="501" t="n">
        <f aca="false">IF(OilSwitch=0,VLOOKUP($A61,[1]!OilCurve,4),VLOOKUP($A61,[1]!BrentCurve,4))</f>
        <v>16.76</v>
      </c>
      <c r="J61" s="502" t="n">
        <v>0</v>
      </c>
      <c r="K61" s="503" t="n">
        <f aca="false">IF(shiftswitch2=1,K60+$D$9*(I61-K60)+($E$9*(K60^$F$9)*J61)+(1-$D$9)*(I61-I60),K60+$D$11*(H61-K60)+($E$11*(K60^$F$11)*J61)+(1-$D$11)*(H61-H60))</f>
        <v>16.76</v>
      </c>
      <c r="M61" s="503"/>
      <c r="AP61" s="454"/>
      <c r="AQ61" s="454"/>
      <c r="AR61" s="454"/>
      <c r="AS61" s="454"/>
    </row>
    <row r="62" customFormat="false" ht="10.5" hidden="false" customHeight="false" outlineLevel="0" collapsed="false">
      <c r="A62" s="498" t="n">
        <v>36251</v>
      </c>
      <c r="B62" s="499" t="n">
        <f aca="false">YEAR(A62)</f>
        <v>1999</v>
      </c>
      <c r="C62" s="500" t="n">
        <v>2.25</v>
      </c>
      <c r="D62" s="501" t="n">
        <f aca="false">IF(GasSwitch=0,VLOOKUP($A62,[1]!GasCurve,4),VLOOKUP($A62,[1]!AecoCurve,5))</f>
        <v>2.25</v>
      </c>
      <c r="E62" s="502" t="n">
        <v>0</v>
      </c>
      <c r="F62" s="502" t="n">
        <f aca="false">IF(shiftswitch2=1,IF(F61+$D$8*(D62-F61)+($E$8*(F61^$F$8)*E62)+(1-$D$8)*(D62-D61)&lt;0,0.01,F61+$D$8*(D62-F61)+($E$8*(F61^$F$8)*E62)+(1-$D$8)*(D62-D61)),IF(F61+$D$10*(C62-F61)+($E$10*(F61^$F$10)*E62)+(1-$D$10)*(C62-C61)&lt;0,0.01,F61+$D$10*(C62-F61)+($E$10*(F61^$F$10)*E62)+(1-$D$10)*(C62-C61)))</f>
        <v>2.25</v>
      </c>
      <c r="G62" s="503"/>
      <c r="H62" s="504" t="n">
        <v>18.66</v>
      </c>
      <c r="I62" s="501" t="n">
        <f aca="false">IF(OilSwitch=0,VLOOKUP($A62,[1]!OilCurve,4),VLOOKUP($A62,[1]!BrentCurve,4))</f>
        <v>18.66</v>
      </c>
      <c r="J62" s="502" t="n">
        <v>0</v>
      </c>
      <c r="K62" s="503" t="n">
        <f aca="false">IF(shiftswitch2=1,K61+$D$9*(I62-K61)+($E$9*(K61^$F$9)*J62)+(1-$D$9)*(I62-I61),K61+$D$11*(H62-K61)+($E$11*(K61^$F$11)*J62)+(1-$D$11)*(H62-H61))</f>
        <v>18.66</v>
      </c>
      <c r="M62" s="503"/>
      <c r="AP62" s="454"/>
      <c r="AQ62" s="454"/>
      <c r="AR62" s="454"/>
      <c r="AS62" s="454"/>
    </row>
    <row r="63" customFormat="false" ht="10.5" hidden="false" customHeight="false" outlineLevel="0" collapsed="false">
      <c r="A63" s="498" t="n">
        <v>36281</v>
      </c>
      <c r="B63" s="499" t="n">
        <f aca="false">YEAR(A63)</f>
        <v>1999</v>
      </c>
      <c r="C63" s="500" t="n">
        <v>2.29</v>
      </c>
      <c r="D63" s="501" t="n">
        <f aca="false">IF(GasSwitch=0,VLOOKUP($A63,[1]!GasCurve,4),VLOOKUP($A63,[1]!AecoCurve,5))</f>
        <v>2.29</v>
      </c>
      <c r="E63" s="502" t="n">
        <v>0</v>
      </c>
      <c r="F63" s="502" t="n">
        <f aca="false">IF(shiftswitch2=1,IF(F62+$D$8*(D63-F62)+($E$8*(F62^$F$8)*E63)+(1-$D$8)*(D63-D62)&lt;0,0.01,F62+$D$8*(D63-F62)+($E$8*(F62^$F$8)*E63)+(1-$D$8)*(D63-D62)),IF(F62+$D$10*(C63-F62)+($E$10*(F62^$F$10)*E63)+(1-$D$10)*(C63-C62)&lt;0,0.01,F62+$D$10*(C63-F62)+($E$10*(F62^$F$10)*E63)+(1-$D$10)*(C63-C62)))</f>
        <v>2.29</v>
      </c>
      <c r="G63" s="503"/>
      <c r="H63" s="504" t="n">
        <v>16.84</v>
      </c>
      <c r="I63" s="501" t="n">
        <f aca="false">IF(OilSwitch=0,VLOOKUP($A63,[1]!OilCurve,4),VLOOKUP($A63,[1]!BrentCurve,4))</f>
        <v>16.84</v>
      </c>
      <c r="J63" s="502" t="n">
        <v>0</v>
      </c>
      <c r="K63" s="503" t="n">
        <f aca="false">IF(shiftswitch2=1,K62+$D$9*(I63-K62)+($E$9*(K62^$F$9)*J63)+(1-$D$9)*(I63-I62),K62+$D$11*(H63-K62)+($E$11*(K62^$F$11)*J63)+(1-$D$11)*(H63-H62))</f>
        <v>16.84</v>
      </c>
      <c r="M63" s="503"/>
      <c r="AP63" s="454"/>
      <c r="AQ63" s="454"/>
      <c r="AR63" s="454"/>
      <c r="AS63" s="454"/>
    </row>
    <row r="64" customFormat="false" ht="10.5" hidden="false" customHeight="false" outlineLevel="0" collapsed="false">
      <c r="A64" s="498" t="n">
        <v>36312</v>
      </c>
      <c r="B64" s="499" t="n">
        <f aca="false">YEAR(A64)</f>
        <v>1999</v>
      </c>
      <c r="C64" s="500" t="n">
        <v>2.33</v>
      </c>
      <c r="D64" s="501" t="n">
        <f aca="false">IF(GasSwitch=0,VLOOKUP($A64,[1]!GasCurve,4),VLOOKUP($A64,[1]!AecoCurve,5))</f>
        <v>2.33</v>
      </c>
      <c r="E64" s="502" t="n">
        <v>0</v>
      </c>
      <c r="F64" s="502" t="n">
        <f aca="false">IF(shiftswitch2=1,IF(F63+$D$8*(D64-F63)+($E$8*(F63^$F$8)*E64)+(1-$D$8)*(D64-D63)&lt;0,0.01,F63+$D$8*(D64-F63)+($E$8*(F63^$F$8)*E64)+(1-$D$8)*(D64-D63)),IF(F63+$D$10*(C64-F63)+($E$10*(F63^$F$10)*E64)+(1-$D$10)*(C64-C63)&lt;0,0.01,F63+$D$10*(C64-F63)+($E$10*(F63^$F$10)*E64)+(1-$D$10)*(C64-C63)))</f>
        <v>2.33</v>
      </c>
      <c r="G64" s="503"/>
      <c r="H64" s="504" t="n">
        <v>19.29</v>
      </c>
      <c r="I64" s="501" t="n">
        <f aca="false">IF(OilSwitch=0,VLOOKUP($A64,[1]!OilCurve,4),VLOOKUP($A64,[1]!BrentCurve,4))</f>
        <v>19.29</v>
      </c>
      <c r="J64" s="502" t="n">
        <v>0</v>
      </c>
      <c r="K64" s="503" t="n">
        <f aca="false">IF(shiftswitch2=1,K63+$D$9*(I64-K63)+($E$9*(K63^$F$9)*J64)+(1-$D$9)*(I64-I63),K63+$D$11*(H64-K63)+($E$11*(K63^$F$11)*J64)+(1-$D$11)*(H64-H63))</f>
        <v>19.29</v>
      </c>
      <c r="M64" s="503"/>
      <c r="AP64" s="454"/>
      <c r="AQ64" s="454"/>
      <c r="AR64" s="454"/>
      <c r="AS64" s="454"/>
    </row>
    <row r="65" customFormat="false" ht="10.5" hidden="false" customHeight="false" outlineLevel="0" collapsed="false">
      <c r="A65" s="498" t="n">
        <v>36342</v>
      </c>
      <c r="B65" s="499" t="n">
        <f aca="false">YEAR(A65)</f>
        <v>1999</v>
      </c>
      <c r="C65" s="500" t="n">
        <v>2.55</v>
      </c>
      <c r="D65" s="501" t="n">
        <f aca="false">IF(GasSwitch=0,VLOOKUP($A65,[1]!GasCurve,4),VLOOKUP($A65,[1]!AecoCurve,5))</f>
        <v>2.55</v>
      </c>
      <c r="E65" s="502" t="n">
        <v>0</v>
      </c>
      <c r="F65" s="503" t="n">
        <f aca="false">IF(shiftswitch2=1,IF(F64+$D$8*(D65-F64)+($E$8*(F64^$F$8)*E65)+(1-$D$8)*(D65-D64)&lt;0,0.01,F64+$D$8*(D65-F64)+($E$8*(F64^$F$8)*E65)+(1-$D$8)*(D65-D64)),IF(F64+$D$10*(C65-F64)+($E$10*(F64^$F$10)*E65)+(1-$D$10)*(C65-C64)&lt;0,0.01,F64+$D$10*(C65-F64)+($E$10*(F64^$F$10)*E65)+(1-$D$10)*(C65-C64)))</f>
        <v>2.55</v>
      </c>
      <c r="G65" s="503"/>
      <c r="H65" s="504" t="n">
        <v>20.53</v>
      </c>
      <c r="I65" s="501" t="n">
        <f aca="false">IF(OilSwitch=0,VLOOKUP($A65,[1]!OilCurve,4),VLOOKUP($A65,[1]!BrentCurve,4))</f>
        <v>20.53</v>
      </c>
      <c r="J65" s="502" t="n">
        <v>0</v>
      </c>
      <c r="K65" s="503" t="n">
        <f aca="false">IF(shiftswitch2=1,K64+$D$9*(I65-K64)+($E$9*(K64^$F$9)*J65)+(1-$D$9)*(I65-I64),K64+$D$11*(H65-K64)+($E$11*(K64^$F$11)*J65)+(1-$D$11)*(H65-H64))</f>
        <v>20.53</v>
      </c>
      <c r="M65" s="503"/>
      <c r="AP65" s="454"/>
      <c r="AQ65" s="454"/>
      <c r="AR65" s="454"/>
      <c r="AS65" s="454"/>
    </row>
    <row r="66" customFormat="false" ht="10.5" hidden="false" customHeight="false" outlineLevel="0" collapsed="false">
      <c r="A66" s="498" t="n">
        <v>36373</v>
      </c>
      <c r="B66" s="499" t="n">
        <f aca="false">YEAR(A66)</f>
        <v>1999</v>
      </c>
      <c r="C66" s="500" t="n">
        <v>2.87</v>
      </c>
      <c r="D66" s="501" t="n">
        <f aca="false">IF(GasSwitch=0,VLOOKUP($A66,[1]!GasCurve,4),VLOOKUP($A66,[1]!AecoCurve,5))</f>
        <v>2.87</v>
      </c>
      <c r="E66" s="502" t="n">
        <v>0</v>
      </c>
      <c r="F66" s="503" t="n">
        <f aca="false">IF(shiftswitch2=1,IF(F65+$D$8*(D66-F65)+($E$8*(F65^$F$8)*E66)+(1-$D$8)*(D66-D65)&lt;0,0.01,F65+$D$8*(D66-F65)+($E$8*(F65^$F$8)*E66)+(1-$D$8)*(D66-D65)),IF(F65+$D$10*(C66-F65)+($E$10*(F65^$F$10)*E66)+(1-$D$10)*(C66-C65)&lt;0,0.01,F65+$D$10*(C66-F65)+($E$10*(F65^$F$10)*E66)+(1-$D$10)*(C66-C65)))</f>
        <v>2.87</v>
      </c>
      <c r="G66" s="503"/>
      <c r="H66" s="504" t="n">
        <v>22.11</v>
      </c>
      <c r="I66" s="501" t="n">
        <f aca="false">IF(OilSwitch=0,VLOOKUP($A66,[1]!OilCurve,4),VLOOKUP($A66,[1]!BrentCurve,4))</f>
        <v>22.11</v>
      </c>
      <c r="J66" s="502" t="n">
        <v>0</v>
      </c>
      <c r="K66" s="503" t="n">
        <f aca="false">IF(shiftswitch2=1,K65+$D$9*(I66-K65)+($E$9*(K65^$F$9)*J66)+(1-$D$9)*(I66-I65),K65+$D$11*(H66-K65)+($E$11*(K65^$F$11)*J66)+(1-$D$11)*(H66-H65))</f>
        <v>22.11</v>
      </c>
      <c r="M66" s="503"/>
      <c r="AP66" s="454"/>
      <c r="AQ66" s="454"/>
      <c r="AR66" s="454"/>
      <c r="AS66" s="454"/>
    </row>
    <row r="67" customFormat="false" ht="10.5" hidden="false" customHeight="false" outlineLevel="0" collapsed="false">
      <c r="A67" s="498" t="n">
        <v>36404</v>
      </c>
      <c r="B67" s="499" t="n">
        <f aca="false">YEAR(A67)</f>
        <v>1999</v>
      </c>
      <c r="C67" s="500" t="n">
        <v>2.32</v>
      </c>
      <c r="D67" s="501" t="n">
        <f aca="false">IF(GasSwitch=0,VLOOKUP($A67,[1]!GasCurve,4),VLOOKUP($A67,[1]!AecoCurve,5))</f>
        <v>2.32</v>
      </c>
      <c r="E67" s="502" t="n">
        <v>0</v>
      </c>
      <c r="F67" s="503" t="n">
        <f aca="false">IF(shiftswitch2=1,IF(F66+$D$8*(D67-F66)+($E$8*(F66^$F$8)*E67)+(1-$D$8)*(D67-D66)&lt;0,0.01,F66+$D$8*(D67-F66)+($E$8*(F66^$F$8)*E67)+(1-$D$8)*(D67-D66)),IF(F66+$D$10*(C67-F66)+($E$10*(F66^$F$10)*E67)+(1-$D$10)*(C67-C66)&lt;0,0.01,F66+$D$10*(C67-F66)+($E$10*(F66^$F$10)*E67)+(1-$D$10)*(C67-C66)))</f>
        <v>2.32</v>
      </c>
      <c r="G67" s="503"/>
      <c r="H67" s="504" t="n">
        <v>24.51</v>
      </c>
      <c r="I67" s="501" t="n">
        <f aca="false">IF(OilSwitch=0,VLOOKUP($A67,[1]!OilCurve,4),VLOOKUP($A67,[1]!BrentCurve,4))</f>
        <v>24.51</v>
      </c>
      <c r="J67" s="502" t="n">
        <v>0</v>
      </c>
      <c r="K67" s="503" t="n">
        <f aca="false">IF(shiftswitch2=1,K66+$D$9*(I67-K66)+($E$9*(K66^$F$9)*J67)+(1-$D$9)*(I67-I66),K66+$D$11*(H67-K66)+($E$11*(K66^$F$11)*J67)+(1-$D$11)*(H67-H66))</f>
        <v>24.51</v>
      </c>
      <c r="M67" s="503"/>
      <c r="AP67" s="454"/>
      <c r="AQ67" s="454"/>
      <c r="AR67" s="454"/>
      <c r="AS67" s="454"/>
    </row>
    <row r="68" customFormat="false" ht="10.5" hidden="false" customHeight="false" outlineLevel="0" collapsed="false">
      <c r="A68" s="498" t="n">
        <v>36434</v>
      </c>
      <c r="B68" s="499" t="n">
        <f aca="false">YEAR(A68)</f>
        <v>1999</v>
      </c>
      <c r="C68" s="500" t="n">
        <v>2.75</v>
      </c>
      <c r="D68" s="501" t="n">
        <f aca="false">IF(GasSwitch=0,VLOOKUP($A68,[1]!GasCurve,4),VLOOKUP($A68,[1]!AecoCurve,5))</f>
        <v>2.75</v>
      </c>
      <c r="E68" s="502" t="n">
        <v>0</v>
      </c>
      <c r="F68" s="503" t="n">
        <f aca="false">IF(shiftswitch2=1,IF(F67+$D$8*(D68-F67)+($E$8*(F67^$F$8)*E68)+(1-$D$8)*(D68-D67)&lt;0,0.01,F67+$D$8*(D68-F67)+($E$8*(F67^$F$8)*E68)+(1-$D$8)*(D68-D67)),IF(F67+$D$10*(C68-F67)+($E$10*(F67^$F$10)*E68)+(1-$D$10)*(C68-C67)&lt;0,0.01,F67+$D$10*(C68-F67)+($E$10*(F67^$F$10)*E68)+(1-$D$10)*(C68-C67)))</f>
        <v>2.75</v>
      </c>
      <c r="G68" s="503"/>
      <c r="H68" s="504" t="n">
        <v>21.75</v>
      </c>
      <c r="I68" s="501" t="n">
        <f aca="false">IF(OilSwitch=0,VLOOKUP($A68,[1]!OilCurve,4),VLOOKUP($A68,[1]!BrentCurve,4))</f>
        <v>21.75</v>
      </c>
      <c r="J68" s="502" t="n">
        <v>0</v>
      </c>
      <c r="K68" s="503" t="n">
        <f aca="false">IF(shiftswitch2=1,K67+$D$9*(I68-K67)+($E$9*(K67^$F$9)*J68)+(1-$D$9)*(I68-I67),K67+$D$11*(H68-K67)+($E$11*(K67^$F$11)*J68)+(1-$D$11)*(H68-H67))</f>
        <v>21.75</v>
      </c>
      <c r="M68" s="503"/>
      <c r="AP68" s="454"/>
      <c r="AQ68" s="454"/>
      <c r="AR68" s="454"/>
      <c r="AS68" s="454"/>
    </row>
    <row r="69" customFormat="false" ht="10.5" hidden="false" customHeight="false" outlineLevel="0" collapsed="false">
      <c r="A69" s="498" t="n">
        <v>36465</v>
      </c>
      <c r="B69" s="499" t="n">
        <f aca="false">YEAR(A69)</f>
        <v>1999</v>
      </c>
      <c r="C69" s="500" t="n">
        <v>2.17</v>
      </c>
      <c r="D69" s="501" t="n">
        <f aca="false">IF(GasSwitch=0,VLOOKUP($A69,[1]!GasCurve,4),VLOOKUP($A69,[1]!AecoCurve,5))</f>
        <v>2.17</v>
      </c>
      <c r="E69" s="502" t="n">
        <v>0</v>
      </c>
      <c r="F69" s="503" t="n">
        <f aca="false">IF(shiftswitch2=1,IF(F68+$D$8*(D69-F68)+($E$8*(F68^$F$8)*E69)+(1-$D$8)*(D69-D68)&lt;0,0.01,F68+$D$8*(D69-F68)+($E$8*(F68^$F$8)*E69)+(1-$D$8)*(D69-D68)),IF(F68+$D$10*(C69-F68)+($E$10*(F68^$F$10)*E69)+(1-$D$10)*(C69-C68)&lt;0,0.01,F68+$D$10*(C69-F68)+($E$10*(F68^$F$10)*E69)+(1-$D$10)*(C69-C68)))</f>
        <v>2.17</v>
      </c>
      <c r="G69" s="503"/>
      <c r="H69" s="504" t="n">
        <v>24.59</v>
      </c>
      <c r="I69" s="501" t="n">
        <f aca="false">IF(OilSwitch=0,VLOOKUP($A69,[1]!OilCurve,4),VLOOKUP($A69,[1]!BrentCurve,4))</f>
        <v>24.59</v>
      </c>
      <c r="J69" s="502" t="n">
        <v>0</v>
      </c>
      <c r="K69" s="503" t="n">
        <f aca="false">IF(shiftswitch2=1,K68+$D$9*(I69-K68)+($E$9*(K68^$F$9)*J69)+(1-$D$9)*(I69-I68),K68+$D$11*(H69-K68)+($E$11*(K68^$F$11)*J69)+(1-$D$11)*(H69-H68))</f>
        <v>24.59</v>
      </c>
      <c r="M69" s="503"/>
      <c r="AP69" s="454"/>
      <c r="AQ69" s="454"/>
      <c r="AR69" s="454"/>
      <c r="AS69" s="454"/>
    </row>
    <row r="70" customFormat="false" ht="10.5" hidden="false" customHeight="false" outlineLevel="0" collapsed="false">
      <c r="A70" s="498" t="n">
        <v>36495</v>
      </c>
      <c r="B70" s="499" t="n">
        <f aca="false">YEAR(A70)</f>
        <v>1999</v>
      </c>
      <c r="C70" s="500" t="n">
        <v>2.3</v>
      </c>
      <c r="D70" s="501" t="n">
        <f aca="false">IF(GasSwitch=0,VLOOKUP($A70,[1]!GasCurve,4),VLOOKUP($A70,[1]!AecoCurve,5))</f>
        <v>2.3</v>
      </c>
      <c r="E70" s="502" t="n">
        <v>0</v>
      </c>
      <c r="F70" s="503" t="n">
        <f aca="false">IF(shiftswitch2=1,IF(F69+$D$8*(D70-F69)+($E$8*(F69^$F$8)*E70)+(1-$D$8)*(D70-D69)&lt;0,0.01,F69+$D$8*(D70-F69)+($E$8*(F69^$F$8)*E70)+(1-$D$8)*(D70-D69)),IF(F69+$D$10*(C70-F69)+($E$10*(F69^$F$10)*E70)+(1-$D$10)*(C70-C69)&lt;0,0.01,F69+$D$10*(C70-F69)+($E$10*(F69^$F$10)*E70)+(1-$D$10)*(C70-C69)))</f>
        <v>2.3</v>
      </c>
      <c r="G70" s="503"/>
      <c r="H70" s="504" t="n">
        <v>25.6</v>
      </c>
      <c r="I70" s="501" t="n">
        <f aca="false">IF(OilSwitch=0,VLOOKUP($A70,[1]!OilCurve,4),VLOOKUP($A70,[1]!BrentCurve,4))</f>
        <v>25.6</v>
      </c>
      <c r="J70" s="502" t="n">
        <v>0</v>
      </c>
      <c r="K70" s="503" t="n">
        <f aca="false">IF(shiftswitch2=1,K69+$D$9*(I70-K69)+($E$9*(K69^$F$9)*J70)+(1-$D$9)*(I70-I69),K69+$D$11*(H70-K69)+($E$11*(K69^$F$11)*J70)+(1-$D$11)*(H70-H69))</f>
        <v>25.6</v>
      </c>
      <c r="M70" s="503"/>
      <c r="AP70" s="454"/>
      <c r="AQ70" s="454"/>
      <c r="AR70" s="454"/>
      <c r="AS70" s="454"/>
    </row>
    <row r="71" customFormat="false" ht="10.5" hidden="false" customHeight="false" outlineLevel="0" collapsed="false">
      <c r="A71" s="498" t="n">
        <v>36526</v>
      </c>
      <c r="B71" s="512" t="n">
        <f aca="false">YEAR(A71)</f>
        <v>2000</v>
      </c>
      <c r="C71" s="513" t="n">
        <v>2.71</v>
      </c>
      <c r="D71" s="501" t="n">
        <f aca="false">IF(GasSwitch=0,VLOOKUP($A71,[1]!GasCurve,4),VLOOKUP($A71,[1]!AecoCurve,5))</f>
        <v>2.71</v>
      </c>
      <c r="E71" s="502" t="n">
        <v>0</v>
      </c>
      <c r="F71" s="503" t="n">
        <f aca="false">IF(shiftswitch2=1,IF(F70+$D$8*(D71-F70)+($E$8*(F70^$F$8)*E71)+(1-$D$8)*(D71-D70)&lt;0,0.01,F70+$D$8*(D71-F70)+($E$8*(F70^$F$8)*E71)+(1-$D$8)*(D71-D70)),IF(F70+$D$10*(C71-F70)+($E$10*(F70^$F$10)*E71)+(1-$D$10)*(C71-C70)&lt;0,0.01,F70+$D$10*(C71-F70)+($E$10*(F70^$F$10)*E71)+(1-$D$10)*(C71-C70)))</f>
        <v>2.71</v>
      </c>
      <c r="G71" s="503"/>
      <c r="H71" s="516" t="n">
        <v>27.64</v>
      </c>
      <c r="I71" s="501" t="n">
        <f aca="false">IF(OilSwitch=0,VLOOKUP($A71,[1]!OilCurve,4),VLOOKUP($A71,[1]!BrentCurve,4))</f>
        <v>27.64</v>
      </c>
      <c r="J71" s="514" t="n">
        <v>0</v>
      </c>
      <c r="K71" s="515" t="n">
        <f aca="false">IF(shiftswitch2=1,K70+$D$9*(I71-K70)+($E$9*(K70^$F$9)*J71)+(1-$D$9)*(I71-I70),K70+$D$11*(H71-K70)+($E$11*(K70^$F$11)*J71)+(1-$D$11)*(H71-H70))</f>
        <v>27.64</v>
      </c>
      <c r="M71" s="503"/>
      <c r="AP71" s="454"/>
      <c r="AQ71" s="454"/>
      <c r="AR71" s="454"/>
      <c r="AS71" s="454"/>
    </row>
    <row r="72" customFormat="false" ht="10.5" hidden="false" customHeight="false" outlineLevel="0" collapsed="false">
      <c r="A72" s="498" t="n">
        <v>36557</v>
      </c>
      <c r="B72" s="499" t="n">
        <f aca="false">YEAR(A72)</f>
        <v>2000</v>
      </c>
      <c r="C72" s="500" t="n">
        <v>2.68</v>
      </c>
      <c r="D72" s="501" t="n">
        <f aca="false">IF(GasSwitch=0,VLOOKUP($A72,[1]!GasCurve,4),VLOOKUP($A72,[1]!AecoCurve,5))</f>
        <v>2.68</v>
      </c>
      <c r="E72" s="502" t="n">
        <v>0</v>
      </c>
      <c r="F72" s="503" t="n">
        <f aca="false">IF(shiftswitch2=1,IF(F71+$D$8*(D72-F71)+($E$8*(F71^$F$8)*E72)+(1-$D$8)*(D72-D71)&lt;0,0.01,F71+$D$8*(D72-F71)+($E$8*(F71^$F$8)*E72)+(1-$D$8)*(D72-D71)),IF(F71+$D$10*(C72-F71)+($E$10*(F71^$F$10)*E72)+(1-$D$10)*(C72-C71)&lt;0,0.01,F71+$D$10*(C72-F71)+($E$10*(F71^$F$10)*E72)+(1-$D$10)*(C72-C71)))</f>
        <v>2.68</v>
      </c>
      <c r="G72" s="503"/>
      <c r="H72" s="504" t="n">
        <v>30.43</v>
      </c>
      <c r="I72" s="501" t="n">
        <f aca="false">IF(OilSwitch=0,VLOOKUP($A72,[1]!OilCurve,4),VLOOKUP($A72,[1]!BrentCurve,4))</f>
        <v>30.43</v>
      </c>
      <c r="J72" s="502" t="n">
        <v>0</v>
      </c>
      <c r="K72" s="503" t="n">
        <f aca="false">IF(shiftswitch2=1,K71+$D$9*(I72-K71)+($E$9*(K71^$F$9)*J72)+(1-$D$9)*(I72-I71),K71+$D$11*(H72-K71)+($E$11*(K71^$F$11)*J72)+(1-$D$11)*(H72-H71))</f>
        <v>30.43</v>
      </c>
      <c r="M72" s="503"/>
      <c r="AP72" s="454"/>
      <c r="AQ72" s="454"/>
      <c r="AR72" s="454"/>
      <c r="AS72" s="454"/>
    </row>
    <row r="73" customFormat="false" ht="10.5" hidden="false" customHeight="false" outlineLevel="0" collapsed="false">
      <c r="A73" s="498" t="n">
        <v>36586</v>
      </c>
      <c r="B73" s="499" t="n">
        <f aca="false">YEAR(A73)</f>
        <v>2000</v>
      </c>
      <c r="C73" s="500" t="n">
        <v>2.603</v>
      </c>
      <c r="D73" s="501" t="n">
        <f aca="false">IF(GasSwitch=0,VLOOKUP($A73,[1]!GasCurve,4),VLOOKUP($A73,[1]!AecoCurve,5))</f>
        <v>2.603</v>
      </c>
      <c r="E73" s="517" t="n">
        <v>0.00976320242576646</v>
      </c>
      <c r="F73" s="503" t="n">
        <f aca="false">IF(shiftswitch2=1,IF(F72+$D$8*(D73-F72)+($E$8*(F72^$F$8)*E73)+(1-$D$8)*(D73-D72)&lt;0,0.01,F72+$D$8*(D73-F72)+($E$8*(F72^$F$8)*E73)+(1-$D$8)*(D73-D72)),IF(F72+$D$10*(C73-F72)+($E$10*(F72^$F$10)*E73)+(1-$D$10)*(C73-C72)&lt;0,0.01,F72+$D$10*(C73-F72)+($E$10*(F72^$F$10)*E73)+(1-$D$10)*(C73-C72)))</f>
        <v>2.60801068655359</v>
      </c>
      <c r="G73" s="503"/>
      <c r="H73" s="504" t="n">
        <v>29.62</v>
      </c>
      <c r="I73" s="501" t="n">
        <f aca="false">IF(OilSwitch=0,VLOOKUP($A73,[1]!OilCurve,4),VLOOKUP($A73,[1]!BrentCurve,4))</f>
        <v>29.62</v>
      </c>
      <c r="J73" s="517" t="n">
        <v>-0.0175894297821035</v>
      </c>
      <c r="K73" s="503" t="n">
        <f aca="false">IF(shiftswitch2=1,K72+$D$9*(I73-K72)+($E$9*(K72^$F$9)*J73)+(1-$D$9)*(I73-I72),K72+$D$11*(H73-K72)+($E$11*(K72^$F$11)*J73)+(1-$D$11)*(H73-H72))</f>
        <v>29.5907311888426</v>
      </c>
      <c r="M73" s="503"/>
      <c r="AP73" s="454"/>
      <c r="AQ73" s="454"/>
      <c r="AR73" s="454"/>
      <c r="AS73" s="454"/>
    </row>
    <row r="74" customFormat="false" ht="10.5" hidden="false" customHeight="false" outlineLevel="0" collapsed="false">
      <c r="A74" s="498" t="n">
        <v>36617</v>
      </c>
      <c r="B74" s="499" t="n">
        <f aca="false">YEAR(A74)</f>
        <v>2000</v>
      </c>
      <c r="C74" s="500" t="n">
        <v>2.815</v>
      </c>
      <c r="D74" s="501" t="n">
        <f aca="false">IF(GasSwitch=0,VLOOKUP($A74,[1]!GasCurve,4),VLOOKUP($A74,[1]!AecoCurve,5))</f>
        <v>2.9</v>
      </c>
      <c r="E74" s="517" t="n">
        <v>-0.0235915547820625</v>
      </c>
      <c r="F74" s="503" t="n">
        <f aca="false">IF(shiftswitch2=1,IF(F73+$D$8*(D74-F73)+($E$8*(F73^$F$8)*E74)+(1-$D$8)*(D74-D73)&lt;0,0.01,F73+$D$8*(D74-F73)+($E$8*(F73^$F$8)*E74)+(1-$D$8)*(D74-D73)),IF(F73+$D$10*(C74-F73)+($E$10*(F73^$F$10)*E74)+(1-$D$10)*(C74-C73)&lt;0,0.01,F73+$D$10*(C74-F73)+($E$10*(F73^$F$10)*E74)+(1-$D$10)*(C74-C73)))</f>
        <v>2.80607145874118</v>
      </c>
      <c r="G74" s="503"/>
      <c r="H74" s="504" t="n">
        <v>31.77</v>
      </c>
      <c r="I74" s="501" t="n">
        <f aca="false">IF(OilSwitch=0,VLOOKUP($A74,[1]!OilCurve,4),VLOOKUP($A74,[1]!BrentCurve,4))</f>
        <v>28</v>
      </c>
      <c r="J74" s="517" t="n">
        <v>0.0247003844133467</v>
      </c>
      <c r="K74" s="503" t="n">
        <f aca="false">IF(shiftswitch2=1,K73+$D$9*(I74-K73)+($E$9*(K73^$F$9)*J74)+(1-$D$9)*(I74-I73),K73+$D$11*(H74-K73)+($E$11*(K73^$F$11)*J74)+(1-$D$11)*(H74-H73))</f>
        <v>31.784730240811</v>
      </c>
      <c r="M74" s="503"/>
      <c r="AP74" s="454"/>
      <c r="AQ74" s="454"/>
      <c r="AR74" s="454"/>
      <c r="AS74" s="454"/>
    </row>
    <row r="75" customFormat="false" ht="10.5" hidden="false" customHeight="false" outlineLevel="0" collapsed="false">
      <c r="A75" s="498" t="n">
        <v>36647</v>
      </c>
      <c r="B75" s="499" t="n">
        <f aca="false">YEAR(A75)</f>
        <v>2000</v>
      </c>
      <c r="C75" s="500" t="n">
        <v>2.824</v>
      </c>
      <c r="D75" s="501" t="n">
        <f aca="false">IF(GasSwitch=0,VLOOKUP($A75,[1]!GasCurve,4),VLOOKUP($A75,[1]!AecoCurve,5))</f>
        <v>2.945</v>
      </c>
      <c r="E75" s="517" t="n">
        <v>0.00190936391864817</v>
      </c>
      <c r="F75" s="503" t="n">
        <f aca="false">IF(shiftswitch2=1,IF(F74+$D$8*(D75-F74)+($E$8*(F74^$F$8)*E75)+(1-$D$8)*(D75-D74)&lt;0,0.01,F74+$D$8*(D75-F74)+($E$8*(F74^$F$8)*E75)+(1-$D$8)*(D75-D74)),IF(F74+$D$10*(C75-F74)+($E$10*(F74^$F$10)*E75)+(1-$D$10)*(C75-C74)&lt;0,0.01,F74+$D$10*(C75-F74)+($E$10*(F74^$F$10)*E75)+(1-$D$10)*(C75-C74)))</f>
        <v>2.81962951450226</v>
      </c>
      <c r="G75" s="503"/>
      <c r="H75" s="504" t="n">
        <v>30.01</v>
      </c>
      <c r="I75" s="501" t="n">
        <f aca="false">IF(OilSwitch=0,VLOOKUP($A75,[1]!OilCurve,4),VLOOKUP($A75,[1]!BrentCurve,4))</f>
        <v>26.9</v>
      </c>
      <c r="J75" s="517" t="n">
        <v>-0.0157643623572159</v>
      </c>
      <c r="K75" s="503" t="n">
        <f aca="false">IF(shiftswitch2=1,K74+$D$9*(I75-K74)+($E$9*(K74^$F$9)*J75)+(1-$D$9)*(I75-I74),K74+$D$11*(H75-K74)+($E$11*(K74^$F$11)*J75)+(1-$D$11)*(H75-H74))</f>
        <v>29.9970400480083</v>
      </c>
      <c r="M75" s="503"/>
      <c r="AP75" s="454"/>
      <c r="AQ75" s="454"/>
      <c r="AR75" s="454"/>
      <c r="AS75" s="454"/>
    </row>
    <row r="76" customFormat="false" ht="10.5" hidden="false" customHeight="false" outlineLevel="0" collapsed="false">
      <c r="A76" s="498" t="n">
        <v>36678</v>
      </c>
      <c r="B76" s="499" t="n">
        <f aca="false">YEAR(A76)</f>
        <v>2000</v>
      </c>
      <c r="C76" s="500" t="n">
        <v>2.83</v>
      </c>
      <c r="D76" s="501" t="n">
        <f aca="false">IF(GasSwitch=0,VLOOKUP($A76,[1]!GasCurve,4),VLOOKUP($A76,[1]!AecoCurve,5))</f>
        <v>2.955</v>
      </c>
      <c r="E76" s="517" t="n">
        <v>-0.0258422868823003</v>
      </c>
      <c r="F76" s="503" t="n">
        <f aca="false">IF(shiftswitch2=1,IF(F75+$D$8*(D76-F75)+($E$8*(F75^$F$8)*E76)+(1-$D$8)*(D76-D75)&lt;0,0.01,F75+$D$8*(D76-F75)+($E$8*(F75^$F$8)*E76)+(1-$D$8)*(D76-D75)),IF(F75+$D$10*(C76-F75)+($E$10*(F75^$F$10)*E76)+(1-$D$10)*(C76-C75)&lt;0,0.01,F75+$D$10*(C76-F75)+($E$10*(F75^$F$10)*E76)+(1-$D$10)*(C76-C75)))</f>
        <v>2.81376590794515</v>
      </c>
      <c r="G76" s="503"/>
      <c r="H76" s="504" t="n">
        <v>28.69</v>
      </c>
      <c r="I76" s="501" t="n">
        <f aca="false">IF(OilSwitch=0,VLOOKUP($A76,[1]!OilCurve,4),VLOOKUP($A76,[1]!BrentCurve,4))</f>
        <v>26.38</v>
      </c>
      <c r="J76" s="517" t="n">
        <v>-0.0240841151597682</v>
      </c>
      <c r="K76" s="503" t="n">
        <f aca="false">IF(shiftswitch2=1,K75+$D$9*(I76-K75)+($E$9*(K75^$F$9)*J76)+(1-$D$9)*(I76-I75),K75+$D$11*(H76-K75)+($E$11*(K75^$F$11)*J76)+(1-$D$11)*(H76-H75))</f>
        <v>28.6382471156296</v>
      </c>
      <c r="M76" s="503"/>
      <c r="AP76" s="454"/>
      <c r="AQ76" s="454"/>
      <c r="AR76" s="454"/>
      <c r="AS76" s="454"/>
    </row>
    <row r="77" customFormat="false" ht="10.5" hidden="false" customHeight="false" outlineLevel="0" collapsed="false">
      <c r="A77" s="498" t="n">
        <v>36708</v>
      </c>
      <c r="B77" s="499" t="n">
        <f aca="false">YEAR(A77)</f>
        <v>2000</v>
      </c>
      <c r="C77" s="500" t="n">
        <v>2.84</v>
      </c>
      <c r="D77" s="501" t="n">
        <f aca="false">IF(GasSwitch=0,VLOOKUP($A77,[1]!GasCurve,4),VLOOKUP($A77,[1]!AecoCurve,5))</f>
        <v>2.966</v>
      </c>
      <c r="E77" s="517" t="n">
        <v>-0.00655448261574803</v>
      </c>
      <c r="F77" s="503" t="n">
        <f aca="false">IF(shiftswitch2=1,IF(F76+$D$8*(D77-F76)+($E$8*(F76^$F$8)*E77)+(1-$D$8)*(D77-D76)&lt;0,0.01,F76+$D$8*(D77-F76)+($E$8*(F76^$F$8)*E77)+(1-$D$8)*(D77-D76)),IF(F76+$D$10*(C77-F76)+($E$10*(F76^$F$10)*E77)+(1-$D$10)*(C77-C76)&lt;0,0.01,F76+$D$10*(C77-F76)+($E$10*(F76^$F$10)*E77)+(1-$D$10)*(C77-C76)))</f>
        <v>2.82678349277805</v>
      </c>
      <c r="G77" s="503"/>
      <c r="H77" s="504" t="n">
        <v>27.66</v>
      </c>
      <c r="I77" s="501" t="n">
        <f aca="false">IF(OilSwitch=0,VLOOKUP($A77,[1]!OilCurve,4),VLOOKUP($A77,[1]!BrentCurve,4))</f>
        <v>26.04</v>
      </c>
      <c r="J77" s="517" t="n">
        <v>0.043540299472978</v>
      </c>
      <c r="K77" s="503" t="n">
        <f aca="false">IF(shiftswitch2=1,K76+$D$9*(I77-K76)+($E$9*(K76^$F$9)*J77)+(1-$D$9)*(I77-I76),K76+$D$11*(H77-K76)+($E$11*(K76^$F$11)*J77)+(1-$D$11)*(H77-H76))</f>
        <v>27.6858217095053</v>
      </c>
      <c r="M77" s="503"/>
      <c r="AP77" s="454"/>
      <c r="AQ77" s="454"/>
      <c r="AR77" s="454"/>
      <c r="AS77" s="454"/>
    </row>
    <row r="78" customFormat="false" ht="10.5" hidden="false" customHeight="false" outlineLevel="0" collapsed="false">
      <c r="A78" s="498" t="n">
        <v>36739</v>
      </c>
      <c r="B78" s="499" t="n">
        <f aca="false">YEAR(A78)</f>
        <v>2000</v>
      </c>
      <c r="C78" s="500" t="n">
        <v>2.85</v>
      </c>
      <c r="D78" s="501" t="n">
        <f aca="false">IF(GasSwitch=0,VLOOKUP($A78,[1]!GasCurve,4),VLOOKUP($A78,[1]!AecoCurve,5))</f>
        <v>2.978</v>
      </c>
      <c r="E78" s="517" t="n">
        <v>0.0768237456675458</v>
      </c>
      <c r="F78" s="503" t="n">
        <f aca="false">IF(shiftswitch2=1,IF(F77+$D$8*(D78-F77)+($E$8*(F77^$F$8)*E78)+(1-$D$8)*(D78-D77)&lt;0,0.01,F77+$D$8*(D78-F77)+($E$8*(F77^$F$8)*E78)+(1-$D$8)*(D78-D77)),IF(F77+$D$10*(C78-F77)+($E$10*(F77^$F$10)*E78)+(1-$D$10)*(C78-C77)&lt;0,0.01,F77+$D$10*(C78-F77)+($E$10*(F77^$F$10)*E78)+(1-$D$10)*(C78-C77)))</f>
        <v>2.88253924470029</v>
      </c>
      <c r="G78" s="503"/>
      <c r="H78" s="504" t="n">
        <v>26.87</v>
      </c>
      <c r="I78" s="501" t="n">
        <f aca="false">IF(OilSwitch=0,VLOOKUP($A78,[1]!OilCurve,4),VLOOKUP($A78,[1]!BrentCurve,4))</f>
        <v>25.76</v>
      </c>
      <c r="J78" s="517" t="n">
        <v>-0.0567476680747796</v>
      </c>
      <c r="K78" s="503" t="n">
        <f aca="false">IF(shiftswitch2=1,K77+$D$9*(I78-K77)+($E$9*(K77^$F$9)*J78)+(1-$D$9)*(I78-I77),K77+$D$11*(H78-K77)+($E$11*(K77^$F$11)*J78)+(1-$D$11)*(H78-H77))</f>
        <v>26.7988372405879</v>
      </c>
      <c r="M78" s="503"/>
      <c r="AP78" s="454"/>
      <c r="AQ78" s="454"/>
      <c r="AR78" s="454"/>
      <c r="AS78" s="454"/>
    </row>
    <row r="79" customFormat="false" ht="10.5" hidden="false" customHeight="false" outlineLevel="0" collapsed="false">
      <c r="A79" s="498" t="n">
        <v>36770</v>
      </c>
      <c r="B79" s="499" t="n">
        <f aca="false">YEAR(A79)</f>
        <v>2000</v>
      </c>
      <c r="C79" s="500" t="n">
        <v>2.855</v>
      </c>
      <c r="D79" s="501" t="n">
        <f aca="false">IF(GasSwitch=0,VLOOKUP($A79,[1]!GasCurve,4),VLOOKUP($A79,[1]!AecoCurve,5))</f>
        <v>2.977</v>
      </c>
      <c r="E79" s="517" t="n">
        <v>-0.0798566115689657</v>
      </c>
      <c r="F79" s="503" t="n">
        <f aca="false">IF(shiftswitch2=1,IF(F78+$D$8*(D79-F78)+($E$8*(F78^$F$8)*E79)+(1-$D$8)*(D79-D78)&lt;0,0.01,F78+$D$8*(D79-F78)+($E$8*(F78^$F$8)*E79)+(1-$D$8)*(D79-D78)),IF(F78+$D$10*(C79-F78)+($E$10*(F78^$F$10)*E79)+(1-$D$10)*(C79-C78)&lt;0,0.01,F78+$D$10*(C79-F78)+($E$10*(F78^$F$10)*E79)+(1-$D$10)*(C79-C78)))</f>
        <v>2.83207750722724</v>
      </c>
      <c r="G79" s="503"/>
      <c r="H79" s="504" t="n">
        <v>26.19</v>
      </c>
      <c r="I79" s="501" t="n">
        <f aca="false">IF(OilSwitch=0,VLOOKUP($A79,[1]!OilCurve,4),VLOOKUP($A79,[1]!BrentCurve,4))</f>
        <v>25.48</v>
      </c>
      <c r="J79" s="517" t="n">
        <v>-0.0051671837644889</v>
      </c>
      <c r="K79" s="503" t="n">
        <f aca="false">IF(shiftswitch2=1,K78+$D$9*(I79-K78)+($E$9*(K78^$F$9)*J79)+(1-$D$9)*(I79-I78),K78+$D$11*(H79-K78)+($E$11*(K78^$F$11)*J79)+(1-$D$11)*(H79-H78))</f>
        <v>26.1172841599855</v>
      </c>
      <c r="M79" s="503"/>
      <c r="AP79" s="454"/>
      <c r="AQ79" s="454"/>
      <c r="AR79" s="454"/>
      <c r="AS79" s="454"/>
    </row>
    <row r="80" customFormat="false" ht="10.5" hidden="false" customHeight="false" outlineLevel="0" collapsed="false">
      <c r="A80" s="498" t="n">
        <v>36800</v>
      </c>
      <c r="B80" s="499" t="n">
        <f aca="false">YEAR(A80)</f>
        <v>2000</v>
      </c>
      <c r="C80" s="500" t="n">
        <v>2.875</v>
      </c>
      <c r="D80" s="501" t="n">
        <f aca="false">IF(GasSwitch=0,VLOOKUP($A80,[1]!GasCurve,4),VLOOKUP($A80,[1]!AecoCurve,5))</f>
        <v>2.987</v>
      </c>
      <c r="E80" s="517" t="n">
        <v>0.0133786824080031</v>
      </c>
      <c r="F80" s="503" t="n">
        <f aca="false">IF(shiftswitch2=1,IF(F79+$D$8*(D80-F79)+($E$8*(F79^$F$8)*E80)+(1-$D$8)*(D80-D79)&lt;0,0.01,F79+$D$8*(D80-F79)+($E$8*(F79^$F$8)*E80)+(1-$D$8)*(D80-D79)),IF(F79+$D$10*(C80-F79)+($E$10*(F79^$F$10)*E80)+(1-$D$10)*(C80-C79)&lt;0,0.01,F79+$D$10*(C80-F79)+($E$10*(F79^$F$10)*E80)+(1-$D$10)*(C80-C79)))</f>
        <v>2.86826359819007</v>
      </c>
      <c r="G80" s="503"/>
      <c r="H80" s="504" t="n">
        <v>25.61</v>
      </c>
      <c r="I80" s="501" t="n">
        <f aca="false">IF(OilSwitch=0,VLOOKUP($A80,[1]!OilCurve,4),VLOOKUP($A80,[1]!BrentCurve,4))</f>
        <v>25.19</v>
      </c>
      <c r="J80" s="517" t="n">
        <v>0.0744466545158027</v>
      </c>
      <c r="K80" s="503" t="n">
        <f aca="false">IF(shiftswitch2=1,K79+$D$9*(I80-K79)+($E$9*(K79^$F$9)*J80)+(1-$D$9)*(I80-I79),K79+$D$11*(H80-K79)+($E$11*(K79^$F$11)*J80)+(1-$D$11)*(H80-H79))</f>
        <v>25.6683622612613</v>
      </c>
      <c r="M80" s="503"/>
      <c r="AP80" s="454"/>
      <c r="AQ80" s="454"/>
      <c r="AR80" s="454"/>
      <c r="AS80" s="454"/>
    </row>
    <row r="81" customFormat="false" ht="10.5" hidden="false" customHeight="false" outlineLevel="0" collapsed="false">
      <c r="A81" s="498" t="n">
        <v>36831</v>
      </c>
      <c r="B81" s="499" t="n">
        <f aca="false">YEAR(A81)</f>
        <v>2000</v>
      </c>
      <c r="C81" s="500" t="n">
        <v>2.985</v>
      </c>
      <c r="D81" s="501" t="n">
        <f aca="false">IF(GasSwitch=0,VLOOKUP($A81,[1]!GasCurve,4),VLOOKUP($A81,[1]!AecoCurve,5))</f>
        <v>3.08</v>
      </c>
      <c r="E81" s="517" t="n">
        <v>-0.044414604467295</v>
      </c>
      <c r="F81" s="503" t="n">
        <f aca="false">IF(shiftswitch2=1,IF(F80+$D$8*(D81-F80)+($E$8*(F80^$F$8)*E81)+(1-$D$8)*(D81-D80)&lt;0,0.01,F80+$D$8*(D81-F80)+($E$8*(F80^$F$8)*E81)+(1-$D$8)*(D81-D80)),IF(F80+$D$10*(C81-F80)+($E$10*(F80^$F$10)*E81)+(1-$D$10)*(C81-C80)&lt;0,0.01,F80+$D$10*(C81-F80)+($E$10*(F80^$F$10)*E81)+(1-$D$10)*(C81-C80)))</f>
        <v>2.95736445477275</v>
      </c>
      <c r="G81" s="503"/>
      <c r="H81" s="504" t="n">
        <v>25.12</v>
      </c>
      <c r="I81" s="501" t="n">
        <f aca="false">IF(OilSwitch=0,VLOOKUP($A81,[1]!OilCurve,4),VLOOKUP($A81,[1]!BrentCurve,4))</f>
        <v>24.9</v>
      </c>
      <c r="J81" s="517" t="n">
        <v>-0.0188444429964175</v>
      </c>
      <c r="K81" s="503" t="n">
        <f aca="false">IF(shiftswitch2=1,K80+$D$9*(I81-K80)+($E$9*(K80^$F$9)*J81)+(1-$D$9)*(I81-I80),K80+$D$11*(H81-K80)+($E$11*(K80^$F$11)*J81)+(1-$D$11)*(H81-H80))</f>
        <v>25.1412272442504</v>
      </c>
      <c r="M81" s="503"/>
      <c r="AP81" s="454"/>
      <c r="AQ81" s="454"/>
      <c r="AR81" s="454"/>
      <c r="AS81" s="454"/>
    </row>
    <row r="82" customFormat="false" ht="10.5" hidden="false" customHeight="false" outlineLevel="0" collapsed="false">
      <c r="A82" s="498" t="n">
        <v>36861</v>
      </c>
      <c r="B82" s="499" t="n">
        <f aca="false">YEAR(A82)</f>
        <v>2000</v>
      </c>
      <c r="C82" s="500" t="n">
        <v>3.1</v>
      </c>
      <c r="D82" s="501" t="n">
        <f aca="false">IF(GasSwitch=0,VLOOKUP($A82,[1]!GasCurve,4),VLOOKUP($A82,[1]!AecoCurve,5))</f>
        <v>3.177</v>
      </c>
      <c r="E82" s="517" t="n">
        <v>0.0178560666187209</v>
      </c>
      <c r="F82" s="503" t="n">
        <f aca="false">IF(shiftswitch2=1,IF(F81+$D$8*(D82-F81)+($E$8*(F81^$F$8)*E82)+(1-$D$8)*(D82-D81)&lt;0,0.01,F81+$D$8*(D82-F81)+($E$8*(F81^$F$8)*E82)+(1-$D$8)*(D82-D81)),IF(F81+$D$10*(C82-F81)+($E$10*(F81^$F$10)*E82)+(1-$D$10)*(C82-C81)&lt;0,0.01,F81+$D$10*(C82-F81)+($E$10*(F81^$F$10)*E82)+(1-$D$10)*(C82-C81)))</f>
        <v>3.09299559184472</v>
      </c>
      <c r="G82" s="503"/>
      <c r="H82" s="504" t="n">
        <v>24.66</v>
      </c>
      <c r="I82" s="501" t="n">
        <f aca="false">IF(OilSwitch=0,VLOOKUP($A82,[1]!OilCurve,4),VLOOKUP($A82,[1]!BrentCurve,4))</f>
        <v>24.6</v>
      </c>
      <c r="J82" s="517" t="n">
        <v>-0.00431739825458993</v>
      </c>
      <c r="K82" s="503" t="n">
        <f aca="false">IF(shiftswitch2=1,K81+$D$9*(I82-K81)+($E$9*(K81^$F$9)*J82)+(1-$D$9)*(I82-I81),K81+$D$11*(H82-K81)+($E$11*(K81^$F$11)*J82)+(1-$D$11)*(H82-H81))</f>
        <v>24.6719415963739</v>
      </c>
      <c r="M82" s="503"/>
      <c r="AP82" s="454"/>
      <c r="AQ82" s="454"/>
      <c r="AR82" s="454"/>
      <c r="AS82" s="454"/>
    </row>
    <row r="83" customFormat="false" ht="10.5" hidden="false" customHeight="false" outlineLevel="0" collapsed="false">
      <c r="A83" s="498" t="n">
        <v>36892</v>
      </c>
      <c r="B83" s="512" t="n">
        <f aca="false">YEAR(A83)</f>
        <v>2001</v>
      </c>
      <c r="C83" s="513" t="n">
        <v>3.125</v>
      </c>
      <c r="D83" s="501" t="n">
        <f aca="false">IF(GasSwitch=0,VLOOKUP($A83,[1]!GasCurve,4),VLOOKUP($A83,[1]!AecoCurve,5))</f>
        <v>3.192</v>
      </c>
      <c r="E83" s="517" t="n">
        <v>-0.0024337501564546</v>
      </c>
      <c r="F83" s="503" t="n">
        <f aca="false">IF(shiftswitch2=1,IF(F82+$D$8*(D83-F82)+($E$8*(F82^$F$8)*E83)+(1-$D$8)*(D83-D82)&lt;0,0.01,F82+$D$8*(D83-F82)+($E$8*(F82^$F$8)*E83)+(1-$D$8)*(D83-D82)),IF(F82+$D$10*(C83-F82)+($E$10*(F82^$F$10)*E83)+(1-$D$10)*(C83-C82)&lt;0,0.01,F82+$D$10*(C83-F82)+($E$10*(F82^$F$10)*E83)+(1-$D$10)*(C83-C82)))</f>
        <v>3.11944289958949</v>
      </c>
      <c r="G83" s="503"/>
      <c r="H83" s="516" t="n">
        <v>24.2</v>
      </c>
      <c r="I83" s="501" t="n">
        <f aca="false">IF(OilSwitch=0,VLOOKUP($A83,[1]!OilCurve,4),VLOOKUP($A83,[1]!BrentCurve,4))</f>
        <v>24.28</v>
      </c>
      <c r="J83" s="518" t="n">
        <v>-0.0127360782702978</v>
      </c>
      <c r="K83" s="515" t="n">
        <f aca="false">IF(shiftswitch2=1,K82+$D$9*(I83-K82)+($E$9*(K82^$F$9)*J83)+(1-$D$9)*(I83-I82),K82+$D$11*(H83-K82)+($E$11*(K82^$F$11)*J83)+(1-$D$11)*(H83-H82))</f>
        <v>24.1895665440911</v>
      </c>
      <c r="M83" s="503"/>
      <c r="AP83" s="454"/>
      <c r="AQ83" s="454"/>
      <c r="AR83" s="454"/>
      <c r="AS83" s="454"/>
    </row>
    <row r="84" customFormat="false" ht="10.5" hidden="false" customHeight="false" outlineLevel="0" collapsed="false">
      <c r="A84" s="498" t="n">
        <v>36923</v>
      </c>
      <c r="B84" s="499" t="n">
        <f aca="false">YEAR(A84)</f>
        <v>2001</v>
      </c>
      <c r="C84" s="500" t="n">
        <v>2.96</v>
      </c>
      <c r="D84" s="501" t="n">
        <f aca="false">IF(GasSwitch=0,VLOOKUP($A84,[1]!GasCurve,4),VLOOKUP($A84,[1]!AecoCurve,5))</f>
        <v>3.037</v>
      </c>
      <c r="E84" s="517" t="n">
        <v>0.0213448743576357</v>
      </c>
      <c r="F84" s="503" t="n">
        <f aca="false">IF(shiftswitch2=1,IF(F83+$D$8*(D84-F83)+($E$8*(F83^$F$8)*E84)+(1-$D$8)*(D84-D83)&lt;0,0.01,F83+$D$8*(D84-F83)+($E$8*(F83^$F$8)*E84)+(1-$D$8)*(D84-D83)),IF(F83+$D$10*(C84-F83)+($E$10*(F83^$F$10)*E84)+(1-$D$10)*(C84-C83)&lt;0,0.01,F83+$D$10*(C84-F83)+($E$10*(F83^$F$10)*E84)+(1-$D$10)*(C84-C83)))</f>
        <v>2.96847443586429</v>
      </c>
      <c r="G84" s="503"/>
      <c r="H84" s="504" t="n">
        <v>23.77</v>
      </c>
      <c r="I84" s="501" t="n">
        <f aca="false">IF(OilSwitch=0,VLOOKUP($A84,[1]!OilCurve,4),VLOOKUP($A84,[1]!BrentCurve,4))</f>
        <v>23.97</v>
      </c>
      <c r="J84" s="517" t="n">
        <v>-0.0280156416701117</v>
      </c>
      <c r="K84" s="503" t="n">
        <f aca="false">IF(shiftswitch2=1,K83+$D$9*(I84-K83)+($E$9*(K83^$F$9)*J84)+(1-$D$9)*(I84-I83),K83+$D$11*(H84-K83)+($E$11*(K83^$F$11)*J84)+(1-$D$11)*(H84-H83))</f>
        <v>23.7139814284871</v>
      </c>
      <c r="M84" s="503"/>
      <c r="AP84" s="454"/>
      <c r="AQ84" s="454"/>
      <c r="AR84" s="454"/>
      <c r="AS84" s="454"/>
    </row>
    <row r="85" customFormat="false" ht="10.5" hidden="false" customHeight="false" outlineLevel="0" collapsed="false">
      <c r="A85" s="498" t="n">
        <v>36951</v>
      </c>
      <c r="B85" s="499" t="n">
        <f aca="false">YEAR(A85)</f>
        <v>2001</v>
      </c>
      <c r="C85" s="500" t="n">
        <v>2.82</v>
      </c>
      <c r="D85" s="501" t="n">
        <f aca="false">IF(GasSwitch=0,VLOOKUP($A85,[1]!GasCurve,4),VLOOKUP($A85,[1]!AecoCurve,5))</f>
        <v>2.872</v>
      </c>
      <c r="E85" s="517" t="n">
        <v>-0.0103597793296144</v>
      </c>
      <c r="F85" s="503" t="n">
        <f aca="false">IF(shiftswitch2=1,IF(F84+$D$8*(D85-F84)+($E$8*(F84^$F$8)*E85)+(1-$D$8)*(D85-D84)&lt;0,0.01,F84+$D$8*(D85-F84)+($E$8*(F84^$F$8)*E85)+(1-$D$8)*(D85-D84)),IF(F84+$D$10*(C85-F84)+($E$10*(F84^$F$10)*E85)+(1-$D$10)*(C85-C84)&lt;0,0.01,F84+$D$10*(C85-F84)+($E$10*(F84^$F$10)*E85)+(1-$D$10)*(C85-C84)))</f>
        <v>2.81950421184766</v>
      </c>
      <c r="G85" s="503"/>
      <c r="H85" s="504" t="n">
        <v>23.35</v>
      </c>
      <c r="I85" s="501" t="n">
        <f aca="false">IF(OilSwitch=0,VLOOKUP($A85,[1]!OilCurve,4),VLOOKUP($A85,[1]!BrentCurve,4))</f>
        <v>23.68</v>
      </c>
      <c r="J85" s="517" t="n">
        <v>0.0490655548704661</v>
      </c>
      <c r="K85" s="503" t="n">
        <f aca="false">IF(shiftswitch2=1,K84+$D$9*(I85-K84)+($E$9*(K84^$F$9)*J85)+(1-$D$9)*(I85-I84),K84+$D$11*(H85-K84)+($E$11*(K84^$F$11)*J85)+(1-$D$11)*(H85-H84))</f>
        <v>23.3811723503713</v>
      </c>
      <c r="M85" s="503"/>
      <c r="AP85" s="454"/>
      <c r="AQ85" s="454"/>
      <c r="AR85" s="454"/>
      <c r="AS85" s="454"/>
    </row>
    <row r="86" customFormat="false" ht="10.5" hidden="false" customHeight="false" outlineLevel="0" collapsed="false">
      <c r="A86" s="498" t="n">
        <v>36982</v>
      </c>
      <c r="B86" s="499" t="n">
        <f aca="false">YEAR(A86)</f>
        <v>2001</v>
      </c>
      <c r="C86" s="500" t="n">
        <v>2.697</v>
      </c>
      <c r="D86" s="501" t="n">
        <f aca="false">IF(GasSwitch=0,VLOOKUP($A86,[1]!GasCurve,4),VLOOKUP($A86,[1]!AecoCurve,5))</f>
        <v>2.735</v>
      </c>
      <c r="E86" s="517" t="n">
        <v>0.0386556234069255</v>
      </c>
      <c r="F86" s="503" t="n">
        <f aca="false">IF(shiftswitch2=1,IF(F85+$D$8*(D86-F85)+($E$8*(F85^$F$8)*E86)+(1-$D$8)*(D86-D85)&lt;0,0.01,F85+$D$8*(D86-F85)+($E$8*(F85^$F$8)*E86)+(1-$D$8)*(D86-D85)),IF(F85+$D$10*(C86-F85)+($E$10*(F85^$F$10)*E86)+(1-$D$10)*(C86-C85)&lt;0,0.01,F85+$D$10*(C86-F85)+($E$10*(F85^$F$10)*E86)+(1-$D$10)*(C86-C85)))</f>
        <v>2.71705033148406</v>
      </c>
      <c r="G86" s="503"/>
      <c r="H86" s="504" t="n">
        <v>22.95</v>
      </c>
      <c r="I86" s="501" t="n">
        <f aca="false">IF(OilSwitch=0,VLOOKUP($A86,[1]!OilCurve,4),VLOOKUP($A86,[1]!BrentCurve,4))</f>
        <v>23.39</v>
      </c>
      <c r="J86" s="517" t="n">
        <v>-0.026285165799145</v>
      </c>
      <c r="K86" s="503" t="n">
        <f aca="false">IF(shiftswitch2=1,K85+$D$9*(I86-K85)+($E$9*(K85^$F$9)*J86)+(1-$D$9)*(I86-I85),K85+$D$11*(H86-K85)+($E$11*(K85^$F$11)*J86)+(1-$D$11)*(H86-H85))</f>
        <v>22.9343477717948</v>
      </c>
      <c r="M86" s="503"/>
      <c r="AP86" s="454"/>
      <c r="AQ86" s="454"/>
      <c r="AR86" s="454"/>
      <c r="AS86" s="454"/>
    </row>
    <row r="87" customFormat="false" ht="10.5" hidden="false" customHeight="false" outlineLevel="0" collapsed="false">
      <c r="A87" s="498" t="n">
        <v>37012</v>
      </c>
      <c r="B87" s="499" t="n">
        <f aca="false">YEAR(A87)</f>
        <v>2001</v>
      </c>
      <c r="C87" s="500" t="n">
        <v>2.656</v>
      </c>
      <c r="D87" s="501" t="n">
        <f aca="false">IF(GasSwitch=0,VLOOKUP($A87,[1]!GasCurve,4),VLOOKUP($A87,[1]!AecoCurve,5))</f>
        <v>2.694</v>
      </c>
      <c r="E87" s="517" t="n">
        <v>0.00820170246507051</v>
      </c>
      <c r="F87" s="503" t="n">
        <f aca="false">IF(shiftswitch2=1,IF(F86+$D$8*(D87-F86)+($E$8*(F86^$F$8)*E87)+(1-$D$8)*(D87-D86)&lt;0,0.01,F86+$D$8*(D87-F86)+($E$8*(F86^$F$8)*E87)+(1-$D$8)*(D87-D86)),IF(F86+$D$10*(C87-F86)+($E$10*(F86^$F$10)*E87)+(1-$D$10)*(C87-C86)&lt;0,0.01,F86+$D$10*(C87-F86)+($E$10*(F86^$F$10)*E87)+(1-$D$10)*(C87-C86)))</f>
        <v>2.67230457682952</v>
      </c>
      <c r="G87" s="503"/>
      <c r="H87" s="504" t="n">
        <v>22.58</v>
      </c>
      <c r="I87" s="501" t="n">
        <f aca="false">IF(OilSwitch=0,VLOOKUP($A87,[1]!OilCurve,4),VLOOKUP($A87,[1]!BrentCurve,4))</f>
        <v>23.11</v>
      </c>
      <c r="J87" s="517" t="n">
        <v>-0.00462729883656836</v>
      </c>
      <c r="K87" s="503" t="n">
        <f aca="false">IF(shiftswitch2=1,K86+$D$9*(I87-K86)+($E$9*(K86^$F$9)*J87)+(1-$D$9)*(I87-I86),K86+$D$11*(H87-K86)+($E$11*(K86^$F$11)*J87)+(1-$D$11)*(H87-H86))</f>
        <v>22.558197517123</v>
      </c>
      <c r="M87" s="503"/>
      <c r="AP87" s="454"/>
      <c r="AQ87" s="454"/>
      <c r="AR87" s="454"/>
      <c r="AS87" s="454"/>
    </row>
    <row r="88" customFormat="false" ht="10.5" hidden="false" customHeight="false" outlineLevel="0" collapsed="false">
      <c r="A88" s="498" t="n">
        <v>37043</v>
      </c>
      <c r="B88" s="499" t="n">
        <f aca="false">YEAR(A88)</f>
        <v>2001</v>
      </c>
      <c r="C88" s="500" t="n">
        <v>2.66</v>
      </c>
      <c r="D88" s="501" t="n">
        <f aca="false">IF(GasSwitch=0,VLOOKUP($A88,[1]!GasCurve,4),VLOOKUP($A88,[1]!AecoCurve,5))</f>
        <v>2.7</v>
      </c>
      <c r="E88" s="517" t="n">
        <v>-0.00799506285945183</v>
      </c>
      <c r="F88" s="503" t="n">
        <f aca="false">IF(shiftswitch2=1,IF(F87+$D$8*(D88-F87)+($E$8*(F87^$F$8)*E88)+(1-$D$8)*(D88-D87)&lt;0,0.01,F87+$D$8*(D88-F87)+($E$8*(F87^$F$8)*E88)+(1-$D$8)*(D88-D87)),IF(F87+$D$10*(C88-F87)+($E$10*(F87^$F$10)*E88)+(1-$D$10)*(C88-C87)&lt;0,0.01,F87+$D$10*(C88-F87)+($E$10*(F87^$F$10)*E88)+(1-$D$10)*(C88-C87)))</f>
        <v>2.66571475054279</v>
      </c>
      <c r="G88" s="503"/>
      <c r="H88" s="504" t="n">
        <v>22.24</v>
      </c>
      <c r="I88" s="501" t="n">
        <f aca="false">IF(OilSwitch=0,VLOOKUP($A88,[1]!OilCurve,4),VLOOKUP($A88,[1]!BrentCurve,4))</f>
        <v>22.87</v>
      </c>
      <c r="J88" s="517" t="n">
        <v>-0.00911178578304702</v>
      </c>
      <c r="K88" s="503" t="n">
        <f aca="false">IF(shiftswitch2=1,K87+$D$9*(I88-K87)+($E$9*(K87^$F$9)*J88)+(1-$D$9)*(I88-I87),K87+$D$11*(H88-K87)+($E$11*(K87^$F$11)*J88)+(1-$D$11)*(H88-H87))</f>
        <v>22.2051939513849</v>
      </c>
      <c r="M88" s="503"/>
      <c r="AP88" s="454"/>
      <c r="AQ88" s="454"/>
      <c r="AR88" s="454"/>
      <c r="AS88" s="454"/>
    </row>
    <row r="89" customFormat="false" ht="10.5" hidden="false" customHeight="false" outlineLevel="0" collapsed="false">
      <c r="A89" s="498" t="n">
        <v>37073</v>
      </c>
      <c r="B89" s="499" t="n">
        <f aca="false">YEAR(A89)</f>
        <v>2001</v>
      </c>
      <c r="C89" s="500" t="n">
        <v>2.67</v>
      </c>
      <c r="D89" s="501" t="n">
        <f aca="false">IF(GasSwitch=0,VLOOKUP($A89,[1]!GasCurve,4),VLOOKUP($A89,[1]!AecoCurve,5))</f>
        <v>2.707</v>
      </c>
      <c r="E89" s="517" t="n">
        <v>0.00147845111005475</v>
      </c>
      <c r="F89" s="503" t="n">
        <f aca="false">IF(shiftswitch2=1,IF(F88+$D$8*(D89-F88)+($E$8*(F88^$F$8)*E89)+(1-$D$8)*(D89-D88)&lt;0,0.01,F88+$D$8*(D89-F88)+($E$8*(F88^$F$8)*E89)+(1-$D$8)*(D89-D88)),IF(F88+$D$10*(C89-F88)+($E$10*(F88^$F$10)*E89)+(1-$D$10)*(C89-C88)&lt;0,0.01,F88+$D$10*(C89-F88)+($E$10*(F88^$F$10)*E89)+(1-$D$10)*(C89-C88)))</f>
        <v>2.67419588499616</v>
      </c>
      <c r="G89" s="503"/>
      <c r="H89" s="504" t="n">
        <v>21.94</v>
      </c>
      <c r="I89" s="501" t="n">
        <f aca="false">IF(OilSwitch=0,VLOOKUP($A89,[1]!OilCurve,4),VLOOKUP($A89,[1]!BrentCurve,4))</f>
        <v>22.66</v>
      </c>
      <c r="J89" s="517" t="n">
        <v>-0.0114466923148442</v>
      </c>
      <c r="K89" s="503" t="n">
        <f aca="false">IF(shiftswitch2=1,K88+$D$9*(I89-K88)+($E$9*(K88^$F$9)*J89)+(1-$D$9)*(I89-I88),K88+$D$11*(H89-K88)+($E$11*(K88^$F$11)*J89)+(1-$D$11)*(H89-H88))</f>
        <v>21.8895924541859</v>
      </c>
      <c r="M89" s="503"/>
      <c r="AP89" s="454"/>
      <c r="AQ89" s="454"/>
      <c r="AR89" s="454"/>
      <c r="AS89" s="454"/>
    </row>
    <row r="90" customFormat="false" ht="10.5" hidden="false" customHeight="false" outlineLevel="0" collapsed="false">
      <c r="A90" s="498" t="n">
        <v>37104</v>
      </c>
      <c r="B90" s="499" t="n">
        <f aca="false">YEAR(A90)</f>
        <v>2001</v>
      </c>
      <c r="C90" s="500" t="n">
        <v>2.677</v>
      </c>
      <c r="D90" s="501" t="n">
        <f aca="false">IF(GasSwitch=0,VLOOKUP($A90,[1]!GasCurve,4),VLOOKUP($A90,[1]!AecoCurve,5))</f>
        <v>2.715</v>
      </c>
      <c r="E90" s="517" t="n">
        <v>-0.000881481192861843</v>
      </c>
      <c r="F90" s="503" t="n">
        <f aca="false">IF(shiftswitch2=1,IF(F89+$D$8*(D90-F89)+($E$8*(F89^$F$8)*E90)+(1-$D$8)*(D90-D89)&lt;0,0.01,F89+$D$8*(D90-F89)+($E$8*(F89^$F$8)*E90)+(1-$D$8)*(D90-D89)),IF(F89+$D$10*(C90-F89)+($E$10*(F89^$F$10)*E90)+(1-$D$10)*(C90-C89)&lt;0,0.01,F89+$D$10*(C90-F89)+($E$10*(F89^$F$10)*E90)+(1-$D$10)*(C90-C89)))</f>
        <v>2.67907317853091</v>
      </c>
      <c r="G90" s="503"/>
      <c r="H90" s="504" t="n">
        <v>21.66</v>
      </c>
      <c r="I90" s="501" t="n">
        <f aca="false">IF(OilSwitch=0,VLOOKUP($A90,[1]!OilCurve,4),VLOOKUP($A90,[1]!BrentCurve,4))</f>
        <v>22.46</v>
      </c>
      <c r="J90" s="517" t="n">
        <v>-0.00215075288882154</v>
      </c>
      <c r="K90" s="503" t="n">
        <f aca="false">IF(shiftswitch2=1,K89+$D$9*(I90-K89)+($E$9*(K89^$F$9)*J90)+(1-$D$9)*(I90-I89),K89+$D$11*(H90-K89)+($E$11*(K89^$F$11)*J90)+(1-$D$11)*(H90-H89))</f>
        <v>21.6110039484145</v>
      </c>
      <c r="M90" s="503"/>
      <c r="AP90" s="454"/>
      <c r="AQ90" s="454"/>
      <c r="AR90" s="454"/>
      <c r="AS90" s="454"/>
    </row>
    <row r="91" customFormat="false" ht="10.5" hidden="false" customHeight="false" outlineLevel="0" collapsed="false">
      <c r="A91" s="498" t="n">
        <v>37135</v>
      </c>
      <c r="B91" s="499" t="n">
        <f aca="false">YEAR(A91)</f>
        <v>2001</v>
      </c>
      <c r="C91" s="500" t="n">
        <v>2.685</v>
      </c>
      <c r="D91" s="501" t="n">
        <f aca="false">IF(GasSwitch=0,VLOOKUP($A91,[1]!GasCurve,4),VLOOKUP($A91,[1]!AecoCurve,5))</f>
        <v>2.72</v>
      </c>
      <c r="E91" s="517" t="n">
        <v>0.0365636513203329</v>
      </c>
      <c r="F91" s="503" t="n">
        <f aca="false">IF(shiftswitch2=1,IF(F90+$D$8*(D91-F90)+($E$8*(F90^$F$8)*E91)+(1-$D$8)*(D91-D90)&lt;0,0.01,F90+$D$8*(D91-F90)+($E$8*(F90^$F$8)*E91)+(1-$D$8)*(D91-D90)),IF(F90+$D$10*(C91-F90)+($E$10*(F90^$F$10)*E91)+(1-$D$10)*(C91-C90)&lt;0,0.01,F90+$D$10*(C91-F90)+($E$10*(F90^$F$10)*E91)+(1-$D$10)*(C91-C90)))</f>
        <v>2.70500965009501</v>
      </c>
      <c r="G91" s="503"/>
      <c r="H91" s="504" t="n">
        <v>21.4</v>
      </c>
      <c r="I91" s="501" t="n">
        <f aca="false">IF(OilSwitch=0,VLOOKUP($A91,[1]!OilCurve,4),VLOOKUP($A91,[1]!BrentCurve,4))</f>
        <v>22.27</v>
      </c>
      <c r="J91" s="517" t="n">
        <v>0.0144974855011667</v>
      </c>
      <c r="K91" s="503" t="n">
        <f aca="false">IF(shiftswitch2=1,K90+$D$9*(I91-K90)+($E$9*(K90^$F$9)*J91)+(1-$D$9)*(I91-I90),K90+$D$11*(H91-K90)+($E$11*(K90^$F$11)*J91)+(1-$D$11)*(H91-H90))</f>
        <v>21.3799783733954</v>
      </c>
      <c r="M91" s="503"/>
      <c r="AP91" s="454"/>
      <c r="AQ91" s="454"/>
      <c r="AR91" s="454"/>
      <c r="AS91" s="454"/>
    </row>
    <row r="92" customFormat="false" ht="10.5" hidden="false" customHeight="false" outlineLevel="0" collapsed="false">
      <c r="A92" s="498" t="n">
        <v>37165</v>
      </c>
      <c r="B92" s="499" t="n">
        <f aca="false">YEAR(A92)</f>
        <v>2001</v>
      </c>
      <c r="C92" s="500" t="n">
        <v>2.721</v>
      </c>
      <c r="D92" s="501" t="n">
        <f aca="false">IF(GasSwitch=0,VLOOKUP($A92,[1]!GasCurve,4),VLOOKUP($A92,[1]!AecoCurve,5))</f>
        <v>2.745</v>
      </c>
      <c r="E92" s="517" t="n">
        <v>0.0501332945440607</v>
      </c>
      <c r="F92" s="503" t="n">
        <f aca="false">IF(shiftswitch2=1,IF(F91+$D$8*(D92-F91)+($E$8*(F91^$F$8)*E92)+(1-$D$8)*(D92-D91)&lt;0,0.01,F91+$D$8*(D92-F91)+($E$8*(F91^$F$8)*E92)+(1-$D$8)*(D92-D91)),IF(F91+$D$10*(C92-F91)+($E$10*(F91^$F$10)*E92)+(1-$D$10)*(C92-C91)&lt;0,0.01,F91+$D$10*(C92-F91)+($E$10*(F91^$F$10)*E92)+(1-$D$10)*(C92-C91)))</f>
        <v>2.75889107250039</v>
      </c>
      <c r="G92" s="503"/>
      <c r="H92" s="504" t="n">
        <v>21.16</v>
      </c>
      <c r="I92" s="501" t="n">
        <f aca="false">IF(OilSwitch=0,VLOOKUP($A92,[1]!OilCurve,4),VLOOKUP($A92,[1]!BrentCurve,4))</f>
        <v>22.09</v>
      </c>
      <c r="J92" s="517" t="n">
        <v>-0.0486670886662488</v>
      </c>
      <c r="K92" s="503" t="n">
        <f aca="false">IF(shiftswitch2=1,K91+$D$9*(I92-K91)+($E$9*(K91^$F$9)*J92)+(1-$D$9)*(I92-I91),K91+$D$11*(H92-K91)+($E$11*(K91^$F$11)*J92)+(1-$D$11)*(H92-H91))</f>
        <v>21.0609784788886</v>
      </c>
      <c r="M92" s="503"/>
      <c r="AP92" s="454"/>
      <c r="AQ92" s="454"/>
      <c r="AR92" s="454"/>
      <c r="AS92" s="454"/>
    </row>
    <row r="93" customFormat="false" ht="10.5" hidden="false" customHeight="false" outlineLevel="0" collapsed="false">
      <c r="A93" s="498" t="n">
        <v>37196</v>
      </c>
      <c r="B93" s="499" t="n">
        <f aca="false">YEAR(A93)</f>
        <v>2001</v>
      </c>
      <c r="C93" s="500" t="n">
        <v>2.844</v>
      </c>
      <c r="D93" s="501" t="n">
        <f aca="false">IF(GasSwitch=0,VLOOKUP($A93,[1]!GasCurve,4),VLOOKUP($A93,[1]!AecoCurve,5))</f>
        <v>2.855</v>
      </c>
      <c r="E93" s="517" t="n">
        <v>0.0120254070948921</v>
      </c>
      <c r="F93" s="503" t="n">
        <f aca="false">IF(shiftswitch2=1,IF(F92+$D$8*(D93-F92)+($E$8*(F92^$F$8)*E93)+(1-$D$8)*(D93-D92)&lt;0,0.01,F92+$D$8*(D93-F92)+($E$8*(F92^$F$8)*E93)+(1-$D$8)*(D93-D92)),IF(F92+$D$10*(C93-F92)+($E$10*(F92^$F$10)*E93)+(1-$D$10)*(C93-C92)&lt;0,0.01,F92+$D$10*(C93-F92)+($E$10*(F92^$F$10)*E93)+(1-$D$10)*(C93-C92)))</f>
        <v>2.87306472553885</v>
      </c>
      <c r="G93" s="503"/>
      <c r="H93" s="504" t="n">
        <v>20.94</v>
      </c>
      <c r="I93" s="501" t="n">
        <f aca="false">IF(OilSwitch=0,VLOOKUP($A93,[1]!OilCurve,4),VLOOKUP($A93,[1]!BrentCurve,4))</f>
        <v>21.92</v>
      </c>
      <c r="J93" s="517" t="n">
        <v>0.0349138291810223</v>
      </c>
      <c r="K93" s="503" t="n">
        <f aca="false">IF(shiftswitch2=1,K92+$D$9*(I93-K92)+($E$9*(K92^$F$9)*J93)+(1-$D$9)*(I93-I92),K92+$D$11*(H93-K92)+($E$11*(K92^$F$11)*J93)+(1-$D$11)*(H93-H92))</f>
        <v>20.9088782212358</v>
      </c>
      <c r="M93" s="503"/>
      <c r="AP93" s="454"/>
      <c r="AQ93" s="454"/>
      <c r="AR93" s="454"/>
      <c r="AS93" s="454"/>
    </row>
    <row r="94" customFormat="false" ht="10.5" hidden="false" customHeight="false" outlineLevel="0" collapsed="false">
      <c r="A94" s="498" t="n">
        <v>37226</v>
      </c>
      <c r="B94" s="499" t="n">
        <f aca="false">YEAR(A94)</f>
        <v>2001</v>
      </c>
      <c r="C94" s="500" t="n">
        <v>2.974</v>
      </c>
      <c r="D94" s="501" t="n">
        <f aca="false">IF(GasSwitch=0,VLOOKUP($A94,[1]!GasCurve,4),VLOOKUP($A94,[1]!AecoCurve,5))</f>
        <v>2.963</v>
      </c>
      <c r="E94" s="517" t="n">
        <v>-0.00285633691252775</v>
      </c>
      <c r="F94" s="503" t="n">
        <f aca="false">IF(shiftswitch2=1,IF(F93+$D$8*(D94-F93)+($E$8*(F93^$F$8)*E94)+(1-$D$8)*(D94-D93)&lt;0,0.01,F93+$D$8*(D94-F93)+($E$8*(F93^$F$8)*E94)+(1-$D$8)*(D94-D93)),IF(F93+$D$10*(C94-F93)+($E$10*(F93^$F$10)*E94)+(1-$D$10)*(C94-C93)&lt;0,0.01,F93+$D$10*(C94-F93)+($E$10*(F93^$F$10)*E94)+(1-$D$10)*(C94-C93)))</f>
        <v>2.98997333388648</v>
      </c>
      <c r="G94" s="503"/>
      <c r="H94" s="504" t="n">
        <v>20.73</v>
      </c>
      <c r="I94" s="501" t="n">
        <f aca="false">IF(OilSwitch=0,VLOOKUP($A94,[1]!OilCurve,4),VLOOKUP($A94,[1]!BrentCurve,4))</f>
        <v>21.75</v>
      </c>
      <c r="J94" s="517" t="n">
        <v>-0.0636281048902797</v>
      </c>
      <c r="K94" s="503" t="n">
        <f aca="false">IF(shiftswitch2=1,K93+$D$9*(I94-K93)+($E$9*(K93^$F$9)*J94)+(1-$D$9)*(I94-I93),K93+$D$11*(H94-K93)+($E$11*(K93^$F$11)*J94)+(1-$D$11)*(H94-H93))</f>
        <v>20.5960821107961</v>
      </c>
      <c r="M94" s="503"/>
      <c r="AP94" s="454"/>
      <c r="AQ94" s="454"/>
      <c r="AR94" s="454"/>
      <c r="AS94" s="454"/>
    </row>
    <row r="95" customFormat="false" ht="10.5" hidden="false" customHeight="false" outlineLevel="0" collapsed="false">
      <c r="A95" s="498" t="n">
        <v>37257</v>
      </c>
      <c r="B95" s="512" t="n">
        <f aca="false">YEAR(A95)</f>
        <v>2002</v>
      </c>
      <c r="C95" s="513" t="n">
        <v>3.006</v>
      </c>
      <c r="D95" s="501" t="n">
        <f aca="false">IF(GasSwitch=0,VLOOKUP($A95,[1]!GasCurve,4),VLOOKUP($A95,[1]!AecoCurve,5))</f>
        <v>2.98</v>
      </c>
      <c r="E95" s="517" t="n">
        <v>0.0160556423151491</v>
      </c>
      <c r="F95" s="503" t="n">
        <f aca="false">IF(shiftswitch2=1,IF(F94+$D$8*(D95-F94)+($E$8*(F94^$F$8)*E95)+(1-$D$8)*(D95-D94)&lt;0,0.01,F94+$D$8*(D95-F94)+($E$8*(F94^$F$8)*E95)+(1-$D$8)*(D95-D94)),IF(F94+$D$10*(C95-F94)+($E$10*(F94^$F$10)*E95)+(1-$D$10)*(C95-C94)&lt;0,0.01,F94+$D$10*(C95-F94)+($E$10*(F94^$F$10)*E95)+(1-$D$10)*(C95-C94)))</f>
        <v>3.02431635160434</v>
      </c>
      <c r="G95" s="503"/>
      <c r="H95" s="516" t="n">
        <v>20.56</v>
      </c>
      <c r="I95" s="501" t="n">
        <f aca="false">IF(OilSwitch=0,VLOOKUP($A95,[1]!OilCurve,4),VLOOKUP($A95,[1]!BrentCurve,4))</f>
        <v>21.59</v>
      </c>
      <c r="J95" s="518" t="n">
        <v>0.00517727177552089</v>
      </c>
      <c r="K95" s="515" t="n">
        <f aca="false">IF(shiftswitch2=1,K94+$D$9*(I95-K94)+($E$9*(K94^$F$9)*J95)+(1-$D$9)*(I95-I94),K94+$D$11*(H95-K94)+($E$11*(K94^$F$11)*J95)+(1-$D$11)*(H95-H94))</f>
        <v>20.4479549620617</v>
      </c>
      <c r="M95" s="503"/>
      <c r="AP95" s="454"/>
      <c r="AQ95" s="454"/>
      <c r="AR95" s="454"/>
      <c r="AS95" s="454"/>
    </row>
    <row r="96" customFormat="false" ht="10.5" hidden="false" customHeight="false" outlineLevel="0" collapsed="false">
      <c r="A96" s="498" t="n">
        <v>37288</v>
      </c>
      <c r="B96" s="499" t="n">
        <f aca="false">YEAR(A96)</f>
        <v>2002</v>
      </c>
      <c r="C96" s="500" t="n">
        <v>2.88</v>
      </c>
      <c r="D96" s="501" t="n">
        <f aca="false">IF(GasSwitch=0,VLOOKUP($A96,[1]!GasCurve,4),VLOOKUP($A96,[1]!AecoCurve,5))</f>
        <v>2.86</v>
      </c>
      <c r="E96" s="517" t="n">
        <v>0.0129661571863491</v>
      </c>
      <c r="F96" s="503" t="n">
        <f aca="false">IF(shiftswitch2=1,IF(F95+$D$8*(D96-F95)+($E$8*(F95^$F$8)*E96)+(1-$D$8)*(D96-D95)&lt;0,0.01,F95+$D$8*(D96-F95)+($E$8*(F95^$F$8)*E96)+(1-$D$8)*(D96-D95)),IF(F95+$D$10*(C96-F95)+($E$10*(F95^$F$10)*E96)+(1-$D$10)*(C96-C95)&lt;0,0.01,F95+$D$10*(C96-F95)+($E$10*(F95^$F$10)*E96)+(1-$D$10)*(C96-C95)))</f>
        <v>2.89809185290105</v>
      </c>
      <c r="G96" s="503"/>
      <c r="H96" s="504" t="n">
        <v>20.4</v>
      </c>
      <c r="I96" s="501" t="n">
        <f aca="false">IF(OilSwitch=0,VLOOKUP($A96,[1]!OilCurve,4),VLOOKUP($A96,[1]!BrentCurve,4))</f>
        <v>21.45</v>
      </c>
      <c r="J96" s="517" t="n">
        <v>-0.0183549230861785</v>
      </c>
      <c r="K96" s="503" t="n">
        <f aca="false">IF(shiftswitch2=1,K95+$D$9*(I96-K95)+($E$9*(K95^$F$9)*J96)+(1-$D$9)*(I96-I95),K95+$D$11*(H96-K95)+($E$11*(K95^$F$11)*J96)+(1-$D$11)*(H96-H95))</f>
        <v>20.2685048288022</v>
      </c>
      <c r="M96" s="503"/>
      <c r="AP96" s="454"/>
      <c r="AQ96" s="454"/>
      <c r="AR96" s="454"/>
      <c r="AS96" s="454"/>
    </row>
    <row r="97" customFormat="false" ht="10.5" hidden="false" customHeight="false" outlineLevel="0" collapsed="false">
      <c r="A97" s="498" t="n">
        <v>37316</v>
      </c>
      <c r="B97" s="499" t="n">
        <f aca="false">YEAR(A97)</f>
        <v>2002</v>
      </c>
      <c r="C97" s="500" t="n">
        <v>2.754</v>
      </c>
      <c r="D97" s="501" t="n">
        <f aca="false">IF(GasSwitch=0,VLOOKUP($A97,[1]!GasCurve,4),VLOOKUP($A97,[1]!AecoCurve,5))</f>
        <v>2.723</v>
      </c>
      <c r="E97" s="517" t="n">
        <v>-0.00615295073818982</v>
      </c>
      <c r="F97" s="503" t="n">
        <f aca="false">IF(shiftswitch2=1,IF(F96+$D$8*(D97-F96)+($E$8*(F96^$F$8)*E97)+(1-$D$8)*(D97-D96)&lt;0,0.01,F96+$D$8*(D97-F96)+($E$8*(F96^$F$8)*E97)+(1-$D$8)*(D97-D96)),IF(F96+$D$10*(C97-F96)+($E$10*(F96^$F$10)*E97)+(1-$D$10)*(C97-C96)&lt;0,0.01,F96+$D$10*(C97-F96)+($E$10*(F96^$F$10)*E97)+(1-$D$10)*(C97-C96)))</f>
        <v>2.76160387437128</v>
      </c>
      <c r="G97" s="503"/>
      <c r="H97" s="504" t="n">
        <v>20.26</v>
      </c>
      <c r="I97" s="501" t="n">
        <f aca="false">IF(OilSwitch=0,VLOOKUP($A97,[1]!OilCurve,4),VLOOKUP($A97,[1]!BrentCurve,4))</f>
        <v>21.32</v>
      </c>
      <c r="J97" s="517" t="n">
        <v>-0.000414587274512359</v>
      </c>
      <c r="K97" s="503" t="n">
        <f aca="false">IF(shiftswitch2=1,K96+$D$9*(I97-K96)+($E$9*(K96^$F$9)*J97)+(1-$D$9)*(I97-I96),K96+$D$11*(H97-K96)+($E$11*(K96^$F$11)*J97)+(1-$D$11)*(H97-H96))</f>
        <v>20.140832977526</v>
      </c>
      <c r="M97" s="503"/>
      <c r="AP97" s="454"/>
      <c r="AQ97" s="454"/>
      <c r="AR97" s="454"/>
      <c r="AS97" s="454"/>
    </row>
    <row r="98" customFormat="false" ht="10.5" hidden="false" customHeight="false" outlineLevel="0" collapsed="false">
      <c r="A98" s="498" t="n">
        <v>37347</v>
      </c>
      <c r="B98" s="499" t="n">
        <f aca="false">YEAR(A98)</f>
        <v>2002</v>
      </c>
      <c r="C98" s="500" t="n">
        <v>2.655</v>
      </c>
      <c r="D98" s="501" t="n">
        <f aca="false">IF(GasSwitch=0,VLOOKUP($A98,[1]!GasCurve,4),VLOOKUP($A98,[1]!AecoCurve,5))</f>
        <v>2.626</v>
      </c>
      <c r="E98" s="517" t="n">
        <v>-0.0389004987330856</v>
      </c>
      <c r="F98" s="503" t="n">
        <f aca="false">IF(shiftswitch2=1,IF(F97+$D$8*(D98-F97)+($E$8*(F97^$F$8)*E98)+(1-$D$8)*(D98-D97)&lt;0,0.01,F97+$D$8*(D98-F97)+($E$8*(F97^$F$8)*E98)+(1-$D$8)*(D98-D97)),IF(F97+$D$10*(C98-F97)+($E$10*(F97^$F$10)*E98)+(1-$D$10)*(C98-C97)&lt;0,0.01,F97+$D$10*(C98-F97)+($E$10*(F97^$F$10)*E98)+(1-$D$10)*(C98-C97)))</f>
        <v>2.63930976110866</v>
      </c>
      <c r="G98" s="503"/>
      <c r="H98" s="504" t="n">
        <v>20.15</v>
      </c>
      <c r="I98" s="501" t="n">
        <f aca="false">IF(OilSwitch=0,VLOOKUP($A98,[1]!OilCurve,4),VLOOKUP($A98,[1]!BrentCurve,4))</f>
        <v>21.21</v>
      </c>
      <c r="J98" s="517" t="n">
        <v>0.0183675856213809</v>
      </c>
      <c r="K98" s="503" t="n">
        <f aca="false">IF(shiftswitch2=1,K97+$D$9*(I98-K97)+($E$9*(K97^$F$9)*J98)+(1-$D$9)*(I98-I97),K97+$D$11*(H98-K97)+($E$11*(K97^$F$11)*J98)+(1-$D$11)*(H98-H97))</f>
        <v>20.0731941752249</v>
      </c>
      <c r="M98" s="503"/>
      <c r="AP98" s="454"/>
      <c r="AQ98" s="454"/>
      <c r="AR98" s="454"/>
      <c r="AS98" s="454"/>
    </row>
    <row r="99" customFormat="false" ht="10.5" hidden="false" customHeight="false" outlineLevel="0" collapsed="false">
      <c r="A99" s="498" t="n">
        <v>37377</v>
      </c>
      <c r="B99" s="499" t="n">
        <f aca="false">YEAR(A99)</f>
        <v>2002</v>
      </c>
      <c r="C99" s="500" t="n">
        <v>2.629</v>
      </c>
      <c r="D99" s="501" t="n">
        <f aca="false">IF(GasSwitch=0,VLOOKUP($A99,[1]!GasCurve,4),VLOOKUP($A99,[1]!AecoCurve,5))</f>
        <v>2.602</v>
      </c>
      <c r="E99" s="517" t="n">
        <v>-0.0416221518609758</v>
      </c>
      <c r="F99" s="503" t="n">
        <f aca="false">IF(shiftswitch2=1,IF(F98+$D$8*(D99-F98)+($E$8*(F98^$F$8)*E99)+(1-$D$8)*(D99-D98)&lt;0,0.01,F98+$D$8*(D99-F98)+($E$8*(F98^$F$8)*E99)+(1-$D$8)*(D99-D98)),IF(F98+$D$10*(C99-F98)+($E$10*(F98^$F$10)*E99)+(1-$D$10)*(C99-C98)&lt;0,0.01,F98+$D$10*(C99-F98)+($E$10*(F98^$F$10)*E99)+(1-$D$10)*(C99-C98)))</f>
        <v>2.59835901050525</v>
      </c>
      <c r="G99" s="503"/>
      <c r="H99" s="504" t="n">
        <v>20.04</v>
      </c>
      <c r="I99" s="501" t="n">
        <f aca="false">IF(OilSwitch=0,VLOOKUP($A99,[1]!OilCurve,4),VLOOKUP($A99,[1]!BrentCurve,4))</f>
        <v>21.1</v>
      </c>
      <c r="J99" s="517" t="n">
        <v>0.0140083084236563</v>
      </c>
      <c r="K99" s="503" t="n">
        <f aca="false">IF(shiftswitch2=1,K98+$D$9*(I99-K98)+($E$9*(K98^$F$9)*J99)+(1-$D$9)*(I99-I98),K98+$D$11*(H99-K98)+($E$11*(K98^$F$11)*J99)+(1-$D$11)*(H99-H98))</f>
        <v>19.9941077770946</v>
      </c>
      <c r="M99" s="503"/>
      <c r="AP99" s="454"/>
      <c r="AQ99" s="454"/>
      <c r="AR99" s="454"/>
      <c r="AS99" s="454"/>
    </row>
    <row r="100" customFormat="false" ht="10.5" hidden="false" customHeight="false" outlineLevel="0" collapsed="false">
      <c r="A100" s="498" t="n">
        <v>37408</v>
      </c>
      <c r="B100" s="499" t="n">
        <f aca="false">YEAR(A100)</f>
        <v>2002</v>
      </c>
      <c r="C100" s="500" t="n">
        <v>2.635</v>
      </c>
      <c r="D100" s="501" t="n">
        <f aca="false">IF(GasSwitch=0,VLOOKUP($A100,[1]!GasCurve,4),VLOOKUP($A100,[1]!AecoCurve,5))</f>
        <v>2.611</v>
      </c>
      <c r="E100" s="517" t="n">
        <v>0.0334210311105519</v>
      </c>
      <c r="F100" s="503" t="n">
        <f aca="false">IF(shiftswitch2=1,IF(F99+$D$8*(D100-F99)+($E$8*(F99^$F$8)*E100)+(1-$D$8)*(D100-D99)&lt;0,0.01,F99+$D$8*(D100-F99)+($E$8*(F99^$F$8)*E100)+(1-$D$8)*(D100-D99)),IF(F99+$D$10*(C100-F99)+($E$10*(F99^$F$10)*E100)+(1-$D$10)*(C100-C99)&lt;0,0.01,F99+$D$10*(C100-F99)+($E$10*(F99^$F$10)*E100)+(1-$D$10)*(C100-C99)))</f>
        <v>2.63344937044867</v>
      </c>
      <c r="G100" s="503"/>
      <c r="H100" s="504" t="n">
        <v>19.93</v>
      </c>
      <c r="I100" s="501" t="n">
        <f aca="false">IF(OilSwitch=0,VLOOKUP($A100,[1]!OilCurve,4),VLOOKUP($A100,[1]!BrentCurve,4))</f>
        <v>20.99</v>
      </c>
      <c r="J100" s="517" t="n">
        <v>-0.0338768183558389</v>
      </c>
      <c r="K100" s="503" t="n">
        <f aca="false">IF(shiftswitch2=1,K99+$D$9*(I100-K99)+($E$9*(K99^$F$9)*J100)+(1-$D$9)*(I100-I99),K99+$D$11*(H100-K99)+($E$11*(K99^$F$11)*J100)+(1-$D$11)*(H100-H99))</f>
        <v>19.8322800814181</v>
      </c>
      <c r="M100" s="503"/>
      <c r="AP100" s="454"/>
      <c r="AQ100" s="454"/>
      <c r="AR100" s="454"/>
      <c r="AS100" s="454"/>
    </row>
    <row r="101" customFormat="false" ht="10.5" hidden="false" customHeight="false" outlineLevel="0" collapsed="false">
      <c r="A101" s="498" t="n">
        <v>37438</v>
      </c>
      <c r="B101" s="499" t="n">
        <f aca="false">YEAR(A101)</f>
        <v>2002</v>
      </c>
      <c r="C101" s="500" t="n">
        <v>2.645</v>
      </c>
      <c r="D101" s="501" t="n">
        <f aca="false">IF(GasSwitch=0,VLOOKUP($A101,[1]!GasCurve,4),VLOOKUP($A101,[1]!AecoCurve,5))</f>
        <v>2.622</v>
      </c>
      <c r="E101" s="517" t="n">
        <v>-0.00072090911831055</v>
      </c>
      <c r="F101" s="503" t="n">
        <f aca="false">IF(shiftswitch2=1,IF(F100+$D$8*(D101-F100)+($E$8*(F100^$F$8)*E101)+(1-$D$8)*(D101-D100)&lt;0,0.01,F100+$D$8*(D101-F100)+($E$8*(F100^$F$8)*E101)+(1-$D$8)*(D101-D100)),IF(F100+$D$10*(C101-F100)+($E$10*(F100^$F$10)*E101)+(1-$D$10)*(C101-C100)&lt;0,0.01,F100+$D$10*(C101-F100)+($E$10*(F100^$F$10)*E101)+(1-$D$10)*(C101-C100)))</f>
        <v>2.6437000723298</v>
      </c>
      <c r="G101" s="503"/>
      <c r="H101" s="504" t="n">
        <v>19.83</v>
      </c>
      <c r="I101" s="501" t="n">
        <f aca="false">IF(OilSwitch=0,VLOOKUP($A101,[1]!OilCurve,4),VLOOKUP($A101,[1]!BrentCurve,4))</f>
        <v>20.89</v>
      </c>
      <c r="J101" s="517" t="n">
        <v>-0.0309173326185739</v>
      </c>
      <c r="K101" s="503" t="n">
        <f aca="false">IF(shiftswitch2=1,K100+$D$9*(I101-K100)+($E$9*(K100^$F$9)*J101)+(1-$D$9)*(I101-I100),K100+$D$11*(H101-K100)+($E$11*(K100^$F$11)*J101)+(1-$D$11)*(H101-H100))</f>
        <v>19.6905079118804</v>
      </c>
      <c r="M101" s="503"/>
      <c r="AP101" s="454"/>
      <c r="AQ101" s="454"/>
      <c r="AR101" s="454"/>
      <c r="AS101" s="454"/>
    </row>
    <row r="102" customFormat="false" ht="10.5" hidden="false" customHeight="false" outlineLevel="0" collapsed="false">
      <c r="A102" s="498" t="n">
        <v>37469</v>
      </c>
      <c r="B102" s="499" t="n">
        <f aca="false">YEAR(A102)</f>
        <v>2002</v>
      </c>
      <c r="C102" s="500" t="n">
        <v>2.652</v>
      </c>
      <c r="D102" s="501" t="n">
        <f aca="false">IF(GasSwitch=0,VLOOKUP($A102,[1]!GasCurve,4),VLOOKUP($A102,[1]!AecoCurve,5))</f>
        <v>2.631</v>
      </c>
      <c r="E102" s="517" t="n">
        <v>0.011161058979936</v>
      </c>
      <c r="F102" s="503" t="n">
        <f aca="false">IF(shiftswitch2=1,IF(F101+$D$8*(D102-F101)+($E$8*(F101^$F$8)*E102)+(1-$D$8)*(D102-D101)&lt;0,0.01,F101+$D$8*(D102-F101)+($E$8*(F101^$F$8)*E102)+(1-$D$8)*(D102-D101)),IF(F101+$D$10*(C102-F101)+($E$10*(F101^$F$10)*E102)+(1-$D$10)*(C102-C101)&lt;0,0.01,F101+$D$10*(C102-F101)+($E$10*(F101^$F$10)*E102)+(1-$D$10)*(C102-C101)))</f>
        <v>2.65690687521149</v>
      </c>
      <c r="G102" s="503"/>
      <c r="H102" s="504" t="n">
        <v>19.74</v>
      </c>
      <c r="I102" s="501" t="n">
        <f aca="false">IF(OilSwitch=0,VLOOKUP($A102,[1]!OilCurve,4),VLOOKUP($A102,[1]!BrentCurve,4))</f>
        <v>20.79</v>
      </c>
      <c r="J102" s="517" t="n">
        <v>0.0477980364626183</v>
      </c>
      <c r="K102" s="503" t="n">
        <f aca="false">IF(shiftswitch2=1,K101+$D$9*(I102-K101)+($E$9*(K101^$F$9)*J102)+(1-$D$9)*(I102-I101),K101+$D$11*(H102-K101)+($E$11*(K101^$F$11)*J102)+(1-$D$11)*(H102-H101))</f>
        <v>19.693853561278</v>
      </c>
      <c r="M102" s="503"/>
      <c r="AP102" s="454"/>
      <c r="AQ102" s="454"/>
      <c r="AR102" s="454"/>
      <c r="AS102" s="454"/>
    </row>
    <row r="103" customFormat="false" ht="10.5" hidden="false" customHeight="false" outlineLevel="0" collapsed="false">
      <c r="A103" s="498" t="n">
        <v>37500</v>
      </c>
      <c r="B103" s="499" t="n">
        <f aca="false">YEAR(A103)</f>
        <v>2002</v>
      </c>
      <c r="C103" s="500" t="n">
        <v>2.659</v>
      </c>
      <c r="D103" s="501" t="n">
        <f aca="false">IF(GasSwitch=0,VLOOKUP($A103,[1]!GasCurve,4),VLOOKUP($A103,[1]!AecoCurve,5))</f>
        <v>2.638</v>
      </c>
      <c r="E103" s="517" t="n">
        <v>0.0220344228255263</v>
      </c>
      <c r="F103" s="503" t="n">
        <f aca="false">IF(shiftswitch2=1,IF(F102+$D$8*(D103-F102)+($E$8*(F102^$F$8)*E103)+(1-$D$8)*(D103-D102)&lt;0,0.01,F102+$D$8*(D103-F102)+($E$8*(F102^$F$8)*E103)+(1-$D$8)*(D103-D102)),IF(F102+$D$10*(C103-F102)+($E$10*(F102^$F$10)*E103)+(1-$D$10)*(C103-C102)&lt;0,0.01,F102+$D$10*(C103-F102)+($E$10*(F102^$F$10)*E103)+(1-$D$10)*(C103-C102)))</f>
        <v>2.67321267230648</v>
      </c>
      <c r="G103" s="503"/>
      <c r="H103" s="504" t="n">
        <v>19.65</v>
      </c>
      <c r="I103" s="501" t="n">
        <f aca="false">IF(OilSwitch=0,VLOOKUP($A103,[1]!OilCurve,4),VLOOKUP($A103,[1]!BrentCurve,4))</f>
        <v>20.69</v>
      </c>
      <c r="J103" s="517" t="n">
        <v>-0.011955409953268</v>
      </c>
      <c r="K103" s="503" t="n">
        <f aca="false">IF(shiftswitch2=1,K102+$D$9*(I103-K102)+($E$9*(K102^$F$9)*J103)+(1-$D$9)*(I103-I102),K102+$D$11*(H103-K102)+($E$11*(K102^$F$11)*J103)+(1-$D$11)*(H103-H102))</f>
        <v>19.5885282565493</v>
      </c>
      <c r="M103" s="503"/>
      <c r="AP103" s="454"/>
      <c r="AQ103" s="454"/>
      <c r="AR103" s="454"/>
      <c r="AS103" s="454"/>
    </row>
    <row r="104" customFormat="false" ht="10.5" hidden="false" customHeight="false" outlineLevel="0" collapsed="false">
      <c r="A104" s="498" t="n">
        <v>37530</v>
      </c>
      <c r="B104" s="499" t="n">
        <f aca="false">YEAR(A104)</f>
        <v>2002</v>
      </c>
      <c r="C104" s="500" t="n">
        <v>2.685</v>
      </c>
      <c r="D104" s="501" t="n">
        <f aca="false">IF(GasSwitch=0,VLOOKUP($A104,[1]!GasCurve,4),VLOOKUP($A104,[1]!AecoCurve,5))</f>
        <v>2.665</v>
      </c>
      <c r="E104" s="517" t="n">
        <v>-0.0254146541325785</v>
      </c>
      <c r="F104" s="503" t="n">
        <f aca="false">IF(shiftswitch2=1,IF(F103+$D$8*(D104-F103)+($E$8*(F103^$F$8)*E104)+(1-$D$8)*(D104-D103)&lt;0,0.01,F103+$D$8*(D104-F103)+($E$8*(F103^$F$8)*E104)+(1-$D$8)*(D104-D103)),IF(F103+$D$10*(C104-F103)+($E$10*(F103^$F$10)*E104)+(1-$D$10)*(C104-C103)&lt;0,0.01,F103+$D$10*(C104-F103)+($E$10*(F103^$F$10)*E104)+(1-$D$10)*(C104-C103)))</f>
        <v>2.68052636342566</v>
      </c>
      <c r="G104" s="503"/>
      <c r="H104" s="504" t="n">
        <v>19.58</v>
      </c>
      <c r="I104" s="501" t="n">
        <f aca="false">IF(OilSwitch=0,VLOOKUP($A104,[1]!OilCurve,4),VLOOKUP($A104,[1]!BrentCurve,4))</f>
        <v>20.6066666666667</v>
      </c>
      <c r="J104" s="517" t="n">
        <v>0.000667643739024977</v>
      </c>
      <c r="K104" s="503" t="n">
        <f aca="false">IF(shiftswitch2=1,K103+$D$9*(I104-K103)+($E$9*(K103^$F$9)*J104)+(1-$D$9)*(I104-I103),K103+$D$11*(H104-K103)+($E$11*(K103^$F$11)*J104)+(1-$D$11)*(H104-H103))</f>
        <v>19.5257249183326</v>
      </c>
      <c r="M104" s="503"/>
      <c r="AP104" s="454"/>
      <c r="AQ104" s="454"/>
      <c r="AR104" s="454"/>
      <c r="AS104" s="454"/>
    </row>
    <row r="105" customFormat="false" ht="10.5" hidden="false" customHeight="false" outlineLevel="0" collapsed="false">
      <c r="A105" s="498" t="n">
        <v>37561</v>
      </c>
      <c r="B105" s="499" t="n">
        <f aca="false">YEAR(A105)</f>
        <v>2002</v>
      </c>
      <c r="C105" s="500" t="n">
        <v>2.82</v>
      </c>
      <c r="D105" s="501" t="n">
        <f aca="false">IF(GasSwitch=0,VLOOKUP($A105,[1]!GasCurve,4),VLOOKUP($A105,[1]!AecoCurve,5))</f>
        <v>2.801</v>
      </c>
      <c r="E105" s="517" t="n">
        <v>-0.0192077581702215</v>
      </c>
      <c r="F105" s="503" t="n">
        <f aca="false">IF(shiftswitch2=1,IF(F104+$D$8*(D105-F104)+($E$8*(F104^$F$8)*E105)+(1-$D$8)*(D105-D104)&lt;0,0.01,F104+$D$8*(D105-F104)+($E$8*(F104^$F$8)*E105)+(1-$D$8)*(D105-D104)),IF(F104+$D$10*(C105-F104)+($E$10*(F104^$F$10)*E105)+(1-$D$10)*(C105-C104)&lt;0,0.01,F104+$D$10*(C105-F104)+($E$10*(F104^$F$10)*E105)+(1-$D$10)*(C105-C104)))</f>
        <v>2.80744896075493</v>
      </c>
      <c r="G105" s="503"/>
      <c r="H105" s="504" t="n">
        <v>19.51</v>
      </c>
      <c r="I105" s="501" t="n">
        <f aca="false">IF(OilSwitch=0,VLOOKUP($A105,[1]!OilCurve,4),VLOOKUP($A105,[1]!BrentCurve,4))</f>
        <v>20.5233333333333</v>
      </c>
      <c r="J105" s="517" t="n">
        <v>-0.0320434382666666</v>
      </c>
      <c r="K105" s="503" t="n">
        <f aca="false">IF(shiftswitch2=1,K104+$D$9*(I105-K104)+($E$9*(K104^$F$9)*J105)+(1-$D$9)*(I105-I104),K104+$D$11*(H105-K104)+($E$11*(K104^$F$11)*J105)+(1-$D$11)*(H105-H104))</f>
        <v>19.407777870142</v>
      </c>
      <c r="M105" s="503"/>
      <c r="AP105" s="454"/>
      <c r="AQ105" s="454"/>
      <c r="AR105" s="454"/>
      <c r="AS105" s="454"/>
    </row>
    <row r="106" customFormat="false" ht="10.5" hidden="false" customHeight="false" outlineLevel="0" collapsed="false">
      <c r="A106" s="498" t="n">
        <v>37591</v>
      </c>
      <c r="B106" s="499" t="n">
        <f aca="false">YEAR(A106)</f>
        <v>2002</v>
      </c>
      <c r="C106" s="500" t="n">
        <v>2.944</v>
      </c>
      <c r="D106" s="501" t="n">
        <f aca="false">IF(GasSwitch=0,VLOOKUP($A106,[1]!GasCurve,4),VLOOKUP($A106,[1]!AecoCurve,5))</f>
        <v>2.927</v>
      </c>
      <c r="E106" s="517" t="n">
        <v>0.0346660252462324</v>
      </c>
      <c r="F106" s="503" t="n">
        <f aca="false">IF(shiftswitch2=1,IF(F105+$D$8*(D106-F105)+($E$8*(F105^$F$8)*E106)+(1-$D$8)*(D106-D105)&lt;0,0.01,F105+$D$8*(D106-F105)+($E$8*(F105^$F$8)*E106)+(1-$D$8)*(D106-D105)),IF(F105+$D$10*(C106-F105)+($E$10*(F105^$F$10)*E106)+(1-$D$10)*(C106-C105)&lt;0,0.01,F105+$D$10*(C106-F105)+($E$10*(F105^$F$10)*E106)+(1-$D$10)*(C106-C105)))</f>
        <v>2.95465626394893</v>
      </c>
      <c r="G106" s="503"/>
      <c r="H106" s="504" t="n">
        <v>19.44</v>
      </c>
      <c r="I106" s="501" t="n">
        <f aca="false">IF(OilSwitch=0,VLOOKUP($A106,[1]!OilCurve,4),VLOOKUP($A106,[1]!BrentCurve,4))</f>
        <v>20.44</v>
      </c>
      <c r="J106" s="517" t="n">
        <v>0.0227408812111454</v>
      </c>
      <c r="K106" s="503" t="n">
        <f aca="false">IF(shiftswitch2=1,K105+$D$9*(I106-K105)+($E$9*(K105^$F$9)*J106)+(1-$D$9)*(I106-I105),K105+$D$11*(H106-K105)+($E$11*(K105^$F$11)*J106)+(1-$D$11)*(H106-H105))</f>
        <v>19.3857386873333</v>
      </c>
      <c r="M106" s="503"/>
      <c r="AP106" s="454"/>
      <c r="AQ106" s="454"/>
      <c r="AR106" s="454"/>
      <c r="AS106" s="454"/>
    </row>
    <row r="107" customFormat="false" ht="10.5" hidden="false" customHeight="false" outlineLevel="0" collapsed="false">
      <c r="A107" s="498" t="n">
        <v>37622</v>
      </c>
      <c r="B107" s="512" t="n">
        <f aca="false">YEAR(A107)</f>
        <v>2003</v>
      </c>
      <c r="C107" s="513" t="n">
        <v>2.975</v>
      </c>
      <c r="D107" s="501" t="n">
        <f aca="false">IF(GasSwitch=0,VLOOKUP($A107,[1]!GasCurve,4),VLOOKUP($A107,[1]!AecoCurve,5))</f>
        <v>2.96</v>
      </c>
      <c r="E107" s="517" t="n">
        <v>-0.0044526409804637</v>
      </c>
      <c r="F107" s="503" t="n">
        <f aca="false">IF(shiftswitch2=1,IF(F106+$D$8*(D107-F106)+($E$8*(F106^$F$8)*E107)+(1-$D$8)*(D107-D106)&lt;0,0.01,F106+$D$8*(D107-F106)+($E$8*(F106^$F$8)*E107)+(1-$D$8)*(D107-D106)),IF(F106+$D$10*(C107-F106)+($E$10*(F106^$F$10)*E107)+(1-$D$10)*(C107-C106)&lt;0,0.01,F106+$D$10*(C107-F106)+($E$10*(F106^$F$10)*E107)+(1-$D$10)*(C107-C106)))</f>
        <v>2.9790135062106</v>
      </c>
      <c r="G107" s="503"/>
      <c r="H107" s="516" t="n">
        <v>19.3883333333333</v>
      </c>
      <c r="I107" s="501" t="n">
        <f aca="false">IF(OilSwitch=0,VLOOKUP($A107,[1]!OilCurve,4),VLOOKUP($A107,[1]!BrentCurve,4))</f>
        <v>20.3883333333333</v>
      </c>
      <c r="J107" s="518" t="n">
        <v>0.025189435808525</v>
      </c>
      <c r="K107" s="515" t="n">
        <f aca="false">IF(shiftswitch2=1,K106+$D$9*(I107-K106)+($E$9*(K106^$F$9)*J107)+(1-$D$9)*(I107-I106),K106+$D$11*(H107-K106)+($E$11*(K106^$F$11)*J107)+(1-$D$11)*(H107-H106))</f>
        <v>19.381359111806</v>
      </c>
      <c r="M107" s="503"/>
      <c r="AP107" s="454"/>
      <c r="AQ107" s="454"/>
      <c r="AR107" s="454"/>
      <c r="AS107" s="454"/>
    </row>
    <row r="108" customFormat="false" ht="10.5" hidden="false" customHeight="false" outlineLevel="0" collapsed="false">
      <c r="A108" s="498" t="n">
        <v>37653</v>
      </c>
      <c r="B108" s="499" t="n">
        <f aca="false">YEAR(A108)</f>
        <v>2003</v>
      </c>
      <c r="C108" s="500" t="n">
        <v>2.857</v>
      </c>
      <c r="D108" s="501" t="n">
        <f aca="false">IF(GasSwitch=0,VLOOKUP($A108,[1]!GasCurve,4),VLOOKUP($A108,[1]!AecoCurve,5))</f>
        <v>2.847</v>
      </c>
      <c r="E108" s="517" t="n">
        <v>-0.0339448761974899</v>
      </c>
      <c r="F108" s="503" t="n">
        <f aca="false">IF(shiftswitch2=1,IF(F107+$D$8*(D108-F107)+($E$8*(F107^$F$8)*E108)+(1-$D$8)*(D108-D107)&lt;0,0.01,F107+$D$8*(D108-F107)+($E$8*(F107^$F$8)*E108)+(1-$D$8)*(D108-D107)),IF(F107+$D$10*(C108-F107)+($E$10*(F107^$F$10)*E108)+(1-$D$10)*(C108-C107)&lt;0,0.01,F107+$D$10*(C108-F107)+($E$10*(F107^$F$10)*E108)+(1-$D$10)*(C108-C107)))</f>
        <v>2.84104791423713</v>
      </c>
      <c r="G108" s="503"/>
      <c r="H108" s="504" t="n">
        <v>19.3366666666667</v>
      </c>
      <c r="I108" s="501" t="n">
        <f aca="false">IF(OilSwitch=0,VLOOKUP($A108,[1]!OilCurve,4),VLOOKUP($A108,[1]!BrentCurve,4))</f>
        <v>20.3366666666667</v>
      </c>
      <c r="J108" s="517" t="n">
        <v>-0.0430604216396451</v>
      </c>
      <c r="K108" s="503" t="n">
        <f aca="false">IF(shiftswitch2=1,K107+$D$9*(I108-K107)+($E$9*(K107^$F$9)*J108)+(1-$D$9)*(I108-I107),K107+$D$11*(H108-K107)+($E$11*(K107^$F$11)*J108)+(1-$D$11)*(H108-H107))</f>
        <v>19.2587303514622</v>
      </c>
      <c r="M108" s="503"/>
      <c r="AP108" s="454"/>
      <c r="AQ108" s="454"/>
      <c r="AR108" s="454"/>
      <c r="AS108" s="454"/>
    </row>
    <row r="109" customFormat="false" ht="10.5" hidden="false" customHeight="false" outlineLevel="0" collapsed="false">
      <c r="A109" s="498" t="n">
        <v>37681</v>
      </c>
      <c r="B109" s="499" t="n">
        <f aca="false">YEAR(A109)</f>
        <v>2003</v>
      </c>
      <c r="C109" s="500" t="n">
        <v>2.737</v>
      </c>
      <c r="D109" s="501" t="n">
        <f aca="false">IF(GasSwitch=0,VLOOKUP($A109,[1]!GasCurve,4),VLOOKUP($A109,[1]!AecoCurve,5))</f>
        <v>2.732</v>
      </c>
      <c r="E109" s="517" t="n">
        <v>-0.0449721068754098</v>
      </c>
      <c r="F109" s="503" t="n">
        <f aca="false">IF(shiftswitch2=1,IF(F108+$D$8*(D109-F108)+($E$8*(F108^$F$8)*E109)+(1-$D$8)*(D109-D108)&lt;0,0.01,F108+$D$8*(D109-F108)+($E$8*(F108^$F$8)*E109)+(1-$D$8)*(D109-D108)),IF(F108+$D$10*(C109-F108)+($E$10*(F108^$F$10)*E109)+(1-$D$10)*(C109-C108)&lt;0,0.01,F108+$D$10*(C109-F108)+($E$10*(F108^$F$10)*E109)+(1-$D$10)*(C109-C108)))</f>
        <v>2.70363600662825</v>
      </c>
      <c r="G109" s="503"/>
      <c r="H109" s="504" t="n">
        <v>19.285</v>
      </c>
      <c r="I109" s="501" t="n">
        <f aca="false">IF(OilSwitch=0,VLOOKUP($A109,[1]!OilCurve,4),VLOOKUP($A109,[1]!BrentCurve,4))</f>
        <v>20.285</v>
      </c>
      <c r="J109" s="517" t="n">
        <v>0.01821475959481</v>
      </c>
      <c r="K109" s="503" t="n">
        <f aca="false">IF(shiftswitch2=1,K108+$D$9*(I109-K108)+($E$9*(K108^$F$9)*J109)+(1-$D$9)*(I109-I108),K108+$D$11*(H109-K108)+($E$11*(K108^$F$11)*J109)+(1-$D$11)*(H109-H108))</f>
        <v>19.2450887399665</v>
      </c>
      <c r="M109" s="503"/>
      <c r="AP109" s="454"/>
      <c r="AQ109" s="454"/>
      <c r="AR109" s="454"/>
      <c r="AS109" s="454"/>
    </row>
    <row r="110" customFormat="false" ht="10.5" hidden="false" customHeight="false" outlineLevel="0" collapsed="false">
      <c r="A110" s="498" t="n">
        <v>37712</v>
      </c>
      <c r="B110" s="499" t="n">
        <f aca="false">YEAR(A110)</f>
        <v>2003</v>
      </c>
      <c r="C110" s="500" t="n">
        <v>2.6875</v>
      </c>
      <c r="D110" s="501" t="n">
        <f aca="false">IF(GasSwitch=0,VLOOKUP($A110,[1]!GasCurve,4),VLOOKUP($A110,[1]!AecoCurve,5))</f>
        <v>2.632</v>
      </c>
      <c r="E110" s="517" t="n">
        <v>0.0232252663177991</v>
      </c>
      <c r="F110" s="503" t="n">
        <f aca="false">IF(shiftswitch2=1,IF(F109+$D$8*(D110-F109)+($E$8*(F109^$F$8)*E110)+(1-$D$8)*(D110-D109)&lt;0,0.01,F109+$D$8*(D110-F109)+($E$8*(F109^$F$8)*E110)+(1-$D$8)*(D110-D109)),IF(F109+$D$10*(C110-F109)+($E$10*(F109^$F$10)*E110)+(1-$D$10)*(C110-C109)&lt;0,0.01,F109+$D$10*(C110-F109)+($E$10*(F109^$F$10)*E110)+(1-$D$10)*(C110-C109)))</f>
        <v>2.67939370455383</v>
      </c>
      <c r="G110" s="503"/>
      <c r="H110" s="504" t="n">
        <v>19.2333333333333</v>
      </c>
      <c r="I110" s="501" t="n">
        <f aca="false">IF(OilSwitch=0,VLOOKUP($A110,[1]!OilCurve,4),VLOOKUP($A110,[1]!BrentCurve,4))</f>
        <v>20.2333333333333</v>
      </c>
      <c r="J110" s="517" t="n">
        <v>0.0174397829195574</v>
      </c>
      <c r="K110" s="503" t="n">
        <f aca="false">IF(shiftswitch2=1,K109+$D$9*(I110-K109)+($E$9*(K109^$F$9)*J110)+(1-$D$9)*(I110-I109),K109+$D$11*(H110-K109)+($E$11*(K109^$F$11)*J110)+(1-$D$11)*(H110-H109))</f>
        <v>19.2263930868213</v>
      </c>
      <c r="M110" s="503"/>
      <c r="AP110" s="454"/>
      <c r="AQ110" s="454"/>
      <c r="AR110" s="454"/>
      <c r="AS110" s="454"/>
    </row>
    <row r="111" customFormat="false" ht="10.5" hidden="false" customHeight="false" outlineLevel="0" collapsed="false">
      <c r="A111" s="498" t="n">
        <v>37742</v>
      </c>
      <c r="B111" s="499" t="n">
        <f aca="false">YEAR(A111)</f>
        <v>2003</v>
      </c>
      <c r="C111" s="500" t="n">
        <v>2.6615</v>
      </c>
      <c r="D111" s="501" t="n">
        <f aca="false">IF(GasSwitch=0,VLOOKUP($A111,[1]!GasCurve,4),VLOOKUP($A111,[1]!AecoCurve,5))</f>
        <v>2.632</v>
      </c>
      <c r="E111" s="517" t="n">
        <v>0.0149813933922094</v>
      </c>
      <c r="F111" s="503" t="n">
        <f aca="false">IF(shiftswitch2=1,IF(F110+$D$8*(D111-F110)+($E$8*(F110^$F$8)*E111)+(1-$D$8)*(D111-D110)&lt;0,0.01,F110+$D$8*(D111-F110)+($E$8*(F110^$F$8)*E111)+(1-$D$8)*(D111-D110)),IF(F110+$D$10*(C111-F110)+($E$10*(F110^$F$10)*E111)+(1-$D$10)*(C111-C110)&lt;0,0.01,F110+$D$10*(C111-F110)+($E$10*(F110^$F$10)*E111)+(1-$D$10)*(C111-C110)))</f>
        <v>2.66430953660546</v>
      </c>
      <c r="G111" s="503"/>
      <c r="H111" s="504" t="n">
        <v>19.1816666666667</v>
      </c>
      <c r="I111" s="501" t="n">
        <f aca="false">IF(OilSwitch=0,VLOOKUP($A111,[1]!OilCurve,4),VLOOKUP($A111,[1]!BrentCurve,4))</f>
        <v>20.1816666666667</v>
      </c>
      <c r="J111" s="517" t="n">
        <v>0.0362337257466958</v>
      </c>
      <c r="K111" s="503" t="n">
        <f aca="false">IF(shiftswitch2=1,K110+$D$9*(I111-K110)+($E$9*(K110^$F$9)*J111)+(1-$D$9)*(I111-I110),K110+$D$11*(H111-K110)+($E$11*(K110^$F$11)*J111)+(1-$D$11)*(H111-H110))</f>
        <v>19.2357064242019</v>
      </c>
      <c r="M111" s="503"/>
      <c r="AP111" s="454"/>
      <c r="AQ111" s="454"/>
      <c r="AR111" s="454"/>
      <c r="AS111" s="454"/>
    </row>
    <row r="112" customFormat="false" ht="10.5" hidden="false" customHeight="false" outlineLevel="0" collapsed="false">
      <c r="A112" s="498" t="n">
        <v>37773</v>
      </c>
      <c r="B112" s="499" t="n">
        <f aca="false">YEAR(A112)</f>
        <v>2003</v>
      </c>
      <c r="C112" s="500" t="n">
        <v>2.6675</v>
      </c>
      <c r="D112" s="501" t="n">
        <f aca="false">IF(GasSwitch=0,VLOOKUP($A112,[1]!GasCurve,4),VLOOKUP($A112,[1]!AecoCurve,5))</f>
        <v>2.641</v>
      </c>
      <c r="E112" s="517" t="n">
        <v>-0.0242454713422991</v>
      </c>
      <c r="F112" s="503" t="n">
        <f aca="false">IF(shiftswitch2=1,IF(F111+$D$8*(D112-F111)+($E$8*(F111^$F$8)*E112)+(1-$D$8)*(D112-D111)&lt;0,0.01,F111+$D$8*(D112-F111)+($E$8*(F111^$F$8)*E112)+(1-$D$8)*(D112-D111)),IF(F111+$D$10*(C112-F111)+($E$10*(F111^$F$10)*E112)+(1-$D$10)*(C112-C111)&lt;0,0.01,F111+$D$10*(C112-F111)+($E$10*(F111^$F$10)*E112)+(1-$D$10)*(C112-C111)))</f>
        <v>2.65678395813636</v>
      </c>
      <c r="G112" s="503"/>
      <c r="H112" s="504" t="n">
        <v>19.13</v>
      </c>
      <c r="I112" s="501" t="n">
        <f aca="false">IF(OilSwitch=0,VLOOKUP($A112,[1]!OilCurve,4),VLOOKUP($A112,[1]!BrentCurve,4))</f>
        <v>20.13</v>
      </c>
      <c r="J112" s="517" t="n">
        <v>0.0193649248175575</v>
      </c>
      <c r="K112" s="503" t="n">
        <f aca="false">IF(shiftswitch2=1,K111+$D$9*(I112-K111)+($E$9*(K111^$F$9)*J112)+(1-$D$9)*(I112-I111),K111+$D$11*(H112-K111)+($E$11*(K111^$F$11)*J112)+(1-$D$11)*(H112-H111))</f>
        <v>19.2109130564356</v>
      </c>
      <c r="M112" s="503"/>
      <c r="AP112" s="454"/>
      <c r="AQ112" s="454"/>
      <c r="AR112" s="454"/>
      <c r="AS112" s="454"/>
    </row>
    <row r="113" customFormat="false" ht="10.5" hidden="false" customHeight="false" outlineLevel="0" collapsed="false">
      <c r="A113" s="498" t="n">
        <v>37803</v>
      </c>
      <c r="B113" s="499" t="n">
        <f aca="false">YEAR(A113)</f>
        <v>2003</v>
      </c>
      <c r="C113" s="500" t="n">
        <v>2.6775</v>
      </c>
      <c r="D113" s="501" t="n">
        <f aca="false">IF(GasSwitch=0,VLOOKUP($A113,[1]!GasCurve,4),VLOOKUP($A113,[1]!AecoCurve,5))</f>
        <v>2.652</v>
      </c>
      <c r="E113" s="517" t="n">
        <v>-0.0255904187633961</v>
      </c>
      <c r="F113" s="503" t="n">
        <f aca="false">IF(shiftswitch2=1,IF(F112+$D$8*(D113-F112)+($E$8*(F112^$F$8)*E113)+(1-$D$8)*(D113-D112)&lt;0,0.01,F112+$D$8*(D113-F112)+($E$8*(F112^$F$8)*E113)+(1-$D$8)*(D113-D112)),IF(F112+$D$10*(C113-F112)+($E$10*(F112^$F$10)*E113)+(1-$D$10)*(C113-C112)&lt;0,0.01,F112+$D$10*(C113-F112)+($E$10*(F112^$F$10)*E113)+(1-$D$10)*(C113-C112)))</f>
        <v>2.65797453963903</v>
      </c>
      <c r="G113" s="503"/>
      <c r="H113" s="504" t="n">
        <v>19.0783333333333</v>
      </c>
      <c r="I113" s="501" t="n">
        <f aca="false">IF(OilSwitch=0,VLOOKUP($A113,[1]!OilCurve,4),VLOOKUP($A113,[1]!BrentCurve,4))</f>
        <v>20.0783333333333</v>
      </c>
      <c r="J113" s="517" t="n">
        <v>-0.022440644576609</v>
      </c>
      <c r="K113" s="503" t="n">
        <f aca="false">IF(shiftswitch2=1,K112+$D$9*(I113-K112)+($E$9*(K112^$F$9)*J113)+(1-$D$9)*(I113-I112),K112+$D$11*(H113-K112)+($E$11*(K112^$F$11)*J113)+(1-$D$11)*(H113-H112))</f>
        <v>19.1138947646063</v>
      </c>
      <c r="M113" s="503"/>
      <c r="AP113" s="454"/>
      <c r="AQ113" s="454"/>
      <c r="AR113" s="454"/>
      <c r="AS113" s="454"/>
    </row>
    <row r="114" customFormat="false" ht="10.5" hidden="false" customHeight="false" outlineLevel="0" collapsed="false">
      <c r="A114" s="498" t="n">
        <v>37834</v>
      </c>
      <c r="B114" s="499" t="n">
        <f aca="false">YEAR(A114)</f>
        <v>2003</v>
      </c>
      <c r="C114" s="500" t="n">
        <v>2.6845</v>
      </c>
      <c r="D114" s="501" t="n">
        <f aca="false">IF(GasSwitch=0,VLOOKUP($A114,[1]!GasCurve,4),VLOOKUP($A114,[1]!AecoCurve,5))</f>
        <v>2.661</v>
      </c>
      <c r="E114" s="517" t="n">
        <v>0.0291555752970759</v>
      </c>
      <c r="F114" s="503" t="n">
        <f aca="false">IF(shiftswitch2=1,IF(F113+$D$8*(D114-F113)+($E$8*(F113^$F$8)*E114)+(1-$D$8)*(D114-D113)&lt;0,0.01,F113+$D$8*(D114-F113)+($E$8*(F113^$F$8)*E114)+(1-$D$8)*(D114-D113)),IF(F113+$D$10*(C114-F113)+($E$10*(F113^$F$10)*E114)+(1-$D$10)*(C114-C113)&lt;0,0.01,F113+$D$10*(C114-F113)+($E$10*(F113^$F$10)*E114)+(1-$D$10)*(C114-C113)))</f>
        <v>2.68765123516118</v>
      </c>
      <c r="G114" s="503"/>
      <c r="H114" s="504" t="n">
        <v>19.0266666666667</v>
      </c>
      <c r="I114" s="501" t="n">
        <f aca="false">IF(OilSwitch=0,VLOOKUP($A114,[1]!OilCurve,4),VLOOKUP($A114,[1]!BrentCurve,4))</f>
        <v>20.0266666666667</v>
      </c>
      <c r="J114" s="517" t="n">
        <v>0.0121363687055271</v>
      </c>
      <c r="K114" s="503" t="n">
        <f aca="false">IF(shiftswitch2=1,K113+$D$9*(I114-K113)+($E$9*(K113^$F$9)*J114)+(1-$D$9)*(I114-I113),K113+$D$11*(H114-K113)+($E$11*(K113^$F$11)*J114)+(1-$D$11)*(H114-H113))</f>
        <v>19.0789024337697</v>
      </c>
      <c r="M114" s="503"/>
      <c r="AP114" s="454"/>
      <c r="AQ114" s="454"/>
      <c r="AR114" s="454"/>
      <c r="AS114" s="454"/>
    </row>
    <row r="115" customFormat="false" ht="10.5" hidden="false" customHeight="false" outlineLevel="0" collapsed="false">
      <c r="A115" s="498" t="n">
        <v>37865</v>
      </c>
      <c r="B115" s="499" t="n">
        <f aca="false">YEAR(A115)</f>
        <v>2003</v>
      </c>
      <c r="C115" s="500" t="n">
        <v>2.6915</v>
      </c>
      <c r="D115" s="501" t="n">
        <f aca="false">IF(GasSwitch=0,VLOOKUP($A115,[1]!GasCurve,4),VLOOKUP($A115,[1]!AecoCurve,5))</f>
        <v>2.668</v>
      </c>
      <c r="E115" s="517" t="n">
        <v>0.020104598217707</v>
      </c>
      <c r="F115" s="503" t="n">
        <f aca="false">IF(shiftswitch2=1,IF(F114+$D$8*(D115-F114)+($E$8*(F114^$F$8)*E115)+(1-$D$8)*(D115-D114)&lt;0,0.01,F114+$D$8*(D115-F114)+($E$8*(F114^$F$8)*E115)+(1-$D$8)*(D115-D114)),IF(F114+$D$10*(C115-F114)+($E$10*(F114^$F$10)*E115)+(1-$D$10)*(C115-C114)&lt;0,0.01,F114+$D$10*(C115-F114)+($E$10*(F114^$F$10)*E115)+(1-$D$10)*(C115-C114)))</f>
        <v>2.70372924605612</v>
      </c>
      <c r="G115" s="503"/>
      <c r="H115" s="504" t="n">
        <v>18.975</v>
      </c>
      <c r="I115" s="501" t="n">
        <f aca="false">IF(OilSwitch=0,VLOOKUP($A115,[1]!OilCurve,4),VLOOKUP($A115,[1]!BrentCurve,4))</f>
        <v>19.975</v>
      </c>
      <c r="J115" s="517" t="n">
        <v>-0.0155113614717397</v>
      </c>
      <c r="K115" s="503" t="n">
        <f aca="false">IF(shiftswitch2=1,K114+$D$9*(I115-K114)+($E$9*(K114^$F$9)*J115)+(1-$D$9)*(I115-I114),K114+$D$11*(H115-K114)+($E$11*(K114^$F$11)*J115)+(1-$D$11)*(H115-H114))</f>
        <v>18.9962535206708</v>
      </c>
      <c r="M115" s="503"/>
      <c r="AP115" s="454"/>
      <c r="AQ115" s="454"/>
      <c r="AR115" s="454"/>
      <c r="AS115" s="454"/>
    </row>
    <row r="116" customFormat="false" ht="10.5" hidden="false" customHeight="false" outlineLevel="0" collapsed="false">
      <c r="A116" s="498" t="n">
        <v>37895</v>
      </c>
      <c r="B116" s="499" t="n">
        <f aca="false">YEAR(A116)</f>
        <v>2003</v>
      </c>
      <c r="C116" s="500" t="n">
        <v>2.7175</v>
      </c>
      <c r="D116" s="501" t="n">
        <f aca="false">IF(GasSwitch=0,VLOOKUP($A116,[1]!GasCurve,4),VLOOKUP($A116,[1]!AecoCurve,5))</f>
        <v>2.695</v>
      </c>
      <c r="E116" s="517" t="n">
        <v>0.0174103307855244</v>
      </c>
      <c r="F116" s="503" t="n">
        <f aca="false">IF(shiftswitch2=1,IF(F115+$D$8*(D116-F115)+($E$8*(F115^$F$8)*E116)+(1-$D$8)*(D116-D115)&lt;0,0.01,F115+$D$8*(D116-F115)+($E$8*(F115^$F$8)*E116)+(1-$D$8)*(D116-D115)),IF(F115+$D$10*(C116-F115)+($E$10*(F115^$F$10)*E116)+(1-$D$10)*(C116-C115)&lt;0,0.01,F115+$D$10*(C116-F115)+($E$10*(F115^$F$10)*E116)+(1-$D$10)*(C116-C115)))</f>
        <v>2.73383438895618</v>
      </c>
      <c r="G116" s="503"/>
      <c r="H116" s="504" t="n">
        <v>18.9233333333333</v>
      </c>
      <c r="I116" s="501" t="n">
        <f aca="false">IF(OilSwitch=0,VLOOKUP($A116,[1]!OilCurve,4),VLOOKUP($A116,[1]!BrentCurve,4))</f>
        <v>19.9233333333333</v>
      </c>
      <c r="J116" s="517" t="n">
        <v>-0.00669607246999473</v>
      </c>
      <c r="K116" s="503" t="n">
        <f aca="false">IF(shiftswitch2=1,K115+$D$9*(I116-K115)+($E$9*(K115^$F$9)*J116)+(1-$D$9)*(I116-I115),K115+$D$11*(H116-K115)+($E$11*(K115^$F$11)*J116)+(1-$D$11)*(H116-H115))</f>
        <v>18.9313404908676</v>
      </c>
      <c r="M116" s="503"/>
      <c r="AP116" s="454"/>
      <c r="AQ116" s="454"/>
      <c r="AR116" s="454"/>
      <c r="AS116" s="454"/>
    </row>
    <row r="117" customFormat="false" ht="10.5" hidden="false" customHeight="false" outlineLevel="0" collapsed="false">
      <c r="A117" s="498" t="n">
        <v>37926</v>
      </c>
      <c r="B117" s="499" t="n">
        <f aca="false">YEAR(A117)</f>
        <v>2003</v>
      </c>
      <c r="C117" s="500" t="n">
        <v>2.8525</v>
      </c>
      <c r="D117" s="501" t="n">
        <f aca="false">IF(GasSwitch=0,VLOOKUP($A117,[1]!GasCurve,4),VLOOKUP($A117,[1]!AecoCurve,5))</f>
        <v>2.831</v>
      </c>
      <c r="E117" s="517" t="n">
        <v>0.0140791035529847</v>
      </c>
      <c r="F117" s="503" t="n">
        <f aca="false">IF(shiftswitch2=1,IF(F116+$D$8*(D117-F116)+($E$8*(F116^$F$8)*E117)+(1-$D$8)*(D117-D116)&lt;0,0.01,F116+$D$8*(D117-F116)+($E$8*(F116^$F$8)*E117)+(1-$D$8)*(D117-D116)),IF(F116+$D$10*(C117-F116)+($E$10*(F116^$F$10)*E117)+(1-$D$10)*(C117-C116)&lt;0,0.01,F116+$D$10*(C117-F116)+($E$10*(F116^$F$10)*E117)+(1-$D$10)*(C117-C116)))</f>
        <v>2.86962794773182</v>
      </c>
      <c r="G117" s="503"/>
      <c r="H117" s="504" t="n">
        <v>18.8716666666667</v>
      </c>
      <c r="I117" s="501" t="n">
        <f aca="false">IF(OilSwitch=0,VLOOKUP($A117,[1]!OilCurve,4),VLOOKUP($A117,[1]!BrentCurve,4))</f>
        <v>19.8716666666667</v>
      </c>
      <c r="J117" s="517" t="n">
        <v>-0.0154870564438973</v>
      </c>
      <c r="K117" s="503" t="n">
        <f aca="false">IF(shiftswitch2=1,K116+$D$9*(I117-K116)+($E$9*(K116^$F$9)*J117)+(1-$D$9)*(I117-I116),K116+$D$11*(H117-K116)+($E$11*(K116^$F$11)*J117)+(1-$D$11)*(H117-H116))</f>
        <v>18.8531106536825</v>
      </c>
      <c r="M117" s="503"/>
      <c r="AP117" s="454"/>
      <c r="AQ117" s="454"/>
      <c r="AR117" s="454"/>
      <c r="AS117" s="454"/>
    </row>
    <row r="118" customFormat="false" ht="10.5" hidden="false" customHeight="false" outlineLevel="0" collapsed="false">
      <c r="A118" s="498" t="n">
        <v>37956</v>
      </c>
      <c r="B118" s="499" t="n">
        <f aca="false">YEAR(A118)</f>
        <v>2003</v>
      </c>
      <c r="C118" s="500" t="n">
        <v>2.9765</v>
      </c>
      <c r="D118" s="501" t="n">
        <f aca="false">IF(GasSwitch=0,VLOOKUP($A118,[1]!GasCurve,4),VLOOKUP($A118,[1]!AecoCurve,5))</f>
        <v>2.957</v>
      </c>
      <c r="E118" s="517" t="n">
        <v>0.0171767231821726</v>
      </c>
      <c r="F118" s="503" t="n">
        <f aca="false">IF(shiftswitch2=1,IF(F117+$D$8*(D118-F117)+($E$8*(F117^$F$8)*E118)+(1-$D$8)*(D118-D117)&lt;0,0.01,F117+$D$8*(D118-F117)+($E$8*(F117^$F$8)*E118)+(1-$D$8)*(D118-D117)),IF(F117+$D$10*(C118-F117)+($E$10*(F117^$F$10)*E118)+(1-$D$10)*(C118-C117)&lt;0,0.01,F117+$D$10*(C118-F117)+($E$10*(F117^$F$10)*E118)+(1-$D$10)*(C118-C117)))</f>
        <v>2.99592961135032</v>
      </c>
      <c r="G118" s="503"/>
      <c r="H118" s="504" t="n">
        <v>18.82</v>
      </c>
      <c r="I118" s="501" t="n">
        <f aca="false">IF(OilSwitch=0,VLOOKUP($A118,[1]!OilCurve,4),VLOOKUP($A118,[1]!BrentCurve,4))</f>
        <v>19.82</v>
      </c>
      <c r="J118" s="517" t="n">
        <v>0.0268419345259615</v>
      </c>
      <c r="K118" s="503" t="n">
        <f aca="false">IF(shiftswitch2=1,K117+$D$9*(I118-K117)+($E$9*(K117^$F$9)*J118)+(1-$D$9)*(I118-I117),K117+$D$11*(H118-K117)+($E$11*(K117^$F$11)*J118)+(1-$D$11)*(H118-H117))</f>
        <v>18.8479460113524</v>
      </c>
      <c r="M118" s="503"/>
      <c r="AP118" s="454"/>
      <c r="AQ118" s="454"/>
      <c r="AR118" s="454"/>
      <c r="AS118" s="454"/>
    </row>
    <row r="119" customFormat="false" ht="10.5" hidden="false" customHeight="false" outlineLevel="0" collapsed="false">
      <c r="A119" s="498" t="n">
        <v>37987</v>
      </c>
      <c r="B119" s="512" t="n">
        <f aca="false">YEAR(A119)</f>
        <v>2004</v>
      </c>
      <c r="C119" s="513" t="n">
        <v>3.015</v>
      </c>
      <c r="D119" s="501" t="n">
        <f aca="false">IF(GasSwitch=0,VLOOKUP($A119,[1]!GasCurve,4),VLOOKUP($A119,[1]!AecoCurve,5))</f>
        <v>2.9895</v>
      </c>
      <c r="E119" s="517" t="n">
        <v>-0.0165394741189016</v>
      </c>
      <c r="F119" s="503" t="n">
        <f aca="false">IF(shiftswitch2=1,IF(F118+$D$8*(D119-F118)+($E$8*(F118^$F$8)*E119)+(1-$D$8)*(D119-D118)&lt;0,0.01,F118+$D$8*(D119-F118)+($E$8*(F118^$F$8)*E119)+(1-$D$8)*(D119-D118)),IF(F118+$D$10*(C119-F118)+($E$10*(F118^$F$10)*E119)+(1-$D$10)*(C119-C118)&lt;0,0.01,F118+$D$10*(C119-F118)+($E$10*(F118^$F$10)*E119)+(1-$D$10)*(C119-C118)))</f>
        <v>3.0177179346247</v>
      </c>
      <c r="G119" s="503"/>
      <c r="H119" s="516" t="n">
        <v>18.8116666666667</v>
      </c>
      <c r="I119" s="501" t="n">
        <f aca="false">IF(OilSwitch=0,VLOOKUP($A119,[1]!OilCurve,4),VLOOKUP($A119,[1]!BrentCurve,4))</f>
        <v>19.8058333333333</v>
      </c>
      <c r="J119" s="518" t="n">
        <v>-0.0394645700557872</v>
      </c>
      <c r="K119" s="515" t="n">
        <f aca="false">IF(shiftswitch2=1,K118+$D$9*(I119-K118)+($E$9*(K118^$F$9)*J119)+(1-$D$9)*(I119-I118),K118+$D$11*(H119-K118)+($E$11*(K118^$F$11)*J119)+(1-$D$11)*(H119-H118))</f>
        <v>18.7711769783224</v>
      </c>
      <c r="M119" s="503"/>
      <c r="AP119" s="454"/>
      <c r="AQ119" s="454"/>
      <c r="AR119" s="454"/>
      <c r="AS119" s="454"/>
    </row>
    <row r="120" customFormat="false" ht="10.5" hidden="false" customHeight="false" outlineLevel="0" collapsed="false">
      <c r="A120" s="498" t="n">
        <v>38018</v>
      </c>
      <c r="B120" s="499" t="n">
        <f aca="false">YEAR(A120)</f>
        <v>2004</v>
      </c>
      <c r="C120" s="500" t="n">
        <v>2.897</v>
      </c>
      <c r="D120" s="501" t="n">
        <f aca="false">IF(GasSwitch=0,VLOOKUP($A120,[1]!GasCurve,4),VLOOKUP($A120,[1]!AecoCurve,5))</f>
        <v>2.8805</v>
      </c>
      <c r="E120" s="517" t="n">
        <v>-0.0392435274371599</v>
      </c>
      <c r="F120" s="503" t="n">
        <f aca="false">IF(shiftswitch2=1,IF(F119+$D$8*(D120-F119)+($E$8*(F119^$F$8)*E120)+(1-$D$8)*(D120-D119)&lt;0,0.01,F119+$D$8*(D120-F119)+($E$8*(F119^$F$8)*E120)+(1-$D$8)*(D120-D119)),IF(F119+$D$10*(C120-F119)+($E$10*(F119^$F$10)*E120)+(1-$D$10)*(C120-C119)&lt;0,0.01,F119+$D$10*(C120-F119)+($E$10*(F119^$F$10)*E120)+(1-$D$10)*(C120-C119)))</f>
        <v>2.87726366590082</v>
      </c>
      <c r="G120" s="503"/>
      <c r="H120" s="504" t="n">
        <v>18.8033333333333</v>
      </c>
      <c r="I120" s="501" t="n">
        <f aca="false">IF(OilSwitch=0,VLOOKUP($A120,[1]!OilCurve,4),VLOOKUP($A120,[1]!BrentCurve,4))</f>
        <v>19.7916666666667</v>
      </c>
      <c r="J120" s="517" t="n">
        <v>-0.0363663670564578</v>
      </c>
      <c r="K120" s="503" t="n">
        <f aca="false">IF(shiftswitch2=1,K119+$D$9*(I120-K119)+($E$9*(K119^$F$9)*J120)+(1-$D$9)*(I120-I119),K119+$D$11*(H120-K119)+($E$11*(K119^$F$11)*J120)+(1-$D$11)*(H120-H119))</f>
        <v>18.7063384893531</v>
      </c>
      <c r="M120" s="503"/>
      <c r="AP120" s="454"/>
      <c r="AQ120" s="454"/>
      <c r="AR120" s="454"/>
      <c r="AS120" s="454"/>
    </row>
    <row r="121" customFormat="false" ht="10.5" hidden="false" customHeight="false" outlineLevel="0" collapsed="false">
      <c r="A121" s="498" t="n">
        <v>38047</v>
      </c>
      <c r="B121" s="499" t="n">
        <f aca="false">YEAR(A121)</f>
        <v>2004</v>
      </c>
      <c r="C121" s="500" t="n">
        <v>2.777</v>
      </c>
      <c r="D121" s="501" t="n">
        <f aca="false">IF(GasSwitch=0,VLOOKUP($A121,[1]!GasCurve,4),VLOOKUP($A121,[1]!AecoCurve,5))</f>
        <v>2.7685</v>
      </c>
      <c r="E121" s="517" t="n">
        <v>-0.0290031466905568</v>
      </c>
      <c r="F121" s="503" t="n">
        <f aca="false">IF(shiftswitch2=1,IF(F120+$D$8*(D121-F120)+($E$8*(F120^$F$8)*E121)+(1-$D$8)*(D121-D120)&lt;0,0.01,F120+$D$8*(D121-F120)+($E$8*(F120^$F$8)*E121)+(1-$D$8)*(D121-D120)),IF(F120+$D$10*(C121-F120)+($E$10*(F120^$F$10)*E121)+(1-$D$10)*(C121-C120)&lt;0,0.01,F120+$D$10*(C121-F120)+($E$10*(F120^$F$10)*E121)+(1-$D$10)*(C121-C120)))</f>
        <v>2.74969954499766</v>
      </c>
      <c r="G121" s="503"/>
      <c r="H121" s="504" t="n">
        <v>18.795</v>
      </c>
      <c r="I121" s="501" t="n">
        <f aca="false">IF(OilSwitch=0,VLOOKUP($A121,[1]!OilCurve,4),VLOOKUP($A121,[1]!BrentCurve,4))</f>
        <v>19.7775</v>
      </c>
      <c r="J121" s="517" t="n">
        <v>0.0464065192650487</v>
      </c>
      <c r="K121" s="503" t="n">
        <f aca="false">IF(shiftswitch2=1,K120+$D$9*(I121-K120)+($E$9*(K120^$F$9)*J121)+(1-$D$9)*(I121-I120),K120+$D$11*(H121-K120)+($E$11*(K120^$F$11)*J121)+(1-$D$11)*(H121-H120))</f>
        <v>18.7848280936309</v>
      </c>
      <c r="M121" s="503"/>
      <c r="AP121" s="454"/>
      <c r="AQ121" s="454"/>
      <c r="AR121" s="454"/>
      <c r="AS121" s="454"/>
    </row>
    <row r="122" customFormat="false" ht="10.5" hidden="false" customHeight="false" outlineLevel="0" collapsed="false">
      <c r="A122" s="498" t="n">
        <v>38078</v>
      </c>
      <c r="B122" s="499" t="n">
        <f aca="false">YEAR(A122)</f>
        <v>2004</v>
      </c>
      <c r="C122" s="500" t="n">
        <v>2.7275</v>
      </c>
      <c r="D122" s="501" t="n">
        <f aca="false">IF(GasSwitch=0,VLOOKUP($A122,[1]!GasCurve,4),VLOOKUP($A122,[1]!AecoCurve,5))</f>
        <v>2.6715</v>
      </c>
      <c r="E122" s="517" t="n">
        <v>-0.0277596243844366</v>
      </c>
      <c r="F122" s="503" t="n">
        <f aca="false">IF(shiftswitch2=1,IF(F121+$D$8*(D122-F121)+($E$8*(F121^$F$8)*E122)+(1-$D$8)*(D122-D121)&lt;0,0.01,F121+$D$8*(D122-F121)+($E$8*(F121^$F$8)*E122)+(1-$D$8)*(D122-D121)),IF(F121+$D$10*(C122-F121)+($E$10*(F121^$F$10)*E122)+(1-$D$10)*(C122-C121)&lt;0,0.01,F121+$D$10*(C122-F121)+($E$10*(F121^$F$10)*E122)+(1-$D$10)*(C122-C121)))</f>
        <v>2.69663967507375</v>
      </c>
      <c r="G122" s="503"/>
      <c r="H122" s="504" t="n">
        <v>18.7866666666667</v>
      </c>
      <c r="I122" s="501" t="n">
        <f aca="false">IF(OilSwitch=0,VLOOKUP($A122,[1]!OilCurve,4),VLOOKUP($A122,[1]!BrentCurve,4))</f>
        <v>19.7633333333333</v>
      </c>
      <c r="J122" s="517" t="n">
        <v>-0.038712058759832</v>
      </c>
      <c r="K122" s="503" t="n">
        <f aca="false">IF(shiftswitch2=1,K121+$D$9*(I122-K121)+($E$9*(K121^$F$9)*J122)+(1-$D$9)*(I122-I121),K121+$D$11*(H122-K121)+($E$11*(K121^$F$11)*J122)+(1-$D$11)*(H122-H121))</f>
        <v>18.7130849132518</v>
      </c>
      <c r="M122" s="503"/>
      <c r="AP122" s="454"/>
      <c r="AQ122" s="454"/>
      <c r="AR122" s="454"/>
      <c r="AS122" s="454"/>
    </row>
    <row r="123" customFormat="false" ht="10.5" hidden="false" customHeight="false" outlineLevel="0" collapsed="false">
      <c r="A123" s="498" t="n">
        <v>38108</v>
      </c>
      <c r="B123" s="499" t="n">
        <f aca="false">YEAR(A123)</f>
        <v>2004</v>
      </c>
      <c r="C123" s="500" t="n">
        <v>2.7015</v>
      </c>
      <c r="D123" s="501" t="n">
        <f aca="false">IF(GasSwitch=0,VLOOKUP($A123,[1]!GasCurve,4),VLOOKUP($A123,[1]!AecoCurve,5))</f>
        <v>2.6725</v>
      </c>
      <c r="E123" s="517" t="n">
        <v>0.0645290252628454</v>
      </c>
      <c r="F123" s="503" t="n">
        <f aca="false">IF(shiftswitch2=1,IF(F122+$D$8*(D123-F122)+($E$8*(F122^$F$8)*E123)+(1-$D$8)*(D123-D122)&lt;0,0.01,F122+$D$8*(D123-F122)+($E$8*(F122^$F$8)*E123)+(1-$D$8)*(D123-D122)),IF(F122+$D$10*(C123-F122)+($E$10*(F122^$F$10)*E123)+(1-$D$10)*(C123-C122)&lt;0,0.01,F122+$D$10*(C123-F122)+($E$10*(F122^$F$10)*E123)+(1-$D$10)*(C123-C122)))</f>
        <v>2.71614859929539</v>
      </c>
      <c r="G123" s="503"/>
      <c r="H123" s="504" t="n">
        <v>18.7783333333333</v>
      </c>
      <c r="I123" s="501" t="n">
        <f aca="false">IF(OilSwitch=0,VLOOKUP($A123,[1]!OilCurve,4),VLOOKUP($A123,[1]!BrentCurve,4))</f>
        <v>19.7491666666667</v>
      </c>
      <c r="J123" s="517" t="n">
        <v>-0.0210752469611673</v>
      </c>
      <c r="K123" s="503" t="n">
        <f aca="false">IF(shiftswitch2=1,K122+$D$9*(I123-K122)+($E$9*(K122^$F$9)*J123)+(1-$D$9)*(I123-I122),K122+$D$11*(H123-K122)+($E$11*(K122^$F$11)*J123)+(1-$D$11)*(H123-H122))</f>
        <v>18.6769669625631</v>
      </c>
      <c r="M123" s="503"/>
      <c r="AP123" s="454"/>
      <c r="AQ123" s="454"/>
      <c r="AR123" s="454"/>
      <c r="AS123" s="454"/>
    </row>
    <row r="124" customFormat="false" ht="10.5" hidden="false" customHeight="false" outlineLevel="0" collapsed="false">
      <c r="A124" s="498" t="n">
        <v>38139</v>
      </c>
      <c r="B124" s="499" t="n">
        <f aca="false">YEAR(A124)</f>
        <v>2004</v>
      </c>
      <c r="C124" s="500" t="n">
        <v>2.7075</v>
      </c>
      <c r="D124" s="501" t="n">
        <f aca="false">IF(GasSwitch=0,VLOOKUP($A124,[1]!GasCurve,4),VLOOKUP($A124,[1]!AecoCurve,5))</f>
        <v>2.6825</v>
      </c>
      <c r="E124" s="517" t="n">
        <v>-0.0243421198967898</v>
      </c>
      <c r="F124" s="503" t="n">
        <f aca="false">IF(shiftswitch2=1,IF(F123+$D$8*(D124-F123)+($E$8*(F123^$F$8)*E124)+(1-$D$8)*(D124-D123)&lt;0,0.01,F123+$D$8*(D124-F123)+($E$8*(F123^$F$8)*E124)+(1-$D$8)*(D124-D123)),IF(F123+$D$10*(C124-F123)+($E$10*(F123^$F$10)*E124)+(1-$D$10)*(C124-C123)&lt;0,0.01,F123+$D$10*(C124-F123)+($E$10*(F123^$F$10)*E124)+(1-$D$10)*(C124-C123)))</f>
        <v>2.70373865318562</v>
      </c>
      <c r="G124" s="503"/>
      <c r="H124" s="504" t="n">
        <v>18.77</v>
      </c>
      <c r="I124" s="501" t="n">
        <f aca="false">IF(OilSwitch=0,VLOOKUP($A124,[1]!OilCurve,4),VLOOKUP($A124,[1]!BrentCurve,4))</f>
        <v>19.735</v>
      </c>
      <c r="J124" s="517" t="n">
        <v>0.0626503869667772</v>
      </c>
      <c r="K124" s="503" t="n">
        <f aca="false">IF(shiftswitch2=1,K123+$D$9*(I124-K123)+($E$9*(K123^$F$9)*J124)+(1-$D$9)*(I124-I123),K123+$D$11*(H124-K123)+($E$11*(K123^$F$11)*J124)+(1-$D$11)*(H124-H123))</f>
        <v>18.7829191438487</v>
      </c>
      <c r="M124" s="503"/>
      <c r="AP124" s="454"/>
      <c r="AQ124" s="454"/>
      <c r="AR124" s="454"/>
      <c r="AS124" s="454"/>
    </row>
    <row r="125" customFormat="false" ht="10.5" hidden="false" customHeight="false" outlineLevel="0" collapsed="false">
      <c r="A125" s="498" t="n">
        <v>38169</v>
      </c>
      <c r="B125" s="499" t="n">
        <f aca="false">YEAR(A125)</f>
        <v>2004</v>
      </c>
      <c r="C125" s="500" t="n">
        <v>2.7175</v>
      </c>
      <c r="D125" s="501" t="n">
        <f aca="false">IF(GasSwitch=0,VLOOKUP($A125,[1]!GasCurve,4),VLOOKUP($A125,[1]!AecoCurve,5))</f>
        <v>2.6935</v>
      </c>
      <c r="E125" s="517" t="n">
        <v>-0.0288751291920226</v>
      </c>
      <c r="F125" s="503" t="n">
        <f aca="false">IF(shiftswitch2=1,IF(F124+$D$8*(D125-F124)+($E$8*(F124^$F$8)*E125)+(1-$D$8)*(D125-D124)&lt;0,0.01,F124+$D$8*(D125-F124)+($E$8*(F124^$F$8)*E125)+(1-$D$8)*(D125-D124)),IF(F124+$D$10*(C125-F124)+($E$10*(F124^$F$10)*E125)+(1-$D$10)*(C125-C124)&lt;0,0.01,F124+$D$10*(C125-F124)+($E$10*(F124^$F$10)*E125)+(1-$D$10)*(C125-C124)))</f>
        <v>2.70035159295494</v>
      </c>
      <c r="G125" s="503"/>
      <c r="H125" s="504" t="n">
        <v>18.7616666666667</v>
      </c>
      <c r="I125" s="501" t="n">
        <f aca="false">IF(OilSwitch=0,VLOOKUP($A125,[1]!OilCurve,4),VLOOKUP($A125,[1]!BrentCurve,4))</f>
        <v>19.7208333333333</v>
      </c>
      <c r="J125" s="517" t="n">
        <v>0.0158330265372545</v>
      </c>
      <c r="K125" s="503" t="n">
        <f aca="false">IF(shiftswitch2=1,K124+$D$9*(I125-K124)+($E$9*(K124^$F$9)*J125)+(1-$D$9)*(I125-I124),K124+$D$11*(H125-K124)+($E$11*(K124^$F$11)*J125)+(1-$D$11)*(H125-H124))</f>
        <v>18.7996529714324</v>
      </c>
      <c r="M125" s="503"/>
      <c r="AP125" s="454"/>
      <c r="AQ125" s="454"/>
      <c r="AR125" s="454"/>
      <c r="AS125" s="454"/>
    </row>
    <row r="126" customFormat="false" ht="10.5" hidden="false" customHeight="false" outlineLevel="0" collapsed="false">
      <c r="A126" s="498" t="n">
        <v>38200</v>
      </c>
      <c r="B126" s="499" t="n">
        <f aca="false">YEAR(A126)</f>
        <v>2004</v>
      </c>
      <c r="C126" s="500" t="n">
        <v>2.7245</v>
      </c>
      <c r="D126" s="501" t="n">
        <f aca="false">IF(GasSwitch=0,VLOOKUP($A126,[1]!GasCurve,4),VLOOKUP($A126,[1]!AecoCurve,5))</f>
        <v>2.7025</v>
      </c>
      <c r="E126" s="517" t="n">
        <v>-0.0015729526152293</v>
      </c>
      <c r="F126" s="503" t="n">
        <f aca="false">IF(shiftswitch2=1,IF(F125+$D$8*(D126-F125)+($E$8*(F125^$F$8)*E126)+(1-$D$8)*(D126-D125)&lt;0,0.01,F125+$D$8*(D126-F125)+($E$8*(F125^$F$8)*E126)+(1-$D$8)*(D126-D125)),IF(F125+$D$10*(C126-F125)+($E$10*(F125^$F$10)*E126)+(1-$D$10)*(C126-C125)&lt;0,0.01,F125+$D$10*(C126-F125)+($E$10*(F125^$F$10)*E126)+(1-$D$10)*(C126-C125)))</f>
        <v>2.71336975598253</v>
      </c>
      <c r="G126" s="503"/>
      <c r="H126" s="504" t="n">
        <v>18.7533333333333</v>
      </c>
      <c r="I126" s="501" t="n">
        <f aca="false">IF(OilSwitch=0,VLOOKUP($A126,[1]!OilCurve,4),VLOOKUP($A126,[1]!BrentCurve,4))</f>
        <v>19.7066666666667</v>
      </c>
      <c r="J126" s="517" t="n">
        <v>0.0283065292700024</v>
      </c>
      <c r="K126" s="503" t="n">
        <f aca="false">IF(shiftswitch2=1,K125+$D$9*(I126-K125)+($E$9*(K125^$F$9)*J126)+(1-$D$9)*(I126-I125),K125+$D$11*(H126-K125)+($E$11*(K125^$F$11)*J126)+(1-$D$11)*(H126-H125))</f>
        <v>18.8346610586325</v>
      </c>
      <c r="M126" s="503"/>
      <c r="AP126" s="454"/>
      <c r="AQ126" s="454"/>
      <c r="AR126" s="454"/>
      <c r="AS126" s="454"/>
    </row>
    <row r="127" customFormat="false" ht="10.5" hidden="false" customHeight="false" outlineLevel="0" collapsed="false">
      <c r="A127" s="498" t="n">
        <v>38231</v>
      </c>
      <c r="B127" s="499" t="n">
        <f aca="false">YEAR(A127)</f>
        <v>2004</v>
      </c>
      <c r="C127" s="500" t="n">
        <v>2.7315</v>
      </c>
      <c r="D127" s="501" t="n">
        <f aca="false">IF(GasSwitch=0,VLOOKUP($A127,[1]!GasCurve,4),VLOOKUP($A127,[1]!AecoCurve,5))</f>
        <v>2.7085</v>
      </c>
      <c r="E127" s="517" t="n">
        <v>-0.0202957859850472</v>
      </c>
      <c r="F127" s="503" t="n">
        <f aca="false">IF(shiftswitch2=1,IF(F126+$D$8*(D127-F126)+($E$8*(F126^$F$8)*E127)+(1-$D$8)*(D127-D126)&lt;0,0.01,F126+$D$8*(D127-F126)+($E$8*(F126^$F$8)*E127)+(1-$D$8)*(D127-D126)),IF(F126+$D$10*(C127-F126)+($E$10*(F126^$F$10)*E127)+(1-$D$10)*(C127-C126)&lt;0,0.01,F126+$D$10*(C127-F126)+($E$10*(F126^$F$10)*E127)+(1-$D$10)*(C127-C126)))</f>
        <v>2.71432093525946</v>
      </c>
      <c r="G127" s="503"/>
      <c r="H127" s="504" t="n">
        <v>18.745</v>
      </c>
      <c r="I127" s="501" t="n">
        <f aca="false">IF(OilSwitch=0,VLOOKUP($A127,[1]!OilCurve,4),VLOOKUP($A127,[1]!BrentCurve,4))</f>
        <v>19.6925</v>
      </c>
      <c r="J127" s="517" t="n">
        <v>-0.00950547895816951</v>
      </c>
      <c r="K127" s="503" t="n">
        <f aca="false">IF(shiftswitch2=1,K126+$D$9*(I127-K126)+($E$9*(K126^$F$9)*J127)+(1-$D$9)*(I127-I126),K126+$D$11*(H127-K126)+($E$11*(K126^$F$11)*J127)+(1-$D$11)*(H127-H126))</f>
        <v>18.8024591635082</v>
      </c>
      <c r="M127" s="503"/>
      <c r="AP127" s="454"/>
      <c r="AQ127" s="454"/>
      <c r="AR127" s="454"/>
      <c r="AS127" s="454"/>
    </row>
    <row r="128" customFormat="false" ht="10.5" hidden="false" customHeight="false" outlineLevel="0" collapsed="false">
      <c r="A128" s="498" t="n">
        <v>38261</v>
      </c>
      <c r="B128" s="499" t="n">
        <f aca="false">YEAR(A128)</f>
        <v>2004</v>
      </c>
      <c r="C128" s="500" t="n">
        <v>2.7575</v>
      </c>
      <c r="D128" s="501" t="n">
        <f aca="false">IF(GasSwitch=0,VLOOKUP($A128,[1]!GasCurve,4),VLOOKUP($A128,[1]!AecoCurve,5))</f>
        <v>2.7345</v>
      </c>
      <c r="E128" s="517" t="n">
        <v>-0.0167285851975033</v>
      </c>
      <c r="F128" s="503" t="n">
        <f aca="false">IF(shiftswitch2=1,IF(F127+$D$8*(D128-F127)+($E$8*(F127^$F$8)*E128)+(1-$D$8)*(D128-D127)&lt;0,0.01,F127+$D$8*(D128-F127)+($E$8*(F127^$F$8)*E128)+(1-$D$8)*(D128-D127)),IF(F127+$D$10*(C128-F127)+($E$10*(F127^$F$10)*E128)+(1-$D$10)*(C128-C127)&lt;0,0.01,F127+$D$10*(C128-F127)+($E$10*(F127^$F$10)*E128)+(1-$D$10)*(C128-C127)))</f>
        <v>2.73852136800555</v>
      </c>
      <c r="G128" s="503"/>
      <c r="H128" s="504" t="n">
        <v>18.7366666666667</v>
      </c>
      <c r="I128" s="501" t="n">
        <f aca="false">IF(OilSwitch=0,VLOOKUP($A128,[1]!OilCurve,4),VLOOKUP($A128,[1]!BrentCurve,4))</f>
        <v>19.6783333333333</v>
      </c>
      <c r="J128" s="517" t="n">
        <v>-0.00268491373366278</v>
      </c>
      <c r="K128" s="503" t="n">
        <f aca="false">IF(shiftswitch2=1,K127+$D$9*(I128-K127)+($E$9*(K127^$F$9)*J128)+(1-$D$9)*(I128-I127),K127+$D$11*(H128-K127)+($E$11*(K127^$F$11)*J128)+(1-$D$11)*(H128-H127))</f>
        <v>18.7839696765347</v>
      </c>
      <c r="M128" s="503"/>
      <c r="AP128" s="454"/>
      <c r="AQ128" s="454"/>
      <c r="AR128" s="454"/>
      <c r="AS128" s="454"/>
    </row>
    <row r="129" customFormat="false" ht="10.5" hidden="false" customHeight="false" outlineLevel="0" collapsed="false">
      <c r="A129" s="498" t="n">
        <v>38292</v>
      </c>
      <c r="B129" s="499" t="n">
        <f aca="false">YEAR(A129)</f>
        <v>2004</v>
      </c>
      <c r="C129" s="500" t="n">
        <v>2.8925</v>
      </c>
      <c r="D129" s="501" t="n">
        <f aca="false">IF(GasSwitch=0,VLOOKUP($A129,[1]!GasCurve,4),VLOOKUP($A129,[1]!AecoCurve,5))</f>
        <v>2.8655</v>
      </c>
      <c r="E129" s="517" t="n">
        <v>-0.0595629434124689</v>
      </c>
      <c r="F129" s="503" t="n">
        <f aca="false">IF(shiftswitch2=1,IF(F128+$D$8*(D129-F128)+($E$8*(F128^$F$8)*E129)+(1-$D$8)*(D129-D128)&lt;0,0.01,F128+$D$8*(D129-F128)+($E$8*(F128^$F$8)*E129)+(1-$D$8)*(D129-D128)),IF(F128+$D$10*(C129-F128)+($E$10*(F128^$F$10)*E129)+(1-$D$10)*(C129-C128)&lt;0,0.01,F128+$D$10*(C129-F128)+($E$10*(F128^$F$10)*E129)+(1-$D$10)*(C129-C128)))</f>
        <v>2.85017771411061</v>
      </c>
      <c r="G129" s="503"/>
      <c r="H129" s="504" t="n">
        <v>18.7283333333333</v>
      </c>
      <c r="I129" s="501" t="n">
        <f aca="false">IF(OilSwitch=0,VLOOKUP($A129,[1]!OilCurve,4),VLOOKUP($A129,[1]!BrentCurve,4))</f>
        <v>19.6641666666667</v>
      </c>
      <c r="J129" s="517" t="n">
        <v>0.00962738815751887</v>
      </c>
      <c r="K129" s="503" t="n">
        <f aca="false">IF(shiftswitch2=1,K128+$D$9*(I129-K128)+($E$9*(K128^$F$9)*J129)+(1-$D$9)*(I129-I128),K128+$D$11*(H129-K128)+($E$11*(K128^$F$11)*J129)+(1-$D$11)*(H129-H128))</f>
        <v>18.7869733191185</v>
      </c>
      <c r="M129" s="503"/>
      <c r="AP129" s="454"/>
      <c r="AQ129" s="454"/>
      <c r="AR129" s="454"/>
      <c r="AS129" s="454"/>
    </row>
    <row r="130" customFormat="false" ht="10.5" hidden="false" customHeight="false" outlineLevel="0" collapsed="false">
      <c r="A130" s="498" t="n">
        <v>38322</v>
      </c>
      <c r="B130" s="499" t="n">
        <f aca="false">YEAR(A130)</f>
        <v>2004</v>
      </c>
      <c r="C130" s="500" t="n">
        <v>3.0165</v>
      </c>
      <c r="D130" s="501" t="n">
        <f aca="false">IF(GasSwitch=0,VLOOKUP($A130,[1]!GasCurve,4),VLOOKUP($A130,[1]!AecoCurve,5))</f>
        <v>2.9885</v>
      </c>
      <c r="E130" s="517" t="n">
        <v>-0.0225822268486565</v>
      </c>
      <c r="F130" s="503" t="n">
        <f aca="false">IF(shiftswitch2=1,IF(F129+$D$8*(D130-F129)+($E$8*(F129^$F$8)*E130)+(1-$D$8)*(D130-D129)&lt;0,0.01,F129+$D$8*(D130-F129)+($E$8*(F129^$F$8)*E130)+(1-$D$8)*(D130-D129)),IF(F129+$D$10*(C130-F129)+($E$10*(F129^$F$10)*E130)+(1-$D$10)*(C130-C129)&lt;0,0.01,F129+$D$10*(C130-F129)+($E$10*(F129^$F$10)*E130)+(1-$D$10)*(C130-C129)))</f>
        <v>2.9790784567057</v>
      </c>
      <c r="G130" s="503"/>
      <c r="H130" s="504" t="n">
        <v>18.72</v>
      </c>
      <c r="I130" s="501" t="n">
        <f aca="false">IF(OilSwitch=0,VLOOKUP($A130,[1]!OilCurve,4),VLOOKUP($A130,[1]!BrentCurve,4))</f>
        <v>19.65</v>
      </c>
      <c r="J130" s="517" t="n">
        <v>0.00123636296797179</v>
      </c>
      <c r="K130" s="503" t="n">
        <f aca="false">IF(shiftswitch2=1,K129+$D$9*(I130-K129)+($E$9*(K129^$F$9)*J130)+(1-$D$9)*(I130-I129),K129+$D$11*(H130-K129)+($E$11*(K129^$F$11)*J130)+(1-$D$11)*(H130-H129))</f>
        <v>18.7748919351712</v>
      </c>
      <c r="M130" s="503"/>
      <c r="AP130" s="454"/>
      <c r="AQ130" s="454"/>
      <c r="AR130" s="454"/>
      <c r="AS130" s="454"/>
    </row>
    <row r="131" customFormat="false" ht="10.5" hidden="false" customHeight="false" outlineLevel="0" collapsed="false">
      <c r="A131" s="498" t="n">
        <v>38353</v>
      </c>
      <c r="B131" s="512" t="n">
        <f aca="false">YEAR(A131)</f>
        <v>2005</v>
      </c>
      <c r="C131" s="513" t="n">
        <v>3.065</v>
      </c>
      <c r="D131" s="501" t="n">
        <f aca="false">IF(GasSwitch=0,VLOOKUP($A131,[1]!GasCurve,4),VLOOKUP($A131,[1]!AecoCurve,5))</f>
        <v>3.029</v>
      </c>
      <c r="E131" s="517" t="n">
        <v>-0.00263869993051979</v>
      </c>
      <c r="F131" s="503" t="n">
        <f aca="false">IF(shiftswitch2=1,IF(F130+$D$8*(D131-F130)+($E$8*(F130^$F$8)*E131)+(1-$D$8)*(D131-D130)&lt;0,0.01,F130+$D$8*(D131-F130)+($E$8*(F130^$F$8)*E131)+(1-$D$8)*(D131-D130)),IF(F130+$D$10*(C131-F130)+($E$10*(F130^$F$10)*E131)+(1-$D$10)*(C131-C130)&lt;0,0.01,F130+$D$10*(C131-F130)+($E$10*(F130^$F$10)*E131)+(1-$D$10)*(C131-C130)))</f>
        <v>3.04105191148566</v>
      </c>
      <c r="G131" s="503"/>
      <c r="H131" s="516" t="n">
        <v>18.7175</v>
      </c>
      <c r="I131" s="501" t="n">
        <f aca="false">IF(OilSwitch=0,VLOOKUP($A131,[1]!OilCurve,4),VLOOKUP($A131,[1]!BrentCurve,4))</f>
        <v>19.6441666666667</v>
      </c>
      <c r="J131" s="518" t="n">
        <v>0.0200067577750498</v>
      </c>
      <c r="K131" s="515" t="n">
        <f aca="false">IF(shiftswitch2=1,K130+$D$9*(I131-K130)+($E$9*(K130^$F$9)*J131)+(1-$D$9)*(I131-I130),K130+$D$11*(H131-K130)+($E$11*(K130^$F$11)*J131)+(1-$D$11)*(H131-H130))</f>
        <v>18.8002488785269</v>
      </c>
      <c r="M131" s="503"/>
      <c r="AP131" s="454"/>
      <c r="AQ131" s="454"/>
      <c r="AR131" s="454"/>
      <c r="AS131" s="454"/>
    </row>
    <row r="132" customFormat="false" ht="10.5" hidden="false" customHeight="false" outlineLevel="0" collapsed="false">
      <c r="A132" s="498" t="n">
        <v>38384</v>
      </c>
      <c r="B132" s="499" t="n">
        <f aca="false">YEAR(A132)</f>
        <v>2005</v>
      </c>
      <c r="C132" s="500" t="n">
        <v>2.947</v>
      </c>
      <c r="D132" s="501" t="n">
        <f aca="false">IF(GasSwitch=0,VLOOKUP($A132,[1]!GasCurve,4),VLOOKUP($A132,[1]!AecoCurve,5))</f>
        <v>2.924</v>
      </c>
      <c r="E132" s="517" t="n">
        <v>-0.0128062732413448</v>
      </c>
      <c r="F132" s="503" t="n">
        <f aca="false">IF(shiftswitch2=1,IF(F131+$D$8*(D132-F131)+($E$8*(F131^$F$8)*E132)+(1-$D$8)*(D132-D131)&lt;0,0.01,F131+$D$8*(D132-F131)+($E$8*(F131^$F$8)*E132)+(1-$D$8)*(D132-D131)),IF(F131+$D$10*(C132-F131)+($E$10*(F131^$F$10)*E132)+(1-$D$10)*(C132-C131)&lt;0,0.01,F131+$D$10*(C132-F131)+($E$10*(F131^$F$10)*E132)+(1-$D$10)*(C132-C131)))</f>
        <v>2.92558684449398</v>
      </c>
      <c r="G132" s="503"/>
      <c r="H132" s="504" t="n">
        <v>18.715</v>
      </c>
      <c r="I132" s="501" t="n">
        <f aca="false">IF(OilSwitch=0,VLOOKUP($A132,[1]!OilCurve,4),VLOOKUP($A132,[1]!BrentCurve,4))</f>
        <v>19.6383333333333</v>
      </c>
      <c r="J132" s="517" t="n">
        <v>-0.00617528202511724</v>
      </c>
      <c r="K132" s="503" t="n">
        <f aca="false">IF(shiftswitch2=1,K131+$D$9*(I132-K131)+($E$9*(K131^$F$9)*J132)+(1-$D$9)*(I132-I131),K131+$D$11*(H132-K131)+($E$11*(K131^$F$11)*J132)+(1-$D$11)*(H132-H131))</f>
        <v>18.779281070263</v>
      </c>
      <c r="M132" s="503"/>
      <c r="AP132" s="454"/>
      <c r="AQ132" s="454"/>
      <c r="AR132" s="454"/>
      <c r="AS132" s="454"/>
    </row>
    <row r="133" customFormat="false" ht="10.5" hidden="false" customHeight="false" outlineLevel="0" collapsed="false">
      <c r="A133" s="498" t="n">
        <v>38412</v>
      </c>
      <c r="B133" s="499" t="n">
        <f aca="false">YEAR(A133)</f>
        <v>2005</v>
      </c>
      <c r="C133" s="500" t="n">
        <v>2.827</v>
      </c>
      <c r="D133" s="501" t="n">
        <f aca="false">IF(GasSwitch=0,VLOOKUP($A133,[1]!GasCurve,4),VLOOKUP($A133,[1]!AecoCurve,5))</f>
        <v>2.815</v>
      </c>
      <c r="E133" s="517" t="n">
        <v>-0.0218578794844533</v>
      </c>
      <c r="F133" s="503" t="n">
        <f aca="false">IF(shiftswitch2=1,IF(F132+$D$8*(D133-F132)+($E$8*(F132^$F$8)*E133)+(1-$D$8)*(D133-D132)&lt;0,0.01,F132+$D$8*(D133-F132)+($E$8*(F132^$F$8)*E133)+(1-$D$8)*(D133-D132)),IF(F132+$D$10*(C133-F132)+($E$10*(F132^$F$10)*E133)+(1-$D$10)*(C133-C132)&lt;0,0.01,F132+$D$10*(C133-F132)+($E$10*(F132^$F$10)*E133)+(1-$D$10)*(C133-C132)))</f>
        <v>2.80239290297211</v>
      </c>
      <c r="G133" s="503"/>
      <c r="H133" s="504" t="n">
        <v>18.7125</v>
      </c>
      <c r="I133" s="501" t="n">
        <f aca="false">IF(OilSwitch=0,VLOOKUP($A133,[1]!OilCurve,4),VLOOKUP($A133,[1]!BrentCurve,4))</f>
        <v>19.6325</v>
      </c>
      <c r="J133" s="517" t="n">
        <v>-0.0169552462308828</v>
      </c>
      <c r="K133" s="503" t="n">
        <f aca="false">IF(shiftswitch2=1,K132+$D$9*(I133-K132)+($E$9*(K132^$F$9)*J133)+(1-$D$9)*(I133-I132),K132+$D$11*(H133-K132)+($E$11*(K132^$F$11)*J133)+(1-$D$11)*(H133-H132))</f>
        <v>18.7422037145787</v>
      </c>
      <c r="M133" s="503"/>
      <c r="AP133" s="454"/>
      <c r="AQ133" s="454"/>
      <c r="AR133" s="454"/>
      <c r="AS133" s="454"/>
    </row>
    <row r="134" customFormat="false" ht="10.5" hidden="false" customHeight="false" outlineLevel="0" collapsed="false">
      <c r="A134" s="498" t="n">
        <v>38443</v>
      </c>
      <c r="B134" s="499" t="n">
        <f aca="false">YEAR(A134)</f>
        <v>2005</v>
      </c>
      <c r="C134" s="500" t="n">
        <v>2.7775</v>
      </c>
      <c r="D134" s="501" t="n">
        <f aca="false">IF(GasSwitch=0,VLOOKUP($A134,[1]!GasCurve,4),VLOOKUP($A134,[1]!AecoCurve,5))</f>
        <v>2.721</v>
      </c>
      <c r="E134" s="517" t="n">
        <v>-0.0114502901860114</v>
      </c>
      <c r="F134" s="503" t="n">
        <f aca="false">IF(shiftswitch2=1,IF(F133+$D$8*(D134-F133)+($E$8*(F133^$F$8)*E134)+(1-$D$8)*(D134-D133)&lt;0,0.01,F133+$D$8*(D134-F133)+($E$8*(F133^$F$8)*E134)+(1-$D$8)*(D134-D133)),IF(F133+$D$10*(C134-F133)+($E$10*(F133^$F$10)*E134)+(1-$D$10)*(C134-C133)&lt;0,0.01,F133+$D$10*(C134-F133)+($E$10*(F133^$F$10)*E134)+(1-$D$10)*(C134-C133)))</f>
        <v>2.75668222282931</v>
      </c>
      <c r="G134" s="503"/>
      <c r="H134" s="504" t="n">
        <v>18.71</v>
      </c>
      <c r="I134" s="501" t="n">
        <f aca="false">IF(OilSwitch=0,VLOOKUP($A134,[1]!OilCurve,4),VLOOKUP($A134,[1]!BrentCurve,4))</f>
        <v>19.6266666666667</v>
      </c>
      <c r="J134" s="517" t="n">
        <v>-0.0165057344614334</v>
      </c>
      <c r="K134" s="503" t="n">
        <f aca="false">IF(shiftswitch2=1,K133+$D$9*(I134-K133)+($E$9*(K133^$F$9)*J134)+(1-$D$9)*(I134-I133),K133+$D$11*(H134-K133)+($E$11*(K133^$F$11)*J134)+(1-$D$11)*(H134-H133))</f>
        <v>18.7092975046916</v>
      </c>
      <c r="M134" s="503"/>
      <c r="AP134" s="454"/>
      <c r="AQ134" s="454"/>
      <c r="AR134" s="454"/>
      <c r="AS134" s="454"/>
    </row>
    <row r="135" customFormat="false" ht="10.5" hidden="false" customHeight="false" outlineLevel="0" collapsed="false">
      <c r="A135" s="498" t="n">
        <v>38473</v>
      </c>
      <c r="B135" s="499" t="n">
        <f aca="false">YEAR(A135)</f>
        <v>2005</v>
      </c>
      <c r="C135" s="500" t="n">
        <v>2.7515</v>
      </c>
      <c r="D135" s="501" t="n">
        <f aca="false">IF(GasSwitch=0,VLOOKUP($A135,[1]!GasCurve,4),VLOOKUP($A135,[1]!AecoCurve,5))</f>
        <v>2.723</v>
      </c>
      <c r="E135" s="517" t="n">
        <v>-0.0215836499872639</v>
      </c>
      <c r="F135" s="503" t="n">
        <f aca="false">IF(shiftswitch2=1,IF(F134+$D$8*(D135-F134)+($E$8*(F134^$F$8)*E135)+(1-$D$8)*(D135-D134)&lt;0,0.01,F134+$D$8*(D135-F134)+($E$8*(F134^$F$8)*E135)+(1-$D$8)*(D135-D134)),IF(F134+$D$10*(C135-F134)+($E$10*(F134^$F$10)*E135)+(1-$D$10)*(C135-C134)&lt;0,0.01,F134+$D$10*(C135-F134)+($E$10*(F134^$F$10)*E135)+(1-$D$10)*(C135-C134)))</f>
        <v>2.72773730895276</v>
      </c>
      <c r="G135" s="503"/>
      <c r="H135" s="504" t="n">
        <v>18.7075</v>
      </c>
      <c r="I135" s="501" t="n">
        <f aca="false">IF(OilSwitch=0,VLOOKUP($A135,[1]!OilCurve,4),VLOOKUP($A135,[1]!BrentCurve,4))</f>
        <v>19.6208333333333</v>
      </c>
      <c r="J135" s="517" t="n">
        <v>0.0420753794805827</v>
      </c>
      <c r="K135" s="503" t="n">
        <f aca="false">IF(shiftswitch2=1,K134+$D$9*(I135-K134)+($E$9*(K134^$F$9)*J135)+(1-$D$9)*(I135-I134),K134+$D$11*(H135-K134)+($E$11*(K134^$F$11)*J135)+(1-$D$11)*(H135-H134))</f>
        <v>18.7768804831828</v>
      </c>
      <c r="M135" s="503"/>
      <c r="AP135" s="454"/>
      <c r="AQ135" s="454"/>
      <c r="AR135" s="454"/>
      <c r="AS135" s="454"/>
    </row>
    <row r="136" customFormat="false" ht="10.5" hidden="false" customHeight="false" outlineLevel="0" collapsed="false">
      <c r="A136" s="498" t="n">
        <v>38504</v>
      </c>
      <c r="B136" s="499" t="n">
        <f aca="false">YEAR(A136)</f>
        <v>2005</v>
      </c>
      <c r="C136" s="500" t="n">
        <v>2.7575</v>
      </c>
      <c r="D136" s="501" t="n">
        <f aca="false">IF(GasSwitch=0,VLOOKUP($A136,[1]!GasCurve,4),VLOOKUP($A136,[1]!AecoCurve,5))</f>
        <v>2.734</v>
      </c>
      <c r="E136" s="517" t="n">
        <v>-0.00490357439889764</v>
      </c>
      <c r="F136" s="503" t="n">
        <f aca="false">IF(shiftswitch2=1,IF(F135+$D$8*(D136-F135)+($E$8*(F135^$F$8)*E136)+(1-$D$8)*(D136-D135)&lt;0,0.01,F135+$D$8*(D136-F135)+($E$8*(F135^$F$8)*E136)+(1-$D$8)*(D136-D135)),IF(F135+$D$10*(C136-F135)+($E$10*(F135^$F$10)*E136)+(1-$D$10)*(C136-C135)&lt;0,0.01,F135+$D$10*(C136-F135)+($E$10*(F135^$F$10)*E136)+(1-$D$10)*(C136-C135)))</f>
        <v>2.74066067750706</v>
      </c>
      <c r="G136" s="503"/>
      <c r="H136" s="504" t="n">
        <v>18.705</v>
      </c>
      <c r="I136" s="501" t="n">
        <f aca="false">IF(OilSwitch=0,VLOOKUP($A136,[1]!OilCurve,4),VLOOKUP($A136,[1]!BrentCurve,4))</f>
        <v>19.615</v>
      </c>
      <c r="J136" s="517" t="n">
        <v>-0.00796915893339794</v>
      </c>
      <c r="K136" s="503" t="n">
        <f aca="false">IF(shiftswitch2=1,K135+$D$9*(I136-K135)+($E$9*(K135^$F$9)*J136)+(1-$D$9)*(I136-I135),K135+$D$11*(H136-K135)+($E$11*(K135^$F$11)*J136)+(1-$D$11)*(H136-H135))</f>
        <v>18.7542511348826</v>
      </c>
      <c r="M136" s="503"/>
      <c r="AP136" s="454"/>
      <c r="AQ136" s="454"/>
      <c r="AR136" s="454"/>
      <c r="AS136" s="454"/>
    </row>
    <row r="137" customFormat="false" ht="10.5" hidden="false" customHeight="false" outlineLevel="0" collapsed="false">
      <c r="A137" s="498" t="n">
        <v>38534</v>
      </c>
      <c r="B137" s="499" t="n">
        <f aca="false">YEAR(A137)</f>
        <v>2005</v>
      </c>
      <c r="C137" s="500" t="n">
        <v>2.7675</v>
      </c>
      <c r="D137" s="501" t="n">
        <f aca="false">IF(GasSwitch=0,VLOOKUP($A137,[1]!GasCurve,4),VLOOKUP($A137,[1]!AecoCurve,5))</f>
        <v>2.745</v>
      </c>
      <c r="E137" s="517" t="n">
        <v>-0.0212424091241118</v>
      </c>
      <c r="F137" s="503" t="n">
        <f aca="false">IF(shiftswitch2=1,IF(F136+$D$8*(D137-F136)+($E$8*(F136^$F$8)*E137)+(1-$D$8)*(D137-D136)&lt;0,0.01,F136+$D$8*(D137-F136)+($E$8*(F136^$F$8)*E137)+(1-$D$8)*(D137-D136)),IF(F136+$D$10*(C137-F136)+($E$10*(F136^$F$10)*E137)+(1-$D$10)*(C137-C136)&lt;0,0.01,F136+$D$10*(C137-F136)+($E$10*(F136^$F$10)*E137)+(1-$D$10)*(C137-C136)))</f>
        <v>2.74634134068684</v>
      </c>
      <c r="G137" s="503"/>
      <c r="H137" s="504" t="n">
        <v>18.7025</v>
      </c>
      <c r="I137" s="501" t="n">
        <f aca="false">IF(OilSwitch=0,VLOOKUP($A137,[1]!OilCurve,4),VLOOKUP($A137,[1]!BrentCurve,4))</f>
        <v>19.6091666666667</v>
      </c>
      <c r="J137" s="517" t="n">
        <v>-0.0465104622268959</v>
      </c>
      <c r="K137" s="503" t="n">
        <f aca="false">IF(shiftswitch2=1,K136+$D$9*(I137-K136)+($E$9*(K136^$F$9)*J137)+(1-$D$9)*(I137-I136),K136+$D$11*(H137-K136)+($E$11*(K136^$F$11)*J137)+(1-$D$11)*(H137-H136))</f>
        <v>18.6694818633836</v>
      </c>
      <c r="M137" s="503"/>
      <c r="AP137" s="454"/>
      <c r="AQ137" s="454"/>
      <c r="AR137" s="454"/>
      <c r="AS137" s="454"/>
    </row>
    <row r="138" customFormat="false" ht="10.5" hidden="false" customHeight="false" outlineLevel="0" collapsed="false">
      <c r="A138" s="498" t="n">
        <v>38565</v>
      </c>
      <c r="B138" s="499" t="n">
        <f aca="false">YEAR(A138)</f>
        <v>2005</v>
      </c>
      <c r="C138" s="500" t="n">
        <v>2.7745</v>
      </c>
      <c r="D138" s="501" t="n">
        <f aca="false">IF(GasSwitch=0,VLOOKUP($A138,[1]!GasCurve,4),VLOOKUP($A138,[1]!AecoCurve,5))</f>
        <v>2.754</v>
      </c>
      <c r="E138" s="517" t="n">
        <v>-0.0160278879802799</v>
      </c>
      <c r="F138" s="503" t="n">
        <f aca="false">IF(shiftswitch2=1,IF(F137+$D$8*(D138-F137)+($E$8*(F137^$F$8)*E138)+(1-$D$8)*(D138-D137)&lt;0,0.01,F137+$D$8*(D138-F137)+($E$8*(F137^$F$8)*E138)+(1-$D$8)*(D138-D137)),IF(F137+$D$10*(C138-F137)+($E$10*(F137^$F$10)*E138)+(1-$D$10)*(C138-C137)&lt;0,0.01,F137+$D$10*(C138-F137)+($E$10*(F137^$F$10)*E138)+(1-$D$10)*(C138-C137)))</f>
        <v>2.75343967019767</v>
      </c>
      <c r="G138" s="503"/>
      <c r="H138" s="504" t="n">
        <v>18.7</v>
      </c>
      <c r="I138" s="501" t="n">
        <f aca="false">IF(OilSwitch=0,VLOOKUP($A138,[1]!OilCurve,4),VLOOKUP($A138,[1]!BrentCurve,4))</f>
        <v>19.6033333333333</v>
      </c>
      <c r="J138" s="517" t="n">
        <v>-0.0259596101486947</v>
      </c>
      <c r="K138" s="503" t="n">
        <f aca="false">IF(shiftswitch2=1,K137+$D$9*(I138-K137)+($E$9*(K137^$F$9)*J138)+(1-$D$9)*(I138-I137),K137+$D$11*(H138-K137)+($E$11*(K137^$F$11)*J138)+(1-$D$11)*(H138-H137))</f>
        <v>18.6270538676212</v>
      </c>
      <c r="M138" s="503"/>
      <c r="AP138" s="454"/>
      <c r="AQ138" s="454"/>
      <c r="AR138" s="454"/>
      <c r="AS138" s="454"/>
    </row>
    <row r="139" customFormat="false" ht="10.5" hidden="false" customHeight="false" outlineLevel="0" collapsed="false">
      <c r="A139" s="498" t="n">
        <v>38596</v>
      </c>
      <c r="B139" s="499" t="n">
        <f aca="false">YEAR(A139)</f>
        <v>2005</v>
      </c>
      <c r="C139" s="500" t="n">
        <v>2.7815</v>
      </c>
      <c r="D139" s="501" t="n">
        <f aca="false">IF(GasSwitch=0,VLOOKUP($A139,[1]!GasCurve,4),VLOOKUP($A139,[1]!AecoCurve,5))</f>
        <v>2.759</v>
      </c>
      <c r="E139" s="517" t="n">
        <v>0.00974253411444452</v>
      </c>
      <c r="F139" s="503" t="n">
        <f aca="false">IF(shiftswitch2=1,IF(F138+$D$8*(D139-F138)+($E$8*(F138^$F$8)*E139)+(1-$D$8)*(D139-D138)&lt;0,0.01,F138+$D$8*(D139-F138)+($E$8*(F138^$F$8)*E139)+(1-$D$8)*(D139-D138)),IF(F138+$D$10*(C139-F138)+($E$10*(F138^$F$10)*E139)+(1-$D$10)*(C139-C138)&lt;0,0.01,F138+$D$10*(C139-F138)+($E$10*(F138^$F$10)*E139)+(1-$D$10)*(C139-C138)))</f>
        <v>2.77389401788555</v>
      </c>
      <c r="G139" s="503"/>
      <c r="H139" s="504" t="n">
        <v>18.6975</v>
      </c>
      <c r="I139" s="501" t="n">
        <f aca="false">IF(OilSwitch=0,VLOOKUP($A139,[1]!OilCurve,4),VLOOKUP($A139,[1]!BrentCurve,4))</f>
        <v>19.5975</v>
      </c>
      <c r="J139" s="517" t="n">
        <v>0.0173587350470672</v>
      </c>
      <c r="K139" s="503" t="n">
        <f aca="false">IF(shiftswitch2=1,K138+$D$9*(I139-K138)+($E$9*(K138^$F$9)*J139)+(1-$D$9)*(I139-I138),K138+$D$11*(H139-K138)+($E$11*(K138^$F$11)*J139)+(1-$D$11)*(H139-H138))</f>
        <v>18.6606604698451</v>
      </c>
      <c r="M139" s="503"/>
      <c r="AP139" s="454"/>
      <c r="AQ139" s="454"/>
      <c r="AR139" s="454"/>
      <c r="AS139" s="454"/>
    </row>
    <row r="140" customFormat="false" ht="10.5" hidden="false" customHeight="false" outlineLevel="0" collapsed="false">
      <c r="A140" s="498" t="n">
        <v>38626</v>
      </c>
      <c r="B140" s="499" t="n">
        <f aca="false">YEAR(A140)</f>
        <v>2005</v>
      </c>
      <c r="C140" s="500" t="n">
        <v>2.8075</v>
      </c>
      <c r="D140" s="501" t="n">
        <f aca="false">IF(GasSwitch=0,VLOOKUP($A140,[1]!GasCurve,4),VLOOKUP($A140,[1]!AecoCurve,5))</f>
        <v>2.784</v>
      </c>
      <c r="E140" s="517" t="n">
        <v>0.00982752329714487</v>
      </c>
      <c r="F140" s="503" t="n">
        <f aca="false">IF(shiftswitch2=1,IF(F139+$D$8*(D140-F139)+($E$8*(F139^$F$8)*E140)+(1-$D$8)*(D140-D139)&lt;0,0.01,F139+$D$8*(D140-F139)+($E$8*(F139^$F$8)*E140)+(1-$D$8)*(D140-D139)),IF(F139+$D$10*(C140-F139)+($E$10*(F139^$F$10)*E140)+(1-$D$10)*(C140-C139)&lt;0,0.01,F139+$D$10*(C140-F139)+($E$10*(F139^$F$10)*E140)+(1-$D$10)*(C140-C139)))</f>
        <v>2.80805400995465</v>
      </c>
      <c r="G140" s="503"/>
      <c r="H140" s="504" t="n">
        <v>18.695</v>
      </c>
      <c r="I140" s="501" t="n">
        <f aca="false">IF(OilSwitch=0,VLOOKUP($A140,[1]!OilCurve,4),VLOOKUP($A140,[1]!BrentCurve,4))</f>
        <v>19.5916666666667</v>
      </c>
      <c r="J140" s="517" t="n">
        <v>0.0131431180666115</v>
      </c>
      <c r="K140" s="503" t="n">
        <f aca="false">IF(shiftswitch2=1,K139+$D$9*(I140-K139)+($E$9*(K139^$F$9)*J140)+(1-$D$9)*(I140-I139),K139+$D$11*(H140-K139)+($E$11*(K139^$F$11)*J140)+(1-$D$11)*(H140-H139))</f>
        <v>18.6836777317932</v>
      </c>
      <c r="M140" s="503"/>
      <c r="AP140" s="454"/>
      <c r="AQ140" s="454"/>
      <c r="AR140" s="454"/>
      <c r="AS140" s="454"/>
    </row>
    <row r="141" customFormat="false" ht="10.5" hidden="false" customHeight="false" outlineLevel="0" collapsed="false">
      <c r="A141" s="498" t="n">
        <v>38657</v>
      </c>
      <c r="B141" s="499" t="n">
        <f aca="false">YEAR(A141)</f>
        <v>2005</v>
      </c>
      <c r="C141" s="500" t="n">
        <v>2.9425</v>
      </c>
      <c r="D141" s="501" t="n">
        <f aca="false">IF(GasSwitch=0,VLOOKUP($A141,[1]!GasCurve,4),VLOOKUP($A141,[1]!AecoCurve,5))</f>
        <v>2.91</v>
      </c>
      <c r="E141" s="517" t="n">
        <v>-0.00849848154441495</v>
      </c>
      <c r="F141" s="503" t="n">
        <f aca="false">IF(shiftswitch2=1,IF(F140+$D$8*(D141-F140)+($E$8*(F140^$F$8)*E141)+(1-$D$8)*(D141-D140)&lt;0,0.01,F140+$D$8*(D141-F140)+($E$8*(F140^$F$8)*E141)+(1-$D$8)*(D141-D140)),IF(F140+$D$10*(C141-F140)+($E$10*(F140^$F$10)*E141)+(1-$D$10)*(C141-C140)&lt;0,0.01,F140+$D$10*(C141-F140)+($E$10*(F140^$F$10)*E141)+(1-$D$10)*(C141-C140)))</f>
        <v>2.93836881291329</v>
      </c>
      <c r="G141" s="503"/>
      <c r="H141" s="504" t="n">
        <v>18.6925</v>
      </c>
      <c r="I141" s="501" t="n">
        <f aca="false">IF(OilSwitch=0,VLOOKUP($A141,[1]!OilCurve,4),VLOOKUP($A141,[1]!BrentCurve,4))</f>
        <v>19.5858333333333</v>
      </c>
      <c r="J141" s="517" t="n">
        <v>-0.0108677394300385</v>
      </c>
      <c r="K141" s="503" t="n">
        <f aca="false">IF(shiftswitch2=1,K140+$D$9*(I141-K140)+($E$9*(K140^$F$9)*J141)+(1-$D$9)*(I141-I140),K140+$D$11*(H141-K140)+($E$11*(K140^$F$11)*J141)+(1-$D$11)*(H141-H140))</f>
        <v>18.6642147179341</v>
      </c>
      <c r="M141" s="503"/>
      <c r="AP141" s="454"/>
      <c r="AQ141" s="454"/>
      <c r="AR141" s="454"/>
      <c r="AS141" s="454"/>
    </row>
    <row r="142" customFormat="false" ht="10.5" hidden="false" customHeight="false" outlineLevel="0" collapsed="false">
      <c r="A142" s="498" t="n">
        <v>38687</v>
      </c>
      <c r="B142" s="499" t="n">
        <f aca="false">YEAR(A142)</f>
        <v>2005</v>
      </c>
      <c r="C142" s="500" t="n">
        <v>3.0665</v>
      </c>
      <c r="D142" s="501" t="n">
        <f aca="false">IF(GasSwitch=0,VLOOKUP($A142,[1]!GasCurve,4),VLOOKUP($A142,[1]!AecoCurve,5))</f>
        <v>3.03</v>
      </c>
      <c r="E142" s="517" t="n">
        <v>-0.0442288892881317</v>
      </c>
      <c r="F142" s="503" t="n">
        <f aca="false">IF(shiftswitch2=1,IF(F141+$D$8*(D142-F141)+($E$8*(F141^$F$8)*E142)+(1-$D$8)*(D142-D141)&lt;0,0.01,F141+$D$8*(D142-F141)+($E$8*(F141^$F$8)*E142)+(1-$D$8)*(D142-D141)),IF(F141+$D$10*(C142-F141)+($E$10*(F141^$F$10)*E142)+(1-$D$10)*(C142-C141)&lt;0,0.01,F141+$D$10*(C142-F141)+($E$10*(F141^$F$10)*E142)+(1-$D$10)*(C142-C141)))</f>
        <v>3.0402456276388</v>
      </c>
      <c r="G142" s="503"/>
      <c r="H142" s="504" t="n">
        <v>18.69</v>
      </c>
      <c r="I142" s="501" t="n">
        <f aca="false">IF(OilSwitch=0,VLOOKUP($A142,[1]!OilCurve,4),VLOOKUP($A142,[1]!BrentCurve,4))</f>
        <v>19.58</v>
      </c>
      <c r="J142" s="517" t="n">
        <v>-0.0164152353747258</v>
      </c>
      <c r="K142" s="503" t="n">
        <f aca="false">IF(shiftswitch2=1,K141+$D$9*(I142-K141)+($E$9*(K141^$F$9)*J142)+(1-$D$9)*(I142-I141),K141+$D$11*(H142-K141)+($E$11*(K141^$F$11)*J142)+(1-$D$11)*(H142-H141))</f>
        <v>18.6372000091951</v>
      </c>
      <c r="M142" s="503"/>
      <c r="AP142" s="454"/>
      <c r="AQ142" s="454"/>
      <c r="AR142" s="454"/>
      <c r="AS142" s="454"/>
    </row>
    <row r="143" customFormat="false" ht="10.5" hidden="false" customHeight="false" outlineLevel="0" collapsed="false">
      <c r="A143" s="498" t="n">
        <v>38718</v>
      </c>
      <c r="B143" s="512" t="n">
        <f aca="false">YEAR(A143)</f>
        <v>2006</v>
      </c>
      <c r="C143" s="513" t="n">
        <v>3.12</v>
      </c>
      <c r="D143" s="501" t="n">
        <f aca="false">IF(GasSwitch=0,VLOOKUP($A143,[1]!GasCurve,4),VLOOKUP($A143,[1]!AecoCurve,5))</f>
        <v>3.076</v>
      </c>
      <c r="E143" s="517" t="n">
        <v>-0.0516094603913816</v>
      </c>
      <c r="F143" s="503" t="n">
        <f aca="false">IF(shiftswitch2=1,IF(F142+$D$8*(D143-F142)+($E$8*(F142^$F$8)*E143)+(1-$D$8)*(D143-D142)&lt;0,0.01,F142+$D$8*(D143-F142)+($E$8*(F142^$F$8)*E143)+(1-$D$8)*(D143-D142)),IF(F142+$D$10*(C143-F142)+($E$10*(F142^$F$10)*E143)+(1-$D$10)*(C143-C142)&lt;0,0.01,F142+$D$10*(C143-F142)+($E$10*(F142^$F$10)*E143)+(1-$D$10)*(C143-C142)))</f>
        <v>3.07598894210476</v>
      </c>
      <c r="G143" s="503"/>
      <c r="H143" s="516" t="n">
        <v>18.69</v>
      </c>
      <c r="I143" s="501" t="n">
        <f aca="false">IF(OilSwitch=0,VLOOKUP($A143,[1]!OilCurve,4),VLOOKUP($A143,[1]!BrentCurve,4))</f>
        <v>19.58</v>
      </c>
      <c r="J143" s="518" t="n">
        <v>0.0193523356365025</v>
      </c>
      <c r="K143" s="515" t="n">
        <f aca="false">IF(shiftswitch2=1,K142+$D$9*(I143-K142)+($E$9*(K142^$F$9)*J143)+(1-$D$9)*(I143-I142),K142+$D$11*(H143-K142)+($E$11*(K142^$F$11)*J143)+(1-$D$11)*(H143-H142))</f>
        <v>18.6746294947839</v>
      </c>
      <c r="M143" s="503"/>
      <c r="AP143" s="454"/>
      <c r="AQ143" s="454"/>
      <c r="AR143" s="454"/>
      <c r="AS143" s="454"/>
    </row>
    <row r="144" customFormat="false" ht="10.5" hidden="false" customHeight="false" outlineLevel="0" collapsed="false">
      <c r="A144" s="498" t="n">
        <v>38749</v>
      </c>
      <c r="B144" s="499" t="n">
        <f aca="false">YEAR(A144)</f>
        <v>2006</v>
      </c>
      <c r="C144" s="500" t="n">
        <v>3.002</v>
      </c>
      <c r="D144" s="501" t="n">
        <f aca="false">IF(GasSwitch=0,VLOOKUP($A144,[1]!GasCurve,4),VLOOKUP($A144,[1]!AecoCurve,5))</f>
        <v>2.975</v>
      </c>
      <c r="E144" s="517" t="n">
        <v>0.0578039549050585</v>
      </c>
      <c r="F144" s="503" t="n">
        <f aca="false">IF(shiftswitch2=1,IF(F143+$D$8*(D144-F143)+($E$8*(F143^$F$8)*E144)+(1-$D$8)*(D144-D143)&lt;0,0.01,F143+$D$8*(D144-F143)+($E$8*(F143^$F$8)*E144)+(1-$D$8)*(D144-D143)),IF(F143+$D$10*(C144-F143)+($E$10*(F143^$F$10)*E144)+(1-$D$10)*(C144-C143)&lt;0,0.01,F143+$D$10*(C144-F143)+($E$10*(F143^$F$10)*E144)+(1-$D$10)*(C144-C143)))</f>
        <v>3.00729660349859</v>
      </c>
      <c r="G144" s="503"/>
      <c r="H144" s="504" t="n">
        <v>18.69</v>
      </c>
      <c r="I144" s="501" t="n">
        <f aca="false">IF(OilSwitch=0,VLOOKUP($A144,[1]!OilCurve,4),VLOOKUP($A144,[1]!BrentCurve,4))</f>
        <v>19.58</v>
      </c>
      <c r="J144" s="517" t="n">
        <v>0.00614307013872445</v>
      </c>
      <c r="K144" s="503" t="n">
        <f aca="false">IF(shiftswitch2=1,K143+$D$9*(I144-K143)+($E$9*(K143^$F$9)*J144)+(1-$D$9)*(I144-I143),K143+$D$11*(H144-K143)+($E$11*(K143^$F$11)*J144)+(1-$D$11)*(H144-H143))</f>
        <v>18.6863732435112</v>
      </c>
      <c r="M144" s="503"/>
      <c r="AP144" s="454"/>
      <c r="AQ144" s="454"/>
      <c r="AR144" s="454"/>
      <c r="AS144" s="454"/>
    </row>
    <row r="145" customFormat="false" ht="10.5" hidden="false" customHeight="false" outlineLevel="0" collapsed="false">
      <c r="A145" s="498" t="n">
        <v>38777</v>
      </c>
      <c r="B145" s="499" t="n">
        <f aca="false">YEAR(A145)</f>
        <v>2006</v>
      </c>
      <c r="C145" s="500" t="n">
        <v>2.882</v>
      </c>
      <c r="D145" s="501" t="n">
        <f aca="false">IF(GasSwitch=0,VLOOKUP($A145,[1]!GasCurve,4),VLOOKUP($A145,[1]!AecoCurve,5))</f>
        <v>2.869</v>
      </c>
      <c r="E145" s="517" t="n">
        <v>0.0134169460208184</v>
      </c>
      <c r="F145" s="503" t="n">
        <f aca="false">IF(shiftswitch2=1,IF(F144+$D$8*(D145-F144)+($E$8*(F144^$F$8)*E145)+(1-$D$8)*(D145-D144)&lt;0,0.01,F144+$D$8*(D145-F144)+($E$8*(F144^$F$8)*E145)+(1-$D$8)*(D145-D144)),IF(F144+$D$10*(C145-F144)+($E$10*(F144^$F$10)*E145)+(1-$D$10)*(C145-C144)&lt;0,0.01,F144+$D$10*(C145-F144)+($E$10*(F144^$F$10)*E145)+(1-$D$10)*(C145-C144)))</f>
        <v>2.89248172424397</v>
      </c>
      <c r="G145" s="503"/>
      <c r="H145" s="504" t="n">
        <v>18.69</v>
      </c>
      <c r="I145" s="501" t="n">
        <f aca="false">IF(OilSwitch=0,VLOOKUP($A145,[1]!OilCurve,4),VLOOKUP($A145,[1]!BrentCurve,4))</f>
        <v>19.58</v>
      </c>
      <c r="J145" s="517" t="n">
        <v>-0.0350359788654115</v>
      </c>
      <c r="K145" s="503" t="n">
        <f aca="false">IF(shiftswitch2=1,K144+$D$9*(I145-K144)+($E$9*(K144^$F$9)*J145)+(1-$D$9)*(I145-I144),K144+$D$11*(H145-K144)+($E$11*(K144^$F$11)*J145)+(1-$D$11)*(H145-H144))</f>
        <v>18.6284324235715</v>
      </c>
      <c r="M145" s="503"/>
      <c r="AP145" s="454"/>
      <c r="AQ145" s="454"/>
      <c r="AR145" s="454"/>
      <c r="AS145" s="454"/>
    </row>
    <row r="146" customFormat="false" ht="10.5" hidden="false" customHeight="false" outlineLevel="0" collapsed="false">
      <c r="A146" s="498" t="n">
        <v>38808</v>
      </c>
      <c r="B146" s="499" t="n">
        <f aca="false">YEAR(A146)</f>
        <v>2006</v>
      </c>
      <c r="C146" s="500" t="n">
        <v>2.8325</v>
      </c>
      <c r="D146" s="501" t="n">
        <f aca="false">IF(GasSwitch=0,VLOOKUP($A146,[1]!GasCurve,4),VLOOKUP($A146,[1]!AecoCurve,5))</f>
        <v>2.778</v>
      </c>
      <c r="E146" s="517" t="n">
        <v>0.0160786051266084</v>
      </c>
      <c r="F146" s="503" t="n">
        <f aca="false">IF(shiftswitch2=1,IF(F145+$D$8*(D146-F145)+($E$8*(F145^$F$8)*E146)+(1-$D$8)*(D146-D145)&lt;0,0.01,F145+$D$8*(D146-F145)+($E$8*(F145^$F$8)*E146)+(1-$D$8)*(D146-D145)),IF(F145+$D$10*(C146-F145)+($E$10*(F145^$F$10)*E146)+(1-$D$10)*(C146-C145)&lt;0,0.01,F145+$D$10*(C146-F145)+($E$10*(F145^$F$10)*E146)+(1-$D$10)*(C146-C145)))</f>
        <v>2.84738067272307</v>
      </c>
      <c r="G146" s="503"/>
      <c r="H146" s="504" t="n">
        <v>18.69</v>
      </c>
      <c r="I146" s="501" t="n">
        <f aca="false">IF(OilSwitch=0,VLOOKUP($A146,[1]!OilCurve,4),VLOOKUP($A146,[1]!BrentCurve,4))</f>
        <v>19.58</v>
      </c>
      <c r="J146" s="517" t="n">
        <v>-0.00233406449470728</v>
      </c>
      <c r="K146" s="503" t="n">
        <f aca="false">IF(shiftswitch2=1,K145+$D$9*(I146-K145)+($E$9*(K145^$F$9)*J146)+(1-$D$9)*(I146-I145),K145+$D$11*(H146-K145)+($E$11*(K145^$F$11)*J146)+(1-$D$11)*(H146-H145))</f>
        <v>18.6306437303187</v>
      </c>
      <c r="M146" s="503"/>
      <c r="AP146" s="454"/>
      <c r="AQ146" s="454"/>
      <c r="AR146" s="454"/>
      <c r="AS146" s="454"/>
    </row>
    <row r="147" customFormat="false" ht="10.5" hidden="false" customHeight="false" outlineLevel="0" collapsed="false">
      <c r="A147" s="498" t="n">
        <v>38838</v>
      </c>
      <c r="B147" s="499" t="n">
        <f aca="false">YEAR(A147)</f>
        <v>2006</v>
      </c>
      <c r="C147" s="500" t="n">
        <v>2.8065</v>
      </c>
      <c r="D147" s="501" t="n">
        <f aca="false">IF(GasSwitch=0,VLOOKUP($A147,[1]!GasCurve,4),VLOOKUP($A147,[1]!AecoCurve,5))</f>
        <v>2.781</v>
      </c>
      <c r="E147" s="517" t="n">
        <v>-0.0348359974710368</v>
      </c>
      <c r="F147" s="503" t="n">
        <f aca="false">IF(shiftswitch2=1,IF(F146+$D$8*(D147-F146)+($E$8*(F146^$F$8)*E147)+(1-$D$8)*(D147-D146)&lt;0,0.01,F146+$D$8*(D147-F146)+($E$8*(F146^$F$8)*E147)+(1-$D$8)*(D147-D146)),IF(F146+$D$10*(C147-F146)+($E$10*(F146^$F$10)*E147)+(1-$D$10)*(C147-C146)&lt;0,0.01,F146+$D$10*(C147-F146)+($E$10*(F146^$F$10)*E147)+(1-$D$10)*(C147-C146)))</f>
        <v>2.79702674931342</v>
      </c>
      <c r="G147" s="503"/>
      <c r="H147" s="504" t="n">
        <v>18.69</v>
      </c>
      <c r="I147" s="501" t="n">
        <f aca="false">IF(OilSwitch=0,VLOOKUP($A147,[1]!OilCurve,4),VLOOKUP($A147,[1]!BrentCurve,4))</f>
        <v>19.58</v>
      </c>
      <c r="J147" s="517" t="n">
        <v>0.00145233765772557</v>
      </c>
      <c r="K147" s="503" t="n">
        <f aca="false">IF(shiftswitch2=1,K146+$D$9*(I147-K146)+($E$9*(K146^$F$9)*J147)+(1-$D$9)*(I147-I146),K146+$D$11*(H147-K146)+($E$11*(K146^$F$11)*J147)+(1-$D$11)*(H147-H146))</f>
        <v>18.6389366908796</v>
      </c>
      <c r="M147" s="503"/>
      <c r="AP147" s="454"/>
      <c r="AQ147" s="454"/>
      <c r="AR147" s="454"/>
      <c r="AS147" s="454"/>
    </row>
    <row r="148" customFormat="false" ht="10.5" hidden="false" customHeight="false" outlineLevel="0" collapsed="false">
      <c r="A148" s="498" t="n">
        <v>38869</v>
      </c>
      <c r="B148" s="499" t="n">
        <f aca="false">YEAR(A148)</f>
        <v>2006</v>
      </c>
      <c r="C148" s="500" t="n">
        <v>2.8125</v>
      </c>
      <c r="D148" s="501" t="n">
        <f aca="false">IF(GasSwitch=0,VLOOKUP($A148,[1]!GasCurve,4),VLOOKUP($A148,[1]!AecoCurve,5))</f>
        <v>2.793</v>
      </c>
      <c r="E148" s="517" t="n">
        <v>-0.0270958138259168</v>
      </c>
      <c r="F148" s="503" t="n">
        <f aca="false">IF(shiftswitch2=1,IF(F147+$D$8*(D148-F147)+($E$8*(F147^$F$8)*E148)+(1-$D$8)*(D148-D147)&lt;0,0.01,F147+$D$8*(D148-F147)+($E$8*(F147^$F$8)*E148)+(1-$D$8)*(D148-D147)),IF(F147+$D$10*(C148-F147)+($E$10*(F147^$F$10)*E148)+(1-$D$10)*(C148-C147)&lt;0,0.01,F147+$D$10*(C148-F147)+($E$10*(F147^$F$10)*E148)+(1-$D$10)*(C148-C147)))</f>
        <v>2.79259246636602</v>
      </c>
      <c r="G148" s="503"/>
      <c r="H148" s="504" t="n">
        <v>18.69</v>
      </c>
      <c r="I148" s="501" t="n">
        <f aca="false">IF(OilSwitch=0,VLOOKUP($A148,[1]!OilCurve,4),VLOOKUP($A148,[1]!BrentCurve,4))</f>
        <v>19.58</v>
      </c>
      <c r="J148" s="517" t="n">
        <v>0.0063582125992053</v>
      </c>
      <c r="K148" s="503" t="n">
        <f aca="false">IF(shiftswitch2=1,K147+$D$9*(I148-K147)+($E$9*(K147^$F$9)*J148)+(1-$D$9)*(I148-I147),K147+$D$11*(H148-K147)+($E$11*(K147^$F$11)*J148)+(1-$D$11)*(H148-H147))</f>
        <v>18.6545720242476</v>
      </c>
      <c r="M148" s="503"/>
      <c r="AP148" s="454"/>
      <c r="AQ148" s="454"/>
      <c r="AR148" s="454"/>
      <c r="AS148" s="454"/>
    </row>
    <row r="149" customFormat="false" ht="10.5" hidden="false" customHeight="false" outlineLevel="0" collapsed="false">
      <c r="A149" s="498" t="n">
        <v>38899</v>
      </c>
      <c r="B149" s="499" t="n">
        <f aca="false">YEAR(A149)</f>
        <v>2006</v>
      </c>
      <c r="C149" s="500" t="n">
        <v>2.8225</v>
      </c>
      <c r="D149" s="501" t="n">
        <f aca="false">IF(GasSwitch=0,VLOOKUP($A149,[1]!GasCurve,4),VLOOKUP($A149,[1]!AecoCurve,5))</f>
        <v>2.804</v>
      </c>
      <c r="E149" s="517" t="n">
        <v>-0.00693513796316555</v>
      </c>
      <c r="F149" s="503" t="n">
        <f aca="false">IF(shiftswitch2=1,IF(F148+$D$8*(D149-F148)+($E$8*(F148^$F$8)*E149)+(1-$D$8)*(D149-D148)&lt;0,0.01,F148+$D$8*(D149-F148)+($E$8*(F148^$F$8)*E149)+(1-$D$8)*(D149-D148)),IF(F148+$D$10*(C149-F148)+($E$10*(F148^$F$10)*E149)+(1-$D$10)*(C149-C148)&lt;0,0.01,F148+$D$10*(C149-F148)+($E$10*(F148^$F$10)*E149)+(1-$D$10)*(C149-C148)))</f>
        <v>2.80688638664624</v>
      </c>
      <c r="G149" s="503"/>
      <c r="H149" s="504" t="n">
        <v>18.69</v>
      </c>
      <c r="I149" s="501" t="n">
        <f aca="false">IF(OilSwitch=0,VLOOKUP($A149,[1]!OilCurve,4),VLOOKUP($A149,[1]!BrentCurve,4))</f>
        <v>19.58</v>
      </c>
      <c r="J149" s="517" t="n">
        <v>-0.0256251408237054</v>
      </c>
      <c r="K149" s="503" t="n">
        <f aca="false">IF(shiftswitch2=1,K148+$D$9*(I149-K148)+($E$9*(K148^$F$9)*J149)+(1-$D$9)*(I149-I148),K148+$D$11*(H149-K148)+($E$11*(K148^$F$11)*J149)+(1-$D$11)*(H149-H148))</f>
        <v>18.6154391595165</v>
      </c>
      <c r="M149" s="503"/>
      <c r="AP149" s="454"/>
      <c r="AQ149" s="454"/>
      <c r="AR149" s="454"/>
      <c r="AS149" s="454"/>
    </row>
    <row r="150" customFormat="false" ht="10.5" hidden="false" customHeight="false" outlineLevel="0" collapsed="false">
      <c r="A150" s="498" t="n">
        <v>38930</v>
      </c>
      <c r="B150" s="499" t="n">
        <f aca="false">YEAR(A150)</f>
        <v>2006</v>
      </c>
      <c r="C150" s="500" t="n">
        <v>2.8295</v>
      </c>
      <c r="D150" s="501" t="n">
        <f aca="false">IF(GasSwitch=0,VLOOKUP($A150,[1]!GasCurve,4),VLOOKUP($A150,[1]!AecoCurve,5))</f>
        <v>2.813</v>
      </c>
      <c r="E150" s="517" t="n">
        <v>0.00267411559300405</v>
      </c>
      <c r="F150" s="503" t="n">
        <f aca="false">IF(shiftswitch2=1,IF(F149+$D$8*(D150-F149)+($E$8*(F149^$F$8)*E150)+(1-$D$8)*(D150-D149)&lt;0,0.01,F149+$D$8*(D150-F149)+($E$8*(F149^$F$8)*E150)+(1-$D$8)*(D150-D149)),IF(F149+$D$10*(C150-F149)+($E$10*(F149^$F$10)*E150)+(1-$D$10)*(C150-C149)&lt;0,0.01,F149+$D$10*(C150-F149)+($E$10*(F149^$F$10)*E150)+(1-$D$10)*(C150-C149)))</f>
        <v>2.82150825463372</v>
      </c>
      <c r="G150" s="503"/>
      <c r="H150" s="504" t="n">
        <v>18.69</v>
      </c>
      <c r="I150" s="501" t="n">
        <f aca="false">IF(OilSwitch=0,VLOOKUP($A150,[1]!OilCurve,4),VLOOKUP($A150,[1]!BrentCurve,4))</f>
        <v>19.58</v>
      </c>
      <c r="J150" s="517" t="n">
        <v>0.0412029353629076</v>
      </c>
      <c r="K150" s="503" t="n">
        <f aca="false">IF(shiftswitch2=1,K149+$D$9*(I150-K149)+($E$9*(K149^$F$9)*J150)+(1-$D$9)*(I150-I149),K149+$D$11*(H150-K149)+($E$11*(K149^$F$11)*J150)+(1-$D$11)*(H150-H149))</f>
        <v>18.6913823671682</v>
      </c>
      <c r="M150" s="503"/>
      <c r="AP150" s="454"/>
      <c r="AQ150" s="454"/>
      <c r="AR150" s="454"/>
      <c r="AS150" s="454"/>
    </row>
    <row r="151" customFormat="false" ht="10.5" hidden="false" customHeight="false" outlineLevel="0" collapsed="false">
      <c r="A151" s="498" t="n">
        <v>38961</v>
      </c>
      <c r="B151" s="499" t="n">
        <f aca="false">YEAR(A151)</f>
        <v>2006</v>
      </c>
      <c r="C151" s="500" t="n">
        <v>2.8365</v>
      </c>
      <c r="D151" s="501" t="n">
        <f aca="false">IF(GasSwitch=0,VLOOKUP($A151,[1]!GasCurve,4),VLOOKUP($A151,[1]!AecoCurve,5))</f>
        <v>2.817</v>
      </c>
      <c r="E151" s="517" t="n">
        <v>0.0575919144955121</v>
      </c>
      <c r="F151" s="503" t="n">
        <f aca="false">IF(shiftswitch2=1,IF(F150+$D$8*(D151-F150)+($E$8*(F150^$F$8)*E151)+(1-$D$8)*(D151-D150)&lt;0,0.01,F150+$D$8*(D151-F150)+($E$8*(F150^$F$8)*E151)+(1-$D$8)*(D151-D150)),IF(F150+$D$10*(C151-F150)+($E$10*(F150^$F$10)*E151)+(1-$D$10)*(C151-C150)&lt;0,0.01,F150+$D$10*(C151-F150)+($E$10*(F150^$F$10)*E151)+(1-$D$10)*(C151-C150)))</f>
        <v>2.86201828496487</v>
      </c>
      <c r="G151" s="503"/>
      <c r="H151" s="504" t="n">
        <v>18.69</v>
      </c>
      <c r="I151" s="501" t="n">
        <f aca="false">IF(OilSwitch=0,VLOOKUP($A151,[1]!OilCurve,4),VLOOKUP($A151,[1]!BrentCurve,4))</f>
        <v>19.58</v>
      </c>
      <c r="J151" s="517" t="n">
        <v>0.0560346933716763</v>
      </c>
      <c r="K151" s="503" t="n">
        <f aca="false">IF(shiftswitch2=1,K150+$D$9*(I151-K150)+($E$9*(K150^$F$9)*J151)+(1-$D$9)*(I151-I150),K150+$D$11*(H151-K150)+($E$11*(K150^$F$11)*J151)+(1-$D$11)*(H151-H150))</f>
        <v>18.784487242589</v>
      </c>
      <c r="M151" s="503"/>
      <c r="AP151" s="454"/>
      <c r="AQ151" s="454"/>
      <c r="AR151" s="454"/>
      <c r="AS151" s="454"/>
    </row>
    <row r="152" customFormat="false" ht="10.5" hidden="false" customHeight="false" outlineLevel="0" collapsed="false">
      <c r="A152" s="498" t="n">
        <v>38991</v>
      </c>
      <c r="B152" s="499" t="n">
        <f aca="false">YEAR(A152)</f>
        <v>2006</v>
      </c>
      <c r="C152" s="500" t="n">
        <v>2.8625</v>
      </c>
      <c r="D152" s="501" t="n">
        <f aca="false">IF(GasSwitch=0,VLOOKUP($A152,[1]!GasCurve,4),VLOOKUP($A152,[1]!AecoCurve,5))</f>
        <v>2.841</v>
      </c>
      <c r="E152" s="517" t="n">
        <v>0.012754770429978</v>
      </c>
      <c r="F152" s="503" t="n">
        <f aca="false">IF(shiftswitch2=1,IF(F151+$D$8*(D152-F151)+($E$8*(F151^$F$8)*E152)+(1-$D$8)*(D152-D151)&lt;0,0.01,F151+$D$8*(D152-F151)+($E$8*(F151^$F$8)*E152)+(1-$D$8)*(D152-D151)),IF(F151+$D$10*(C152-F151)+($E$10*(F151^$F$10)*E152)+(1-$D$10)*(C152-C151)&lt;0,0.01,F151+$D$10*(C152-F151)+($E$10*(F151^$F$10)*E152)+(1-$D$10)*(C152-C151)))</f>
        <v>2.88462157043605</v>
      </c>
      <c r="G152" s="503"/>
      <c r="H152" s="504" t="n">
        <v>18.69</v>
      </c>
      <c r="I152" s="501" t="n">
        <f aca="false">IF(OilSwitch=0,VLOOKUP($A152,[1]!OilCurve,4),VLOOKUP($A152,[1]!BrentCurve,4))</f>
        <v>19.58</v>
      </c>
      <c r="J152" s="517" t="n">
        <v>0.00727743263243126</v>
      </c>
      <c r="K152" s="503" t="n">
        <f aca="false">IF(shiftswitch2=1,K151+$D$9*(I152-K151)+($E$9*(K151^$F$9)*J152)+(1-$D$9)*(I152-I151),K151+$D$11*(H152-K151)+($E$11*(K151^$F$11)*J152)+(1-$D$11)*(H152-H151))</f>
        <v>18.7872426534731</v>
      </c>
      <c r="M152" s="503"/>
      <c r="AP152" s="454"/>
      <c r="AQ152" s="454"/>
      <c r="AR152" s="454"/>
      <c r="AS152" s="454"/>
    </row>
    <row r="153" customFormat="false" ht="10.5" hidden="false" customHeight="false" outlineLevel="0" collapsed="false">
      <c r="A153" s="498" t="n">
        <v>39022</v>
      </c>
      <c r="B153" s="499" t="n">
        <f aca="false">YEAR(A153)</f>
        <v>2006</v>
      </c>
      <c r="C153" s="500" t="n">
        <v>2.9975</v>
      </c>
      <c r="D153" s="501" t="n">
        <f aca="false">IF(GasSwitch=0,VLOOKUP($A153,[1]!GasCurve,4),VLOOKUP($A153,[1]!AecoCurve,5))</f>
        <v>2.962</v>
      </c>
      <c r="E153" s="517" t="n">
        <v>-0.00613928469784374</v>
      </c>
      <c r="F153" s="503" t="n">
        <f aca="false">IF(shiftswitch2=1,IF(F152+$D$8*(D153-F152)+($E$8*(F152^$F$8)*E153)+(1-$D$8)*(D153-D152)&lt;0,0.01,F152+$D$8*(D153-F152)+($E$8*(F152^$F$8)*E153)+(1-$D$8)*(D153-D152)),IF(F152+$D$10*(C153-F152)+($E$10*(F152^$F$10)*E153)+(1-$D$10)*(C153-C152)&lt;0,0.01,F152+$D$10*(C153-F152)+($E$10*(F152^$F$10)*E153)+(1-$D$10)*(C153-C152)))</f>
        <v>3.00754387533809</v>
      </c>
      <c r="G153" s="503"/>
      <c r="H153" s="504" t="n">
        <v>18.69</v>
      </c>
      <c r="I153" s="501" t="n">
        <f aca="false">IF(OilSwitch=0,VLOOKUP($A153,[1]!OilCurve,4),VLOOKUP($A153,[1]!BrentCurve,4))</f>
        <v>19.58</v>
      </c>
      <c r="J153" s="517" t="n">
        <v>0.0631622775877537</v>
      </c>
      <c r="K153" s="503" t="n">
        <f aca="false">IF(shiftswitch2=1,K152+$D$9*(I153-K152)+($E$9*(K152^$F$9)*J153)+(1-$D$9)*(I153-I152),K152+$D$11*(H153-K152)+($E$11*(K152^$F$11)*J153)+(1-$D$11)*(H153-H152))</f>
        <v>18.8827176606853</v>
      </c>
      <c r="M153" s="503"/>
      <c r="AP153" s="454"/>
      <c r="AQ153" s="454"/>
      <c r="AR153" s="454"/>
      <c r="AS153" s="454"/>
    </row>
    <row r="154" customFormat="false" ht="10.5" hidden="false" customHeight="false" outlineLevel="0" collapsed="false">
      <c r="A154" s="498" t="n">
        <v>39052</v>
      </c>
      <c r="B154" s="499" t="n">
        <f aca="false">YEAR(A154)</f>
        <v>2006</v>
      </c>
      <c r="C154" s="500" t="n">
        <v>3.1215</v>
      </c>
      <c r="D154" s="501" t="n">
        <f aca="false">IF(GasSwitch=0,VLOOKUP($A154,[1]!GasCurve,4),VLOOKUP($A154,[1]!AecoCurve,5))</f>
        <v>3.079</v>
      </c>
      <c r="E154" s="517" t="n">
        <v>0.0345377268528631</v>
      </c>
      <c r="F154" s="503" t="n">
        <f aca="false">IF(shiftswitch2=1,IF(F153+$D$8*(D154-F153)+($E$8*(F153^$F$8)*E154)+(1-$D$8)*(D154-D153)&lt;0,0.01,F153+$D$8*(D154-F153)+($E$8*(F153^$F$8)*E154)+(1-$D$8)*(D154-D153)),IF(F153+$D$10*(C154-F153)+($E$10*(F153^$F$10)*E154)+(1-$D$10)*(C154-C153)&lt;0,0.01,F153+$D$10*(C154-F153)+($E$10*(F153^$F$10)*E154)+(1-$D$10)*(C154-C153)))</f>
        <v>3.14632188303026</v>
      </c>
      <c r="G154" s="503"/>
      <c r="H154" s="504" t="n">
        <v>18.69</v>
      </c>
      <c r="I154" s="501" t="n">
        <f aca="false">IF(OilSwitch=0,VLOOKUP($A154,[1]!OilCurve,4),VLOOKUP($A154,[1]!BrentCurve,4))</f>
        <v>19.58</v>
      </c>
      <c r="J154" s="517" t="n">
        <v>0.00542681879913299</v>
      </c>
      <c r="K154" s="503" t="n">
        <f aca="false">IF(shiftswitch2=1,K153+$D$9*(I154-K153)+($E$9*(K153^$F$9)*J154)+(1-$D$9)*(I154-I153),K153+$D$11*(H154-K153)+($E$11*(K153^$F$11)*J154)+(1-$D$11)*(H154-H153))</f>
        <v>18.8726688387592</v>
      </c>
      <c r="M154" s="503"/>
      <c r="AP154" s="454"/>
      <c r="AQ154" s="454"/>
      <c r="AR154" s="454"/>
      <c r="AS154" s="454"/>
    </row>
    <row r="155" customFormat="false" ht="10.5" hidden="false" customHeight="false" outlineLevel="0" collapsed="false">
      <c r="A155" s="498" t="n">
        <v>39083</v>
      </c>
      <c r="B155" s="512" t="n">
        <f aca="false">YEAR(A155)</f>
        <v>2007</v>
      </c>
      <c r="C155" s="513" t="n">
        <v>3.18</v>
      </c>
      <c r="D155" s="501" t="n">
        <f aca="false">IF(GasSwitch=0,VLOOKUP($A155,[1]!GasCurve,4),VLOOKUP($A155,[1]!AecoCurve,5))</f>
        <v>3.128</v>
      </c>
      <c r="E155" s="517" t="n">
        <v>-0.0670227751262755</v>
      </c>
      <c r="F155" s="503" t="n">
        <f aca="false">IF(shiftswitch2=1,IF(F154+$D$8*(D155-F154)+($E$8*(F154^$F$8)*E155)+(1-$D$8)*(D155-D154)&lt;0,0.01,F154+$D$8*(D155-F154)+($E$8*(F154^$F$8)*E155)+(1-$D$8)*(D155-D154)),IF(F154+$D$10*(C155-F154)+($E$10*(F154^$F$10)*E155)+(1-$D$10)*(C155-C154)&lt;0,0.01,F154+$D$10*(C155-F154)+($E$10*(F154^$F$10)*E155)+(1-$D$10)*(C155-C154)))</f>
        <v>3.15766762607379</v>
      </c>
      <c r="G155" s="503"/>
      <c r="H155" s="516" t="n">
        <v>18.74</v>
      </c>
      <c r="I155" s="501" t="n">
        <f aca="false">IF(OilSwitch=0,VLOOKUP($A155,[1]!OilCurve,4),VLOOKUP($A155,[1]!BrentCurve,4))</f>
        <v>19.63</v>
      </c>
      <c r="J155" s="518" t="n">
        <v>0.00130536649764748</v>
      </c>
      <c r="K155" s="515" t="n">
        <f aca="false">IF(shiftswitch2=1,K154+$D$9*(I155-K154)+($E$9*(K154^$F$9)*J155)+(1-$D$9)*(I155-I154),K154+$D$11*(H155-K154)+($E$11*(K154^$F$11)*J155)+(1-$D$11)*(H155-H154))</f>
        <v>18.9067567535741</v>
      </c>
      <c r="M155" s="503"/>
      <c r="AP155" s="454"/>
      <c r="AQ155" s="454"/>
      <c r="AR155" s="454"/>
      <c r="AS155" s="454"/>
    </row>
    <row r="156" customFormat="false" ht="10.5" hidden="false" customHeight="false" outlineLevel="0" collapsed="false">
      <c r="A156" s="498" t="n">
        <v>39114</v>
      </c>
      <c r="B156" s="499" t="n">
        <f aca="false">YEAR(A156)</f>
        <v>2007</v>
      </c>
      <c r="C156" s="500" t="n">
        <v>3.062</v>
      </c>
      <c r="D156" s="501" t="n">
        <f aca="false">IF(GasSwitch=0,VLOOKUP($A156,[1]!GasCurve,4),VLOOKUP($A156,[1]!AecoCurve,5))</f>
        <v>3.031</v>
      </c>
      <c r="E156" s="517" t="n">
        <v>-0.0145805484959554</v>
      </c>
      <c r="F156" s="503" t="n">
        <f aca="false">IF(shiftswitch2=1,IF(F155+$D$8*(D156-F155)+($E$8*(F155^$F$8)*E156)+(1-$D$8)*(D156-D155)&lt;0,0.01,F155+$D$8*(D156-F155)+($E$8*(F155^$F$8)*E156)+(1-$D$8)*(D156-D155)),IF(F155+$D$10*(C156-F155)+($E$10*(F155^$F$10)*E156)+(1-$D$10)*(C156-C155)&lt;0,0.01,F155+$D$10*(C156-F155)+($E$10*(F155^$F$10)*E156)+(1-$D$10)*(C156-C155)))</f>
        <v>3.04043778583676</v>
      </c>
      <c r="G156" s="503"/>
      <c r="H156" s="504" t="n">
        <v>18.79</v>
      </c>
      <c r="I156" s="501" t="n">
        <f aca="false">IF(OilSwitch=0,VLOOKUP($A156,[1]!OilCurve,4),VLOOKUP($A156,[1]!BrentCurve,4))</f>
        <v>19.68</v>
      </c>
      <c r="J156" s="517" t="n">
        <v>0.0265924536540366</v>
      </c>
      <c r="K156" s="503" t="n">
        <f aca="false">IF(shiftswitch2=1,K155+$D$9*(I156-K155)+($E$9*(K155^$F$9)*J156)+(1-$D$9)*(I156-I155),K155+$D$11*(H156-K155)+($E$11*(K155^$F$11)*J156)+(1-$D$11)*(H156-H155))</f>
        <v>18.9844976778506</v>
      </c>
      <c r="M156" s="503"/>
      <c r="AP156" s="454"/>
      <c r="AQ156" s="454"/>
      <c r="AR156" s="454"/>
      <c r="AS156" s="454"/>
    </row>
    <row r="157" customFormat="false" ht="10.5" hidden="false" customHeight="false" outlineLevel="0" collapsed="false">
      <c r="A157" s="498" t="n">
        <v>39142</v>
      </c>
      <c r="B157" s="499" t="n">
        <f aca="false">YEAR(A157)</f>
        <v>2007</v>
      </c>
      <c r="C157" s="500" t="n">
        <v>2.942</v>
      </c>
      <c r="D157" s="501" t="n">
        <f aca="false">IF(GasSwitch=0,VLOOKUP($A157,[1]!GasCurve,4),VLOOKUP($A157,[1]!AecoCurve,5))</f>
        <v>2.928</v>
      </c>
      <c r="E157" s="517" t="n">
        <v>0.0342900148810712</v>
      </c>
      <c r="F157" s="503" t="n">
        <f aca="false">IF(shiftswitch2=1,IF(F156+$D$8*(D157-F156)+($E$8*(F156^$F$8)*E157)+(1-$D$8)*(D157-D156)&lt;0,0.01,F156+$D$8*(D157-F156)+($E$8*(F156^$F$8)*E157)+(1-$D$8)*(D157-D156)),IF(F156+$D$10*(C157-F156)+($E$10*(F156^$F$10)*E157)+(1-$D$10)*(C157-C156)&lt;0,0.01,F156+$D$10*(C157-F156)+($E$10*(F156^$F$10)*E157)+(1-$D$10)*(C157-C156)))</f>
        <v>2.9477683344414</v>
      </c>
      <c r="G157" s="503"/>
      <c r="H157" s="504" t="n">
        <v>18.84</v>
      </c>
      <c r="I157" s="501" t="n">
        <f aca="false">IF(OilSwitch=0,VLOOKUP($A157,[1]!OilCurve,4),VLOOKUP($A157,[1]!BrentCurve,4))</f>
        <v>19.73</v>
      </c>
      <c r="J157" s="517" t="n">
        <v>-0.0533626093280859</v>
      </c>
      <c r="K157" s="503" t="n">
        <f aca="false">IF(shiftswitch2=1,K156+$D$9*(I157-K156)+($E$9*(K156^$F$9)*J157)+(1-$D$9)*(I157-I156),K156+$D$11*(H157-K156)+($E$11*(K156^$F$11)*J157)+(1-$D$11)*(H157-H156))</f>
        <v>18.9264470258214</v>
      </c>
      <c r="M157" s="503"/>
      <c r="AP157" s="454"/>
      <c r="AQ157" s="454"/>
      <c r="AR157" s="454"/>
      <c r="AS157" s="454"/>
    </row>
    <row r="158" customFormat="false" ht="10.5" hidden="false" customHeight="false" outlineLevel="0" collapsed="false">
      <c r="A158" s="498" t="n">
        <v>39173</v>
      </c>
      <c r="B158" s="499" t="n">
        <f aca="false">YEAR(A158)</f>
        <v>2007</v>
      </c>
      <c r="C158" s="500" t="n">
        <v>2.8925</v>
      </c>
      <c r="D158" s="501" t="n">
        <f aca="false">IF(GasSwitch=0,VLOOKUP($A158,[1]!GasCurve,4),VLOOKUP($A158,[1]!AecoCurve,5))</f>
        <v>2.84</v>
      </c>
      <c r="E158" s="517" t="n">
        <v>0.00328502883568963</v>
      </c>
      <c r="F158" s="503" t="n">
        <f aca="false">IF(shiftswitch2=1,IF(F157+$D$8*(D158-F157)+($E$8*(F157^$F$8)*E158)+(1-$D$8)*(D158-D157)&lt;0,0.01,F157+$D$8*(D158-F157)+($E$8*(F157^$F$8)*E158)+(1-$D$8)*(D158-D157)),IF(F157+$D$10*(C158-F157)+($E$10*(F157^$F$10)*E158)+(1-$D$10)*(C158-C157)&lt;0,0.01,F157+$D$10*(C158-F157)+($E$10*(F157^$F$10)*E158)+(1-$D$10)*(C158-C157)))</f>
        <v>2.89773955117578</v>
      </c>
      <c r="G158" s="503"/>
      <c r="H158" s="504" t="n">
        <v>18.89</v>
      </c>
      <c r="I158" s="501" t="n">
        <f aca="false">IF(OilSwitch=0,VLOOKUP($A158,[1]!OilCurve,4),VLOOKUP($A158,[1]!BrentCurve,4))</f>
        <v>19.78</v>
      </c>
      <c r="J158" s="517" t="n">
        <v>-0.0390658957462405</v>
      </c>
      <c r="K158" s="503" t="n">
        <f aca="false">IF(shiftswitch2=1,K157+$D$9*(I158-K157)+($E$9*(K157^$F$9)*J158)+(1-$D$9)*(I158-I157),K157+$D$11*(H158-K157)+($E$11*(K157^$F$11)*J158)+(1-$D$11)*(H158-H157))</f>
        <v>18.9028831197434</v>
      </c>
      <c r="M158" s="503"/>
      <c r="AP158" s="454"/>
      <c r="AQ158" s="454"/>
      <c r="AR158" s="454"/>
      <c r="AS158" s="454"/>
    </row>
    <row r="159" customFormat="false" ht="10.5" hidden="false" customHeight="false" outlineLevel="0" collapsed="false">
      <c r="A159" s="498" t="n">
        <v>39203</v>
      </c>
      <c r="B159" s="499" t="n">
        <f aca="false">YEAR(A159)</f>
        <v>2007</v>
      </c>
      <c r="C159" s="500" t="n">
        <v>2.8665</v>
      </c>
      <c r="D159" s="501" t="n">
        <f aca="false">IF(GasSwitch=0,VLOOKUP($A159,[1]!GasCurve,4),VLOOKUP($A159,[1]!AecoCurve,5))</f>
        <v>2.844</v>
      </c>
      <c r="E159" s="517" t="n">
        <v>0.00589080036265144</v>
      </c>
      <c r="F159" s="503" t="n">
        <f aca="false">IF(shiftswitch2=1,IF(F158+$D$8*(D159-F158)+($E$8*(F158^$F$8)*E159)+(1-$D$8)*(D159-D158)&lt;0,0.01,F158+$D$8*(D159-F158)+($E$8*(F158^$F$8)*E159)+(1-$D$8)*(D159-D158)),IF(F158+$D$10*(C159-F158)+($E$10*(F158^$F$10)*E159)+(1-$D$10)*(C159-C158)&lt;0,0.01,F158+$D$10*(C159-F158)+($E$10*(F158^$F$10)*E159)+(1-$D$10)*(C159-C158)))</f>
        <v>2.87279686500459</v>
      </c>
      <c r="G159" s="503"/>
      <c r="H159" s="504" t="n">
        <v>18.94</v>
      </c>
      <c r="I159" s="501" t="n">
        <f aca="false">IF(OilSwitch=0,VLOOKUP($A159,[1]!OilCurve,4),VLOOKUP($A159,[1]!BrentCurve,4))</f>
        <v>19.83</v>
      </c>
      <c r="J159" s="517" t="n">
        <v>0.0247822138796312</v>
      </c>
      <c r="K159" s="503" t="n">
        <f aca="false">IF(shiftswitch2=1,K158+$D$9*(I159-K158)+($E$9*(K158^$F$9)*J159)+(1-$D$9)*(I159-I158),K158+$D$11*(H159-K158)+($E$11*(K158^$F$11)*J159)+(1-$D$11)*(H159-H158))</f>
        <v>18.9928452947845</v>
      </c>
      <c r="M159" s="503"/>
      <c r="AP159" s="454"/>
      <c r="AQ159" s="454"/>
      <c r="AR159" s="454"/>
      <c r="AS159" s="454"/>
    </row>
    <row r="160" customFormat="false" ht="10.5" hidden="false" customHeight="false" outlineLevel="0" collapsed="false">
      <c r="A160" s="498" t="n">
        <v>39234</v>
      </c>
      <c r="B160" s="499" t="n">
        <f aca="false">YEAR(A160)</f>
        <v>2007</v>
      </c>
      <c r="C160" s="500" t="n">
        <v>2.8725</v>
      </c>
      <c r="D160" s="501" t="n">
        <f aca="false">IF(GasSwitch=0,VLOOKUP($A160,[1]!GasCurve,4),VLOOKUP($A160,[1]!AecoCurve,5))</f>
        <v>2.857</v>
      </c>
      <c r="E160" s="517" t="n">
        <v>0.0254702158887132</v>
      </c>
      <c r="F160" s="503" t="n">
        <f aca="false">IF(shiftswitch2=1,IF(F159+$D$8*(D160-F159)+($E$8*(F159^$F$8)*E160)+(1-$D$8)*(D160-D159)&lt;0,0.01,F159+$D$8*(D160-F159)+($E$8*(F159^$F$8)*E160)+(1-$D$8)*(D160-D159)),IF(F159+$D$10*(C160-F159)+($E$10*(F159^$F$10)*E160)+(1-$D$10)*(C160-C159)&lt;0,0.01,F159+$D$10*(C160-F159)+($E$10*(F159^$F$10)*E160)+(1-$D$10)*(C160-C159)))</f>
        <v>2.88982334298723</v>
      </c>
      <c r="G160" s="503"/>
      <c r="H160" s="504" t="n">
        <v>18.99</v>
      </c>
      <c r="I160" s="501" t="n">
        <f aca="false">IF(OilSwitch=0,VLOOKUP($A160,[1]!OilCurve,4),VLOOKUP($A160,[1]!BrentCurve,4))</f>
        <v>19.88</v>
      </c>
      <c r="J160" s="517" t="n">
        <v>-0.0328418920649213</v>
      </c>
      <c r="K160" s="503" t="n">
        <f aca="false">IF(shiftswitch2=1,K159+$D$9*(I160-K159)+($E$9*(K159^$F$9)*J160)+(1-$D$9)*(I160-I159),K159+$D$11*(H160-K159)+($E$11*(K159^$F$11)*J160)+(1-$D$11)*(H160-H159))</f>
        <v>18.9829647022048</v>
      </c>
      <c r="M160" s="503"/>
      <c r="AP160" s="454"/>
      <c r="AQ160" s="454"/>
      <c r="AR160" s="454"/>
      <c r="AS160" s="454"/>
    </row>
    <row r="161" customFormat="false" ht="10.5" hidden="false" customHeight="false" outlineLevel="0" collapsed="false">
      <c r="A161" s="498" t="n">
        <v>39264</v>
      </c>
      <c r="B161" s="499" t="n">
        <f aca="false">YEAR(A161)</f>
        <v>2007</v>
      </c>
      <c r="C161" s="500" t="n">
        <v>2.8825</v>
      </c>
      <c r="D161" s="501" t="n">
        <f aca="false">IF(GasSwitch=0,VLOOKUP($A161,[1]!GasCurve,4),VLOOKUP($A161,[1]!AecoCurve,5))</f>
        <v>2.868</v>
      </c>
      <c r="E161" s="517" t="n">
        <v>0.0096446258299118</v>
      </c>
      <c r="F161" s="503" t="n">
        <f aca="false">IF(shiftswitch2=1,IF(F160+$D$8*(D161-F160)+($E$8*(F160^$F$8)*E161)+(1-$D$8)*(D161-D160)&lt;0,0.01,F160+$D$8*(D161-F160)+($E$8*(F160^$F$8)*E161)+(1-$D$8)*(D161-D160)),IF(F160+$D$10*(C161-F160)+($E$10*(F160^$F$10)*E161)+(1-$D$10)*(C161-C160)&lt;0,0.01,F160+$D$10*(C161-F160)+($E$10*(F160^$F$10)*E161)+(1-$D$10)*(C161-C160)))</f>
        <v>2.89806513404383</v>
      </c>
      <c r="G161" s="503"/>
      <c r="H161" s="504" t="n">
        <v>19.04</v>
      </c>
      <c r="I161" s="501" t="n">
        <f aca="false">IF(OilSwitch=0,VLOOKUP($A161,[1]!OilCurve,4),VLOOKUP($A161,[1]!BrentCurve,4))</f>
        <v>19.93</v>
      </c>
      <c r="J161" s="517" t="n">
        <v>-0.0462668857609449</v>
      </c>
      <c r="K161" s="503" t="n">
        <f aca="false">IF(shiftswitch2=1,K160+$D$9*(I161-K160)+($E$9*(K160^$F$9)*J161)+(1-$D$9)*(I161-I160),K160+$D$11*(H161-K160)+($E$11*(K160^$F$11)*J161)+(1-$D$11)*(H161-H160))</f>
        <v>18.9566730987803</v>
      </c>
      <c r="M161" s="503"/>
      <c r="AP161" s="454"/>
      <c r="AQ161" s="454"/>
      <c r="AR161" s="454"/>
      <c r="AS161" s="454"/>
    </row>
    <row r="162" customFormat="false" ht="10.5" hidden="false" customHeight="false" outlineLevel="0" collapsed="false">
      <c r="A162" s="498" t="n">
        <v>39295</v>
      </c>
      <c r="B162" s="499" t="n">
        <f aca="false">YEAR(A162)</f>
        <v>2007</v>
      </c>
      <c r="C162" s="500" t="n">
        <v>2.8895</v>
      </c>
      <c r="D162" s="501" t="n">
        <f aca="false">IF(GasSwitch=0,VLOOKUP($A162,[1]!GasCurve,4),VLOOKUP($A162,[1]!AecoCurve,5))</f>
        <v>2.877</v>
      </c>
      <c r="E162" s="517" t="n">
        <v>0.0134988106827361</v>
      </c>
      <c r="F162" s="503" t="n">
        <f aca="false">IF(shiftswitch2=1,IF(F161+$D$8*(D162-F161)+($E$8*(F161^$F$8)*E162)+(1-$D$8)*(D162-D161)&lt;0,0.01,F161+$D$8*(D162-F161)+($E$8*(F161^$F$8)*E162)+(1-$D$8)*(D162-D161)),IF(F161+$D$10*(C162-F161)+($E$10*(F161^$F$10)*E162)+(1-$D$10)*(C162-C161)&lt;0,0.01,F161+$D$10*(C162-F161)+($E$10*(F161^$F$10)*E162)+(1-$D$10)*(C162-C161)))</f>
        <v>2.9060713202555</v>
      </c>
      <c r="G162" s="503"/>
      <c r="H162" s="504" t="n">
        <v>19.09</v>
      </c>
      <c r="I162" s="501" t="n">
        <f aca="false">IF(OilSwitch=0,VLOOKUP($A162,[1]!OilCurve,4),VLOOKUP($A162,[1]!BrentCurve,4))</f>
        <v>19.98</v>
      </c>
      <c r="J162" s="517" t="n">
        <v>0.0131680381222066</v>
      </c>
      <c r="K162" s="503" t="n">
        <f aca="false">IF(shiftswitch2=1,K161+$D$9*(I162-K161)+($E$9*(K161^$F$9)*J162)+(1-$D$9)*(I162-I161),K161+$D$11*(H162-K161)+($E$11*(K161^$F$11)*J162)+(1-$D$11)*(H162-H161))</f>
        <v>19.0368340774364</v>
      </c>
      <c r="M162" s="503"/>
      <c r="AP162" s="454"/>
      <c r="AQ162" s="454"/>
      <c r="AR162" s="454"/>
      <c r="AS162" s="454"/>
    </row>
    <row r="163" customFormat="false" ht="10.5" hidden="false" customHeight="false" outlineLevel="0" collapsed="false">
      <c r="A163" s="498" t="n">
        <v>39326</v>
      </c>
      <c r="B163" s="499" t="n">
        <f aca="false">YEAR(A163)</f>
        <v>2007</v>
      </c>
      <c r="C163" s="500" t="n">
        <v>2.8965</v>
      </c>
      <c r="D163" s="501" t="n">
        <f aca="false">IF(GasSwitch=0,VLOOKUP($A163,[1]!GasCurve,4),VLOOKUP($A163,[1]!AecoCurve,5))</f>
        <v>2.88</v>
      </c>
      <c r="E163" s="517" t="n">
        <v>0.0277904398255259</v>
      </c>
      <c r="F163" s="503" t="n">
        <f aca="false">IF(shiftswitch2=1,IF(F162+$D$8*(D163-F162)+($E$8*(F162^$F$8)*E163)+(1-$D$8)*(D163-D162)&lt;0,0.01,F162+$D$8*(D163-F162)+($E$8*(F162^$F$8)*E163)+(1-$D$8)*(D163-D162)),IF(F162+$D$10*(C163-F162)+($E$10*(F162^$F$10)*E163)+(1-$D$10)*(C163-C162)&lt;0,0.01,F162+$D$10*(C163-F162)+($E$10*(F162^$F$10)*E163)+(1-$D$10)*(C163-C162)))</f>
        <v>2.9213246601667</v>
      </c>
      <c r="G163" s="503"/>
      <c r="H163" s="504" t="n">
        <v>19.14</v>
      </c>
      <c r="I163" s="501" t="n">
        <f aca="false">IF(OilSwitch=0,VLOOKUP($A163,[1]!OilCurve,4),VLOOKUP($A163,[1]!BrentCurve,4))</f>
        <v>20.03</v>
      </c>
      <c r="J163" s="517" t="n">
        <v>0.0289016761979358</v>
      </c>
      <c r="K163" s="503" t="n">
        <f aca="false">IF(shiftswitch2=1,K162+$D$9*(I163-K162)+($E$9*(K162^$F$9)*J163)+(1-$D$9)*(I163-I162),K162+$D$11*(H163-K162)+($E$11*(K162^$F$11)*J163)+(1-$D$11)*(H163-H162))</f>
        <v>19.1401898929636</v>
      </c>
      <c r="M163" s="503"/>
      <c r="AP163" s="454"/>
      <c r="AQ163" s="454"/>
      <c r="AR163" s="454"/>
      <c r="AS163" s="454"/>
    </row>
    <row r="164" customFormat="false" ht="10.5" hidden="false" customHeight="false" outlineLevel="0" collapsed="false">
      <c r="A164" s="498" t="n">
        <v>39356</v>
      </c>
      <c r="B164" s="499" t="n">
        <f aca="false">YEAR(A164)</f>
        <v>2007</v>
      </c>
      <c r="C164" s="500" t="n">
        <v>2.9225</v>
      </c>
      <c r="D164" s="501" t="n">
        <f aca="false">IF(GasSwitch=0,VLOOKUP($A164,[1]!GasCurve,4),VLOOKUP($A164,[1]!AecoCurve,5))</f>
        <v>2.903</v>
      </c>
      <c r="E164" s="517" t="n">
        <v>-0.00597813113998009</v>
      </c>
      <c r="F164" s="503" t="n">
        <f aca="false">IF(shiftswitch2=1,IF(F163+$D$8*(D164-F163)+($E$8*(F163^$F$8)*E164)+(1-$D$8)*(D164-D163)&lt;0,0.01,F163+$D$8*(D164-F163)+($E$8*(F163^$F$8)*E164)+(1-$D$8)*(D164-D163)),IF(F163+$D$10*(C164-F163)+($E$10*(F163^$F$10)*E164)+(1-$D$10)*(C164-C163)&lt;0,0.01,F163+$D$10*(C164-F163)+($E$10*(F163^$F$10)*E164)+(1-$D$10)*(C164-C163)))</f>
        <v>2.93423621529052</v>
      </c>
      <c r="G164" s="503"/>
      <c r="H164" s="504" t="n">
        <v>19.19</v>
      </c>
      <c r="I164" s="501" t="n">
        <f aca="false">IF(OilSwitch=0,VLOOKUP($A164,[1]!OilCurve,4),VLOOKUP($A164,[1]!BrentCurve,4))</f>
        <v>20.08</v>
      </c>
      <c r="J164" s="517" t="n">
        <v>0.0186454175321697</v>
      </c>
      <c r="K164" s="503" t="n">
        <f aca="false">IF(shiftswitch2=1,K163+$D$9*(I164-K163)+($E$9*(K163^$F$9)*J164)+(1-$D$9)*(I164-I163),K163+$D$11*(H164-K163)+($E$11*(K163^$F$11)*J164)+(1-$D$11)*(H164-H163))</f>
        <v>19.2211970683337</v>
      </c>
      <c r="M164" s="503"/>
      <c r="AP164" s="454"/>
      <c r="AQ164" s="454"/>
      <c r="AR164" s="454"/>
      <c r="AS164" s="454"/>
    </row>
    <row r="165" customFormat="false" ht="10.5" hidden="false" customHeight="false" outlineLevel="0" collapsed="false">
      <c r="A165" s="498" t="n">
        <v>39387</v>
      </c>
      <c r="B165" s="499" t="n">
        <f aca="false">YEAR(A165)</f>
        <v>2007</v>
      </c>
      <c r="C165" s="500" t="n">
        <v>3.0575</v>
      </c>
      <c r="D165" s="501" t="n">
        <f aca="false">IF(GasSwitch=0,VLOOKUP($A165,[1]!GasCurve,4),VLOOKUP($A165,[1]!AecoCurve,5))</f>
        <v>3.019</v>
      </c>
      <c r="E165" s="517" t="n">
        <v>0.0400344007029489</v>
      </c>
      <c r="F165" s="503" t="n">
        <f aca="false">IF(shiftswitch2=1,IF(F164+$D$8*(D165-F164)+($E$8*(F164^$F$8)*E165)+(1-$D$8)*(D165-D164)&lt;0,0.01,F164+$D$8*(D165-F164)+($E$8*(F164^$F$8)*E165)+(1-$D$8)*(D165-D164)),IF(F164+$D$10*(C165-F164)+($E$10*(F164^$F$10)*E165)+(1-$D$10)*(C165-C164)&lt;0,0.01,F164+$D$10*(C165-F164)+($E$10*(F164^$F$10)*E165)+(1-$D$10)*(C165-C164)))</f>
        <v>3.08606186196845</v>
      </c>
      <c r="G165" s="503"/>
      <c r="H165" s="504" t="n">
        <v>19.24</v>
      </c>
      <c r="I165" s="501" t="n">
        <f aca="false">IF(OilSwitch=0,VLOOKUP($A165,[1]!OilCurve,4),VLOOKUP($A165,[1]!BrentCurve,4))</f>
        <v>20.13</v>
      </c>
      <c r="J165" s="517" t="n">
        <v>0.0167848095336811</v>
      </c>
      <c r="K165" s="503" t="n">
        <f aca="false">IF(shiftswitch2=1,K164+$D$9*(I165-K164)+($E$9*(K164^$F$9)*J165)+(1-$D$9)*(I165-I164),K164+$D$11*(H165-K164)+($E$11*(K164^$F$11)*J165)+(1-$D$11)*(H165-H164))</f>
        <v>19.2960384816327</v>
      </c>
      <c r="M165" s="503"/>
      <c r="AP165" s="454"/>
      <c r="AQ165" s="454"/>
      <c r="AR165" s="454"/>
      <c r="AS165" s="454"/>
    </row>
    <row r="166" customFormat="false" ht="10.5" hidden="false" customHeight="false" outlineLevel="0" collapsed="false">
      <c r="A166" s="498" t="n">
        <v>39417</v>
      </c>
      <c r="B166" s="499" t="n">
        <f aca="false">YEAR(A166)</f>
        <v>2007</v>
      </c>
      <c r="C166" s="500" t="n">
        <v>3.1815</v>
      </c>
      <c r="D166" s="501" t="n">
        <f aca="false">IF(GasSwitch=0,VLOOKUP($A166,[1]!GasCurve,4),VLOOKUP($A166,[1]!AecoCurve,5))</f>
        <v>3.133</v>
      </c>
      <c r="E166" s="517" t="n">
        <v>0.0219977475075738</v>
      </c>
      <c r="F166" s="503" t="n">
        <f aca="false">IF(shiftswitch2=1,IF(F165+$D$8*(D166-F165)+($E$8*(F165^$F$8)*E166)+(1-$D$8)*(D166-D165)&lt;0,0.01,F165+$D$8*(D166-F165)+($E$8*(F165^$F$8)*E166)+(1-$D$8)*(D166-D165)),IF(F165+$D$10*(C166-F165)+($E$10*(F165^$F$10)*E166)+(1-$D$10)*(C166-C165)&lt;0,0.01,F165+$D$10*(C166-F165)+($E$10*(F165^$F$10)*E166)+(1-$D$10)*(C166-C165)))</f>
        <v>3.21080337938324</v>
      </c>
      <c r="G166" s="503"/>
      <c r="H166" s="504" t="n">
        <v>19.29</v>
      </c>
      <c r="I166" s="501" t="n">
        <f aca="false">IF(OilSwitch=0,VLOOKUP($A166,[1]!OilCurve,4),VLOOKUP($A166,[1]!BrentCurve,4))</f>
        <v>20.18</v>
      </c>
      <c r="J166" s="517" t="n">
        <v>-0.0459527348908305</v>
      </c>
      <c r="K166" s="503" t="n">
        <f aca="false">IF(shiftswitch2=1,K165+$D$9*(I166-K165)+($E$9*(K165^$F$9)*J166)+(1-$D$9)*(I166-I165),K165+$D$11*(H166-K165)+($E$11*(K165^$F$11)*J166)+(1-$D$11)*(H166-H165))</f>
        <v>19.2640253210927</v>
      </c>
      <c r="M166" s="503"/>
      <c r="AP166" s="454"/>
      <c r="AQ166" s="454"/>
      <c r="AR166" s="454"/>
      <c r="AS166" s="454"/>
    </row>
    <row r="167" customFormat="false" ht="10.5" hidden="false" customHeight="false" outlineLevel="0" collapsed="false">
      <c r="A167" s="498" t="n">
        <v>39448</v>
      </c>
      <c r="B167" s="512" t="n">
        <f aca="false">YEAR(A167)</f>
        <v>2008</v>
      </c>
      <c r="C167" s="513" t="n">
        <v>3.245</v>
      </c>
      <c r="D167" s="501" t="n">
        <f aca="false">IF(GasSwitch=0,VLOOKUP($A167,[1]!GasCurve,4),VLOOKUP($A167,[1]!AecoCurve,5))</f>
        <v>3.1825</v>
      </c>
      <c r="E167" s="517" t="n">
        <v>0.0506152922115142</v>
      </c>
      <c r="F167" s="503" t="n">
        <f aca="false">IF(shiftswitch2=1,IF(F166+$D$8*(D167-F166)+($E$8*(F166^$F$8)*E167)+(1-$D$8)*(D167-D166)&lt;0,0.01,F166+$D$8*(D167-F166)+($E$8*(F166^$F$8)*E167)+(1-$D$8)*(D167-D166)),IF(F166+$D$10*(C167-F166)+($E$10*(F166^$F$10)*E167)+(1-$D$10)*(C167-C166)&lt;0,0.01,F166+$D$10*(C167-F166)+($E$10*(F166^$F$10)*E167)+(1-$D$10)*(C167-C166)))</f>
        <v>3.29106800051818</v>
      </c>
      <c r="G167" s="503"/>
      <c r="H167" s="516" t="n">
        <v>19.34</v>
      </c>
      <c r="I167" s="501" t="n">
        <f aca="false">IF(OilSwitch=0,VLOOKUP($A167,[1]!OilCurve,4),VLOOKUP($A167,[1]!BrentCurve,4))</f>
        <v>20.23</v>
      </c>
      <c r="J167" s="518" t="n">
        <v>-0.0294758809271565</v>
      </c>
      <c r="K167" s="515" t="n">
        <f aca="false">IF(shiftswitch2=1,K166+$D$9*(I167-K166)+($E$9*(K166^$F$9)*J167)+(1-$D$9)*(I167-I166),K166+$D$11*(H167-K166)+($E$11*(K166^$F$11)*J167)+(1-$D$11)*(H167-H166))</f>
        <v>19.2675489484418</v>
      </c>
      <c r="M167" s="503"/>
      <c r="AP167" s="454"/>
      <c r="AQ167" s="454"/>
      <c r="AR167" s="454"/>
      <c r="AS167" s="454"/>
    </row>
    <row r="168" customFormat="false" ht="10.5" hidden="false" customHeight="false" outlineLevel="0" collapsed="false">
      <c r="A168" s="498" t="n">
        <v>39479</v>
      </c>
      <c r="B168" s="499" t="n">
        <f aca="false">YEAR(A168)</f>
        <v>2008</v>
      </c>
      <c r="C168" s="500" t="n">
        <v>3.127</v>
      </c>
      <c r="D168" s="501" t="n">
        <f aca="false">IF(GasSwitch=0,VLOOKUP($A168,[1]!GasCurve,4),VLOOKUP($A168,[1]!AecoCurve,5))</f>
        <v>3.0895</v>
      </c>
      <c r="E168" s="517" t="n">
        <v>0.0217904870078034</v>
      </c>
      <c r="F168" s="503" t="n">
        <f aca="false">IF(shiftswitch2=1,IF(F167+$D$8*(D168-F167)+($E$8*(F167^$F$8)*E168)+(1-$D$8)*(D168-D167)&lt;0,0.01,F167+$D$8*(D168-F167)+($E$8*(F167^$F$8)*E168)+(1-$D$8)*(D168-D167)),IF(F167+$D$10*(C168-F167)+($E$10*(F167^$F$10)*E168)+(1-$D$10)*(C168-C167)&lt;0,0.01,F167+$D$10*(C168-F167)+($E$10*(F167^$F$10)*E168)+(1-$D$10)*(C168-C167)))</f>
        <v>3.16711662169609</v>
      </c>
      <c r="G168" s="503"/>
      <c r="H168" s="504" t="n">
        <v>19.39</v>
      </c>
      <c r="I168" s="501" t="n">
        <f aca="false">IF(OilSwitch=0,VLOOKUP($A168,[1]!OilCurve,4),VLOOKUP($A168,[1]!BrentCurve,4))</f>
        <v>20.28</v>
      </c>
      <c r="J168" s="517" t="n">
        <v>0.000543475632854985</v>
      </c>
      <c r="K168" s="503" t="n">
        <f aca="false">IF(shiftswitch2=1,K167+$D$9*(I168-K167)+($E$9*(K167^$F$9)*J168)+(1-$D$9)*(I168-I167),K167+$D$11*(H168-K167)+($E$11*(K167^$F$11)*J168)+(1-$D$11)*(H168-H167))</f>
        <v>19.3256259459991</v>
      </c>
      <c r="M168" s="503"/>
      <c r="AP168" s="454"/>
      <c r="AQ168" s="454"/>
      <c r="AR168" s="454"/>
      <c r="AS168" s="454"/>
    </row>
    <row r="169" customFormat="false" ht="10.5" hidden="false" customHeight="false" outlineLevel="0" collapsed="false">
      <c r="A169" s="498" t="n">
        <v>39508</v>
      </c>
      <c r="B169" s="499" t="n">
        <f aca="false">YEAR(A169)</f>
        <v>2008</v>
      </c>
      <c r="C169" s="500" t="n">
        <v>3.007</v>
      </c>
      <c r="D169" s="501" t="n">
        <f aca="false">IF(GasSwitch=0,VLOOKUP($A169,[1]!GasCurve,4),VLOOKUP($A169,[1]!AecoCurve,5))</f>
        <v>2.9895</v>
      </c>
      <c r="E169" s="517" t="n">
        <v>-0.0452773128075105</v>
      </c>
      <c r="F169" s="503" t="n">
        <f aca="false">IF(shiftswitch2=1,IF(F168+$D$8*(D169-F168)+($E$8*(F168^$F$8)*E169)+(1-$D$8)*(D169-D168)&lt;0,0.01,F168+$D$8*(D169-F168)+($E$8*(F168^$F$8)*E169)+(1-$D$8)*(D169-D168)),IF(F168+$D$10*(C169-F168)+($E$10*(F168^$F$10)*E169)+(1-$D$10)*(C169-C168)&lt;0,0.01,F168+$D$10*(C169-F168)+($E$10*(F168^$F$10)*E169)+(1-$D$10)*(C169-C168)))</f>
        <v>3.00588120167699</v>
      </c>
      <c r="G169" s="503"/>
      <c r="H169" s="504" t="n">
        <v>19.44</v>
      </c>
      <c r="I169" s="501" t="n">
        <f aca="false">IF(OilSwitch=0,VLOOKUP($A169,[1]!OilCurve,4),VLOOKUP($A169,[1]!BrentCurve,4))</f>
        <v>20.33</v>
      </c>
      <c r="J169" s="517" t="n">
        <v>-0.0217488610005718</v>
      </c>
      <c r="K169" s="503" t="n">
        <f aca="false">IF(shiftswitch2=1,K168+$D$9*(I169-K168)+($E$9*(K168^$F$9)*J169)+(1-$D$9)*(I169-I168),K168+$D$11*(H169-K168)+($E$11*(K168^$F$11)*J169)+(1-$D$11)*(H169-H168))</f>
        <v>19.3458088726402</v>
      </c>
      <c r="M169" s="503"/>
      <c r="AP169" s="454"/>
      <c r="AQ169" s="454"/>
      <c r="AR169" s="454"/>
      <c r="AS169" s="454"/>
    </row>
    <row r="170" customFormat="false" ht="10.5" hidden="false" customHeight="false" outlineLevel="0" collapsed="false">
      <c r="A170" s="498" t="n">
        <v>39539</v>
      </c>
      <c r="B170" s="499" t="n">
        <f aca="false">YEAR(A170)</f>
        <v>2008</v>
      </c>
      <c r="C170" s="500" t="n">
        <v>2.9575</v>
      </c>
      <c r="D170" s="501" t="n">
        <f aca="false">IF(GasSwitch=0,VLOOKUP($A170,[1]!GasCurve,4),VLOOKUP($A170,[1]!AecoCurve,5))</f>
        <v>2.9045</v>
      </c>
      <c r="E170" s="517" t="n">
        <v>-0.0298751353409524</v>
      </c>
      <c r="F170" s="503" t="n">
        <f aca="false">IF(shiftswitch2=1,IF(F169+$D$8*(D170-F169)+($E$8*(F169^$F$8)*E170)+(1-$D$8)*(D170-D169)&lt;0,0.01,F169+$D$8*(D170-F169)+($E$8*(F169^$F$8)*E170)+(1-$D$8)*(D170-D169)),IF(F169+$D$10*(C170-F169)+($E$10*(F169^$F$10)*E170)+(1-$D$10)*(C170-C169)&lt;0,0.01,F169+$D$10*(C170-F169)+($E$10*(F169^$F$10)*E170)+(1-$D$10)*(C170-C169)))</f>
        <v>2.94058867741779</v>
      </c>
      <c r="G170" s="503"/>
      <c r="H170" s="504" t="n">
        <v>19.49</v>
      </c>
      <c r="I170" s="501" t="n">
        <f aca="false">IF(OilSwitch=0,VLOOKUP($A170,[1]!OilCurve,4),VLOOKUP($A170,[1]!BrentCurve,4))</f>
        <v>20.38</v>
      </c>
      <c r="J170" s="517" t="n">
        <v>0.0470305894437599</v>
      </c>
      <c r="K170" s="503" t="n">
        <f aca="false">IF(shiftswitch2=1,K169+$D$9*(I170-K169)+($E$9*(K169^$F$9)*J170)+(1-$D$9)*(I170-I169),K169+$D$11*(H170-K169)+($E$11*(K169^$F$11)*J170)+(1-$D$11)*(H170-H169))</f>
        <v>19.4833926950833</v>
      </c>
      <c r="M170" s="503"/>
      <c r="AP170" s="454"/>
      <c r="AQ170" s="454"/>
      <c r="AR170" s="454"/>
      <c r="AS170" s="454"/>
    </row>
    <row r="171" customFormat="false" ht="10.5" hidden="false" customHeight="false" outlineLevel="0" collapsed="false">
      <c r="A171" s="498" t="n">
        <v>39569</v>
      </c>
      <c r="B171" s="499" t="n">
        <f aca="false">YEAR(A171)</f>
        <v>2008</v>
      </c>
      <c r="C171" s="500" t="n">
        <v>2.9315</v>
      </c>
      <c r="D171" s="501" t="n">
        <f aca="false">IF(GasSwitch=0,VLOOKUP($A171,[1]!GasCurve,4),VLOOKUP($A171,[1]!AecoCurve,5))</f>
        <v>2.9095</v>
      </c>
      <c r="E171" s="517" t="n">
        <v>-0.0295767545504315</v>
      </c>
      <c r="F171" s="503" t="n">
        <f aca="false">IF(shiftswitch2=1,IF(F170+$D$8*(D171-F170)+($E$8*(F170^$F$8)*E171)+(1-$D$8)*(D171-D170)&lt;0,0.01,F170+$D$8*(D171-F170)+($E$8*(F170^$F$8)*E171)+(1-$D$8)*(D171-D170)),IF(F170+$D$10*(C171-F170)+($E$10*(F170^$F$10)*E171)+(1-$D$10)*(C171-C170)&lt;0,0.01,F170+$D$10*(C171-F170)+($E$10*(F170^$F$10)*E171)+(1-$D$10)*(C171-C170)))</f>
        <v>2.90542247030679</v>
      </c>
      <c r="G171" s="503"/>
      <c r="H171" s="504" t="n">
        <v>19.54</v>
      </c>
      <c r="I171" s="501" t="n">
        <f aca="false">IF(OilSwitch=0,VLOOKUP($A171,[1]!OilCurve,4),VLOOKUP($A171,[1]!BrentCurve,4))</f>
        <v>20.43</v>
      </c>
      <c r="J171" s="517" t="n">
        <v>0.00838570069912097</v>
      </c>
      <c r="K171" s="503" t="n">
        <f aca="false">IF(shiftswitch2=1,K170+$D$9*(I171-K170)+($E$9*(K170^$F$9)*J171)+(1-$D$9)*(I171-I170),K170+$D$11*(H171-K170)+($E$11*(K170^$F$11)*J171)+(1-$D$11)*(H171-H170))</f>
        <v>19.5480006242334</v>
      </c>
      <c r="M171" s="503"/>
      <c r="AP171" s="454"/>
      <c r="AQ171" s="454"/>
      <c r="AR171" s="454"/>
      <c r="AS171" s="454"/>
    </row>
    <row r="172" customFormat="false" ht="10.5" hidden="false" customHeight="false" outlineLevel="0" collapsed="false">
      <c r="A172" s="498" t="n">
        <v>39600</v>
      </c>
      <c r="B172" s="499" t="n">
        <f aca="false">YEAR(A172)</f>
        <v>2008</v>
      </c>
      <c r="C172" s="500" t="n">
        <v>2.9375</v>
      </c>
      <c r="D172" s="501" t="n">
        <f aca="false">IF(GasSwitch=0,VLOOKUP($A172,[1]!GasCurve,4),VLOOKUP($A172,[1]!AecoCurve,5))</f>
        <v>2.9235</v>
      </c>
      <c r="E172" s="517" t="n">
        <v>0.0296087026177028</v>
      </c>
      <c r="F172" s="503" t="n">
        <f aca="false">IF(shiftswitch2=1,IF(F171+$D$8*(D172-F171)+($E$8*(F171^$F$8)*E172)+(1-$D$8)*(D172-D171)&lt;0,0.01,F171+$D$8*(D172-F171)+($E$8*(F171^$F$8)*E172)+(1-$D$8)*(D172-D171)),IF(F171+$D$10*(C172-F171)+($E$10*(F171^$F$10)*E172)+(1-$D$10)*(C172-C171)&lt;0,0.01,F171+$D$10*(C172-F171)+($E$10*(F171^$F$10)*E172)+(1-$D$10)*(C172-C171)))</f>
        <v>2.93762854950004</v>
      </c>
      <c r="G172" s="503"/>
      <c r="H172" s="504" t="n">
        <v>19.59</v>
      </c>
      <c r="I172" s="501" t="n">
        <f aca="false">IF(OilSwitch=0,VLOOKUP($A172,[1]!OilCurve,4),VLOOKUP($A172,[1]!BrentCurve,4))</f>
        <v>20.48</v>
      </c>
      <c r="J172" s="517" t="n">
        <v>-0.0131412733184289</v>
      </c>
      <c r="K172" s="503" t="n">
        <f aca="false">IF(shiftswitch2=1,K171+$D$9*(I172-K171)+($E$9*(K171^$F$9)*J172)+(1-$D$9)*(I172-I171),K171+$D$11*(H172-K171)+($E$11*(K171^$F$11)*J172)+(1-$D$11)*(H172-H171))</f>
        <v>19.5753414836324</v>
      </c>
      <c r="M172" s="503"/>
      <c r="AP172" s="454"/>
      <c r="AQ172" s="454"/>
      <c r="AR172" s="454"/>
      <c r="AS172" s="454"/>
    </row>
    <row r="173" customFormat="false" ht="10.5" hidden="false" customHeight="false" outlineLevel="0" collapsed="false">
      <c r="A173" s="498" t="n">
        <v>39630</v>
      </c>
      <c r="B173" s="499" t="n">
        <f aca="false">YEAR(A173)</f>
        <v>2008</v>
      </c>
      <c r="C173" s="500" t="n">
        <v>2.9475</v>
      </c>
      <c r="D173" s="501" t="n">
        <f aca="false">IF(GasSwitch=0,VLOOKUP($A173,[1]!GasCurve,4),VLOOKUP($A173,[1]!AecoCurve,5))</f>
        <v>2.9345</v>
      </c>
      <c r="E173" s="517" t="n">
        <v>0.0180984398555011</v>
      </c>
      <c r="F173" s="503" t="n">
        <f aca="false">IF(shiftswitch2=1,IF(F172+$D$8*(D173-F172)+($E$8*(F172^$F$8)*E173)+(1-$D$8)*(D173-D172)&lt;0,0.01,F172+$D$8*(D173-F172)+($E$8*(F172^$F$8)*E173)+(1-$D$8)*(D173-D172)),IF(F172+$D$10*(C173-F172)+($E$10*(F172^$F$10)*E173)+(1-$D$10)*(C173-C172)&lt;0,0.01,F172+$D$10*(C173-F172)+($E$10*(F172^$F$10)*E173)+(1-$D$10)*(C173-C172)))</f>
        <v>2.95730208150267</v>
      </c>
      <c r="G173" s="503"/>
      <c r="H173" s="504" t="n">
        <v>19.64</v>
      </c>
      <c r="I173" s="501" t="n">
        <f aca="false">IF(OilSwitch=0,VLOOKUP($A173,[1]!OilCurve,4),VLOOKUP($A173,[1]!BrentCurve,4))</f>
        <v>20.53</v>
      </c>
      <c r="J173" s="517" t="n">
        <v>-0.0332243640431956</v>
      </c>
      <c r="K173" s="503" t="n">
        <f aca="false">IF(shiftswitch2=1,K172+$D$9*(I173-K172)+($E$9*(K172^$F$9)*J173)+(1-$D$9)*(I173-I172),K172+$D$11*(H173-K172)+($E$11*(K172^$F$11)*J173)+(1-$D$11)*(H173-H172))</f>
        <v>19.5715073349849</v>
      </c>
      <c r="M173" s="503"/>
      <c r="AP173" s="454"/>
      <c r="AQ173" s="454"/>
      <c r="AR173" s="454"/>
      <c r="AS173" s="454"/>
    </row>
    <row r="174" customFormat="false" ht="10.5" hidden="false" customHeight="false" outlineLevel="0" collapsed="false">
      <c r="A174" s="498" t="n">
        <v>39661</v>
      </c>
      <c r="B174" s="499" t="n">
        <f aca="false">YEAR(A174)</f>
        <v>2008</v>
      </c>
      <c r="C174" s="500" t="n">
        <v>2.9545</v>
      </c>
      <c r="D174" s="501" t="n">
        <f aca="false">IF(GasSwitch=0,VLOOKUP($A174,[1]!GasCurve,4),VLOOKUP($A174,[1]!AecoCurve,5))</f>
        <v>2.9435</v>
      </c>
      <c r="E174" s="517" t="n">
        <v>0.0207903474288162</v>
      </c>
      <c r="F174" s="503" t="n">
        <f aca="false">IF(shiftswitch2=1,IF(F173+$D$8*(D174-F173)+($E$8*(F173^$F$8)*E174)+(1-$D$8)*(D174-D173)&lt;0,0.01,F173+$D$8*(D174-F173)+($E$8*(F173^$F$8)*E174)+(1-$D$8)*(D174-D173)),IF(F173+$D$10*(C174-F173)+($E$10*(F173^$F$10)*E174)+(1-$D$10)*(C174-C173)&lt;0,0.01,F173+$D$10*(C174-F173)+($E$10*(F173^$F$10)*E174)+(1-$D$10)*(C174-C173)))</f>
        <v>2.97160738336777</v>
      </c>
      <c r="G174" s="503"/>
      <c r="H174" s="504" t="n">
        <v>19.69</v>
      </c>
      <c r="I174" s="501" t="n">
        <f aca="false">IF(OilSwitch=0,VLOOKUP($A174,[1]!OilCurve,4),VLOOKUP($A174,[1]!BrentCurve,4))</f>
        <v>20.58</v>
      </c>
      <c r="J174" s="517" t="n">
        <v>0.0530294179792837</v>
      </c>
      <c r="K174" s="503" t="n">
        <f aca="false">IF(shiftswitch2=1,K173+$D$9*(I174-K173)+($E$9*(K173^$F$9)*J174)+(1-$D$9)*(I174-I173),K173+$D$11*(H174-K173)+($E$11*(K173^$F$11)*J174)+(1-$D$11)*(H174-H173))</f>
        <v>19.7165290603389</v>
      </c>
      <c r="M174" s="503"/>
      <c r="AP174" s="454"/>
      <c r="AQ174" s="454"/>
      <c r="AR174" s="454"/>
      <c r="AS174" s="454"/>
    </row>
    <row r="175" customFormat="false" ht="10.5" hidden="false" customHeight="false" outlineLevel="0" collapsed="false">
      <c r="A175" s="498" t="n">
        <v>39692</v>
      </c>
      <c r="B175" s="499" t="n">
        <f aca="false">YEAR(A175)</f>
        <v>2008</v>
      </c>
      <c r="C175" s="500" t="n">
        <v>2.9615</v>
      </c>
      <c r="D175" s="501" t="n">
        <f aca="false">IF(GasSwitch=0,VLOOKUP($A175,[1]!GasCurve,4),VLOOKUP($A175,[1]!AecoCurve,5))</f>
        <v>2.9455</v>
      </c>
      <c r="E175" s="517" t="n">
        <v>0.0280056936902396</v>
      </c>
      <c r="F175" s="503" t="n">
        <f aca="false">IF(shiftswitch2=1,IF(F174+$D$8*(D175-F174)+($E$8*(F174^$F$8)*E175)+(1-$D$8)*(D175-D174)&lt;0,0.01,F174+$D$8*(D175-F174)+($E$8*(F174^$F$8)*E175)+(1-$D$8)*(D175-D174)),IF(F174+$D$10*(C175-F174)+($E$10*(F174^$F$10)*E175)+(1-$D$10)*(C175-C174)&lt;0,0.01,F174+$D$10*(C175-F174)+($E$10*(F174^$F$10)*E175)+(1-$D$10)*(C175-C174)))</f>
        <v>2.98693012464096</v>
      </c>
      <c r="G175" s="503"/>
      <c r="H175" s="504" t="n">
        <v>19.74</v>
      </c>
      <c r="I175" s="501" t="n">
        <f aca="false">IF(OilSwitch=0,VLOOKUP($A175,[1]!OilCurve,4),VLOOKUP($A175,[1]!BrentCurve,4))</f>
        <v>20.63</v>
      </c>
      <c r="J175" s="517" t="n">
        <v>-0.0311997027679991</v>
      </c>
      <c r="K175" s="503" t="n">
        <f aca="false">IF(shiftswitch2=1,K174+$D$9*(I175-K174)+($E$9*(K174^$F$9)*J175)+(1-$D$9)*(I175-I174),K174+$D$11*(H175-K174)+($E$11*(K174^$F$11)*J175)+(1-$D$11)*(H175-H174))</f>
        <v>19.7119863779594</v>
      </c>
      <c r="M175" s="503"/>
      <c r="AP175" s="454"/>
      <c r="AQ175" s="454"/>
      <c r="AR175" s="454"/>
      <c r="AS175" s="454"/>
    </row>
    <row r="176" customFormat="false" ht="10.5" hidden="false" customHeight="false" outlineLevel="0" collapsed="false">
      <c r="A176" s="498" t="n">
        <v>39722</v>
      </c>
      <c r="B176" s="499" t="n">
        <f aca="false">YEAR(A176)</f>
        <v>2008</v>
      </c>
      <c r="C176" s="500" t="n">
        <v>2.9875</v>
      </c>
      <c r="D176" s="501" t="n">
        <f aca="false">IF(GasSwitch=0,VLOOKUP($A176,[1]!GasCurve,4),VLOOKUP($A176,[1]!AecoCurve,5))</f>
        <v>2.9675</v>
      </c>
      <c r="E176" s="517" t="n">
        <v>0.0104267623318531</v>
      </c>
      <c r="F176" s="503" t="n">
        <f aca="false">IF(shiftswitch2=1,IF(F175+$D$8*(D176-F175)+($E$8*(F175^$F$8)*E176)+(1-$D$8)*(D176-D175)&lt;0,0.01,F175+$D$8*(D176-F175)+($E$8*(F175^$F$8)*E176)+(1-$D$8)*(D176-D175)),IF(F175+$D$10*(C176-F175)+($E$10*(F175^$F$10)*E176)+(1-$D$10)*(C176-C175)&lt;0,0.01,F175+$D$10*(C176-F175)+($E$10*(F175^$F$10)*E176)+(1-$D$10)*(C176-C175)))</f>
        <v>3.00845321291605</v>
      </c>
      <c r="G176" s="503"/>
      <c r="H176" s="504" t="n">
        <v>19.79</v>
      </c>
      <c r="I176" s="501" t="n">
        <f aca="false">IF(OilSwitch=0,VLOOKUP($A176,[1]!OilCurve,4),VLOOKUP($A176,[1]!BrentCurve,4))</f>
        <v>20.68</v>
      </c>
      <c r="J176" s="517" t="n">
        <v>-0.0358752999326964</v>
      </c>
      <c r="K176" s="503" t="n">
        <f aca="false">IF(shiftswitch2=1,K175+$D$9*(I176-K175)+($E$9*(K175^$F$9)*J176)+(1-$D$9)*(I176-I175),K175+$D$11*(H176-K175)+($E$11*(K175^$F$11)*J176)+(1-$D$11)*(H176-H175))</f>
        <v>19.7050632274534</v>
      </c>
      <c r="M176" s="503"/>
      <c r="AP176" s="454"/>
      <c r="AQ176" s="454"/>
      <c r="AR176" s="454"/>
      <c r="AS176" s="454"/>
    </row>
    <row r="177" customFormat="false" ht="10.5" hidden="false" customHeight="false" outlineLevel="0" collapsed="false">
      <c r="A177" s="498" t="n">
        <v>39753</v>
      </c>
      <c r="B177" s="499" t="n">
        <f aca="false">YEAR(A177)</f>
        <v>2008</v>
      </c>
      <c r="C177" s="500" t="n">
        <v>3.1225</v>
      </c>
      <c r="D177" s="501" t="n">
        <f aca="false">IF(GasSwitch=0,VLOOKUP($A177,[1]!GasCurve,4),VLOOKUP($A177,[1]!AecoCurve,5))</f>
        <v>3.0785</v>
      </c>
      <c r="E177" s="517" t="n">
        <v>-0.0171612379272017</v>
      </c>
      <c r="F177" s="503" t="n">
        <f aca="false">IF(shiftswitch2=1,IF(F176+$D$8*(D177-F176)+($E$8*(F176^$F$8)*E177)+(1-$D$8)*(D177-D176)&lt;0,0.01,F176+$D$8*(D177-F176)+($E$8*(F176^$F$8)*E177)+(1-$D$8)*(D177-D176)),IF(F176+$D$10*(C177-F176)+($E$10*(F176^$F$10)*E177)+(1-$D$10)*(C177-C176)&lt;0,0.01,F176+$D$10*(C177-F176)+($E$10*(F176^$F$10)*E177)+(1-$D$10)*(C177-C176)))</f>
        <v>3.1257780075612</v>
      </c>
      <c r="G177" s="503"/>
      <c r="H177" s="504" t="n">
        <v>19.84</v>
      </c>
      <c r="I177" s="501" t="n">
        <f aca="false">IF(OilSwitch=0,VLOOKUP($A177,[1]!OilCurve,4),VLOOKUP($A177,[1]!BrentCurve,4))</f>
        <v>20.73</v>
      </c>
      <c r="J177" s="517" t="n">
        <v>-0.0265280494576016</v>
      </c>
      <c r="K177" s="503" t="n">
        <f aca="false">IF(shiftswitch2=1,K176+$D$9*(I177-K176)+($E$9*(K176^$F$9)*J177)+(1-$D$9)*(I177-I176),K176+$D$11*(H177-K176)+($E$11*(K176^$F$11)*J177)+(1-$D$11)*(H177-H176))</f>
        <v>19.7193292936381</v>
      </c>
      <c r="M177" s="503"/>
      <c r="AP177" s="454"/>
      <c r="AQ177" s="454"/>
      <c r="AR177" s="454"/>
      <c r="AS177" s="454"/>
    </row>
    <row r="178" customFormat="false" ht="10.5" hidden="false" customHeight="false" outlineLevel="0" collapsed="false">
      <c r="A178" s="498" t="n">
        <v>39783</v>
      </c>
      <c r="B178" s="499" t="n">
        <f aca="false">YEAR(A178)</f>
        <v>2008</v>
      </c>
      <c r="C178" s="500" t="n">
        <v>3.2465</v>
      </c>
      <c r="D178" s="501" t="n">
        <f aca="false">IF(GasSwitch=0,VLOOKUP($A178,[1]!GasCurve,4),VLOOKUP($A178,[1]!AecoCurve,5))</f>
        <v>3.1895</v>
      </c>
      <c r="E178" s="517" t="n">
        <v>-0.0137869906470063</v>
      </c>
      <c r="F178" s="503" t="n">
        <f aca="false">IF(shiftswitch2=1,IF(F177+$D$8*(D178-F177)+($E$8*(F177^$F$8)*E178)+(1-$D$8)*(D178-D177)&lt;0,0.01,F177+$D$8*(D178-F177)+($E$8*(F177^$F$8)*E178)+(1-$D$8)*(D178-D177)),IF(F177+$D$10*(C178-F177)+($E$10*(F177^$F$10)*E178)+(1-$D$10)*(C178-C177)&lt;0,0.01,F177+$D$10*(C178-F177)+($E$10*(F177^$F$10)*E178)+(1-$D$10)*(C178-C177)))</f>
        <v>3.24083107343736</v>
      </c>
      <c r="G178" s="503"/>
      <c r="H178" s="504" t="n">
        <v>19.89</v>
      </c>
      <c r="I178" s="501" t="n">
        <f aca="false">IF(OilSwitch=0,VLOOKUP($A178,[1]!OilCurve,4),VLOOKUP($A178,[1]!BrentCurve,4))</f>
        <v>20.78</v>
      </c>
      <c r="J178" s="517" t="n">
        <v>-0.0191787654807542</v>
      </c>
      <c r="K178" s="503" t="n">
        <f aca="false">IF(shiftswitch2=1,K177+$D$9*(I178-K177)+($E$9*(K177^$F$9)*J178)+(1-$D$9)*(I178-I177),K177+$D$11*(H178-K177)+($E$11*(K177^$F$11)*J178)+(1-$D$11)*(H178-H177))</f>
        <v>19.7493622278079</v>
      </c>
      <c r="M178" s="503"/>
      <c r="AP178" s="454"/>
      <c r="AQ178" s="454"/>
      <c r="AR178" s="454"/>
      <c r="AS178" s="454"/>
    </row>
    <row r="179" customFormat="false" ht="10.5" hidden="false" customHeight="false" outlineLevel="0" collapsed="false">
      <c r="A179" s="498" t="n">
        <v>39814</v>
      </c>
      <c r="B179" s="512" t="n">
        <f aca="false">YEAR(A179)</f>
        <v>2009</v>
      </c>
      <c r="C179" s="513" t="n">
        <v>3.315</v>
      </c>
      <c r="D179" s="501" t="n">
        <f aca="false">IF(GasSwitch=0,VLOOKUP($A179,[1]!GasCurve,4),VLOOKUP($A179,[1]!AecoCurve,5))</f>
        <v>3.2395</v>
      </c>
      <c r="E179" s="517" t="n">
        <v>-0.0399204859321025</v>
      </c>
      <c r="F179" s="503" t="n">
        <f aca="false">IF(shiftswitch2=1,IF(F178+$D$8*(D179-F178)+($E$8*(F178^$F$8)*E179)+(1-$D$8)*(D179-D178)&lt;0,0.01,F178+$D$8*(D179-F178)+($E$8*(F178^$F$8)*E179)+(1-$D$8)*(D179-D178)),IF(F178+$D$10*(C179-F178)+($E$10*(F178^$F$10)*E179)+(1-$D$10)*(C179-C178)&lt;0,0.01,F178+$D$10*(C179-F178)+($E$10*(F178^$F$10)*E179)+(1-$D$10)*(C179-C178)))</f>
        <v>3.2890584208172</v>
      </c>
      <c r="G179" s="503"/>
      <c r="H179" s="516" t="n">
        <v>19.94</v>
      </c>
      <c r="I179" s="501" t="n">
        <f aca="false">IF(OilSwitch=0,VLOOKUP($A179,[1]!OilCurve,4),VLOOKUP($A179,[1]!BrentCurve,4))</f>
        <v>20.83</v>
      </c>
      <c r="J179" s="518" t="n">
        <v>-0.000279413777617632</v>
      </c>
      <c r="K179" s="515" t="n">
        <f aca="false">IF(shiftswitch2=1,K178+$D$9*(I179-K178)+($E$9*(K178^$F$9)*J179)+(1-$D$9)*(I179-I178),K178+$D$11*(H179-K178)+($E$11*(K178^$F$11)*J179)+(1-$D$11)*(H179-H178))</f>
        <v>19.812820422729</v>
      </c>
      <c r="M179" s="503"/>
      <c r="AP179" s="454"/>
      <c r="AQ179" s="454"/>
      <c r="AR179" s="454"/>
      <c r="AS179" s="454"/>
    </row>
    <row r="180" customFormat="false" ht="10.5" hidden="false" customHeight="false" outlineLevel="0" collapsed="false">
      <c r="A180" s="498" t="n">
        <v>39845</v>
      </c>
      <c r="B180" s="499" t="n">
        <f aca="false">YEAR(A180)</f>
        <v>2009</v>
      </c>
      <c r="C180" s="500" t="n">
        <v>3.197</v>
      </c>
      <c r="D180" s="501" t="n">
        <f aca="false">IF(GasSwitch=0,VLOOKUP($A180,[1]!GasCurve,4),VLOOKUP($A180,[1]!AecoCurve,5))</f>
        <v>3.1505</v>
      </c>
      <c r="E180" s="517" t="n">
        <v>-0.0294985378162276</v>
      </c>
      <c r="F180" s="503" t="n">
        <f aca="false">IF(shiftswitch2=1,IF(F179+$D$8*(D180-F179)+($E$8*(F179^$F$8)*E180)+(1-$D$8)*(D180-D179)&lt;0,0.01,F179+$D$8*(D180-F179)+($E$8*(F179^$F$8)*E180)+(1-$D$8)*(D180-D179)),IF(F179+$D$10*(C180-F179)+($E$10*(F179^$F$10)*E180)+(1-$D$10)*(C180-C179)&lt;0,0.01,F179+$D$10*(C180-F179)+($E$10*(F179^$F$10)*E180)+(1-$D$10)*(C180-C179)))</f>
        <v>3.16461678343121</v>
      </c>
      <c r="G180" s="503"/>
      <c r="H180" s="504" t="n">
        <v>19.99</v>
      </c>
      <c r="I180" s="501" t="n">
        <f aca="false">IF(OilSwitch=0,VLOOKUP($A180,[1]!OilCurve,4),VLOOKUP($A180,[1]!BrentCurve,4))</f>
        <v>20.88</v>
      </c>
      <c r="J180" s="517" t="n">
        <v>0.012628992225392</v>
      </c>
      <c r="K180" s="503" t="n">
        <f aca="false">IF(shiftswitch2=1,K179+$D$9*(I180-K179)+($E$9*(K179^$F$9)*J180)+(1-$D$9)*(I180-I179),K179+$D$11*(H180-K179)+($E$11*(K179^$F$11)*J180)+(1-$D$11)*(H180-H179))</f>
        <v>19.8964258439419</v>
      </c>
      <c r="M180" s="503"/>
      <c r="AP180" s="454"/>
      <c r="AQ180" s="454"/>
      <c r="AR180" s="454"/>
      <c r="AS180" s="454"/>
    </row>
    <row r="181" customFormat="false" ht="10.5" hidden="false" customHeight="false" outlineLevel="0" collapsed="false">
      <c r="A181" s="498" t="n">
        <v>39873</v>
      </c>
      <c r="B181" s="499" t="n">
        <f aca="false">YEAR(A181)</f>
        <v>2009</v>
      </c>
      <c r="C181" s="500" t="n">
        <v>3.077</v>
      </c>
      <c r="D181" s="501" t="n">
        <f aca="false">IF(GasSwitch=0,VLOOKUP($A181,[1]!GasCurve,4),VLOOKUP($A181,[1]!AecoCurve,5))</f>
        <v>3.0535</v>
      </c>
      <c r="E181" s="517" t="n">
        <v>0.00713140730216144</v>
      </c>
      <c r="F181" s="503" t="n">
        <f aca="false">IF(shiftswitch2=1,IF(F180+$D$8*(D181-F180)+($E$8*(F180^$F$8)*E181)+(1-$D$8)*(D181-D180)&lt;0,0.01,F180+$D$8*(D181-F180)+($E$8*(F180^$F$8)*E181)+(1-$D$8)*(D181-D180)),IF(F180+$D$10*(C181-F180)+($E$10*(F180^$F$10)*E181)+(1-$D$10)*(C181-C180)&lt;0,0.01,F180+$D$10*(C181-F180)+($E$10*(F180^$F$10)*E181)+(1-$D$10)*(C181-C180)))</f>
        <v>3.06148894289887</v>
      </c>
      <c r="G181" s="503"/>
      <c r="H181" s="504" t="n">
        <v>20.04</v>
      </c>
      <c r="I181" s="501" t="n">
        <f aca="false">IF(OilSwitch=0,VLOOKUP($A181,[1]!OilCurve,4),VLOOKUP($A181,[1]!BrentCurve,4))</f>
        <v>20.93</v>
      </c>
      <c r="J181" s="517" t="n">
        <v>-0.0495684148132027</v>
      </c>
      <c r="K181" s="503" t="n">
        <f aca="false">IF(shiftswitch2=1,K180+$D$9*(I181-K180)+($E$9*(K180^$F$9)*J181)+(1-$D$9)*(I181-I180),K180+$D$11*(H181-K180)+($E$11*(K180^$F$11)*J181)+(1-$D$11)*(H181-H180))</f>
        <v>19.8732078431425</v>
      </c>
      <c r="M181" s="503"/>
      <c r="AP181" s="454"/>
      <c r="AQ181" s="454"/>
      <c r="AR181" s="454"/>
      <c r="AS181" s="454"/>
    </row>
    <row r="182" customFormat="false" ht="10.5" hidden="false" customHeight="false" outlineLevel="0" collapsed="false">
      <c r="A182" s="498" t="n">
        <v>39904</v>
      </c>
      <c r="B182" s="499" t="n">
        <f aca="false">YEAR(A182)</f>
        <v>2009</v>
      </c>
      <c r="C182" s="500" t="n">
        <v>3.0275</v>
      </c>
      <c r="D182" s="501" t="n">
        <f aca="false">IF(GasSwitch=0,VLOOKUP($A182,[1]!GasCurve,4),VLOOKUP($A182,[1]!AecoCurve,5))</f>
        <v>2.9715</v>
      </c>
      <c r="E182" s="517" t="n">
        <v>-0.00512129298061248</v>
      </c>
      <c r="F182" s="503" t="n">
        <f aca="false">IF(shiftswitch2=1,IF(F181+$D$8*(D182-F181)+($E$8*(F181^$F$8)*E182)+(1-$D$8)*(D182-D181)&lt;0,0.01,F181+$D$8*(D182-F181)+($E$8*(F181^$F$8)*E182)+(1-$D$8)*(D182-D181)),IF(F181+$D$10*(C182-F181)+($E$10*(F181^$F$10)*E182)+(1-$D$10)*(C182-C181)&lt;0,0.01,F181+$D$10*(C182-F181)+($E$10*(F181^$F$10)*E182)+(1-$D$10)*(C182-C181)))</f>
        <v>3.01535624030699</v>
      </c>
      <c r="G182" s="503"/>
      <c r="H182" s="504" t="n">
        <v>20.09</v>
      </c>
      <c r="I182" s="501" t="n">
        <f aca="false">IF(OilSwitch=0,VLOOKUP($A182,[1]!OilCurve,4),VLOOKUP($A182,[1]!BrentCurve,4))</f>
        <v>20.98</v>
      </c>
      <c r="J182" s="517" t="n">
        <v>0.0101545958569112</v>
      </c>
      <c r="K182" s="503" t="n">
        <f aca="false">IF(shiftswitch2=1,K181+$D$9*(I182-K181)+($E$9*(K181^$F$9)*J182)+(1-$D$9)*(I182-I181),K181+$D$11*(H182-K181)+($E$11*(K181^$F$11)*J182)+(1-$D$11)*(H182-H181))</f>
        <v>19.9566175141773</v>
      </c>
      <c r="M182" s="503"/>
      <c r="AP182" s="454"/>
      <c r="AQ182" s="454"/>
      <c r="AR182" s="454"/>
      <c r="AS182" s="454"/>
    </row>
    <row r="183" customFormat="false" ht="10.5" hidden="false" customHeight="false" outlineLevel="0" collapsed="false">
      <c r="A183" s="498" t="n">
        <v>39934</v>
      </c>
      <c r="B183" s="499" t="n">
        <f aca="false">YEAR(A183)</f>
        <v>2009</v>
      </c>
      <c r="C183" s="500" t="n">
        <v>3.0015</v>
      </c>
      <c r="D183" s="501" t="n">
        <f aca="false">IF(GasSwitch=0,VLOOKUP($A183,[1]!GasCurve,4),VLOOKUP($A183,[1]!AecoCurve,5))</f>
        <v>2.9775</v>
      </c>
      <c r="E183" s="517" t="n">
        <v>-0.0130185960784677</v>
      </c>
      <c r="F183" s="503" t="n">
        <f aca="false">IF(shiftswitch2=1,IF(F182+$D$8*(D183-F182)+($E$8*(F182^$F$8)*E183)+(1-$D$8)*(D183-D182)&lt;0,0.01,F182+$D$8*(D183-F182)+($E$8*(F182^$F$8)*E183)+(1-$D$8)*(D183-D182)),IF(F182+$D$10*(C183-F182)+($E$10*(F182^$F$10)*E183)+(1-$D$10)*(C183-C182)&lt;0,0.01,F182+$D$10*(C183-F182)+($E$10*(F182^$F$10)*E183)+(1-$D$10)*(C183-C182)))</f>
        <v>2.98710474542055</v>
      </c>
      <c r="G183" s="503"/>
      <c r="H183" s="504" t="n">
        <v>20.14</v>
      </c>
      <c r="I183" s="501" t="n">
        <f aca="false">IF(OilSwitch=0,VLOOKUP($A183,[1]!OilCurve,4),VLOOKUP($A183,[1]!BrentCurve,4))</f>
        <v>21.03</v>
      </c>
      <c r="J183" s="517" t="n">
        <v>-0.00692872753618678</v>
      </c>
      <c r="K183" s="503" t="n">
        <f aca="false">IF(shiftswitch2=1,K182+$D$9*(I183-K182)+($E$9*(K182^$F$9)*J183)+(1-$D$9)*(I183-I182),K182+$D$11*(H183-K182)+($E$11*(K182^$F$11)*J183)+(1-$D$11)*(H183-H182))</f>
        <v>20.0082929776535</v>
      </c>
      <c r="M183" s="503"/>
      <c r="AP183" s="454"/>
      <c r="AQ183" s="454"/>
      <c r="AR183" s="454"/>
      <c r="AS183" s="454"/>
    </row>
    <row r="184" customFormat="false" ht="10.5" hidden="false" customHeight="false" outlineLevel="0" collapsed="false">
      <c r="A184" s="498" t="n">
        <v>39965</v>
      </c>
      <c r="B184" s="499" t="n">
        <f aca="false">YEAR(A184)</f>
        <v>2009</v>
      </c>
      <c r="C184" s="500" t="n">
        <v>3.0075</v>
      </c>
      <c r="D184" s="501" t="n">
        <f aca="false">IF(GasSwitch=0,VLOOKUP($A184,[1]!GasCurve,4),VLOOKUP($A184,[1]!AecoCurve,5))</f>
        <v>2.9925</v>
      </c>
      <c r="E184" s="517" t="n">
        <v>-0.0438838381849219</v>
      </c>
      <c r="F184" s="503" t="n">
        <f aca="false">IF(shiftswitch2=1,IF(F183+$D$8*(D184-F183)+($E$8*(F183^$F$8)*E184)+(1-$D$8)*(D184-D183)&lt;0,0.01,F183+$D$8*(D184-F183)+($E$8*(F183^$F$8)*E184)+(1-$D$8)*(D184-D183)),IF(F183+$D$10*(C184-F183)+($E$10*(F183^$F$10)*E184)+(1-$D$10)*(C184-C183)&lt;0,0.01,F183+$D$10*(C184-F183)+($E$10*(F183^$F$10)*E184)+(1-$D$10)*(C184-C183)))</f>
        <v>2.97505937087698</v>
      </c>
      <c r="G184" s="503"/>
      <c r="H184" s="504" t="n">
        <v>20.19</v>
      </c>
      <c r="I184" s="501" t="n">
        <f aca="false">IF(OilSwitch=0,VLOOKUP($A184,[1]!OilCurve,4),VLOOKUP($A184,[1]!BrentCurve,4))</f>
        <v>21.08</v>
      </c>
      <c r="J184" s="517" t="n">
        <v>-0.00114158031255</v>
      </c>
      <c r="K184" s="503" t="n">
        <f aca="false">IF(shiftswitch2=1,K183+$D$9*(I184-K183)+($E$9*(K183^$F$9)*J184)+(1-$D$9)*(I184-I183),K183+$D$11*(H184-K183)+($E$11*(K183^$F$11)*J184)+(1-$D$11)*(H184-H183))</f>
        <v>20.0694323832257</v>
      </c>
      <c r="M184" s="503"/>
      <c r="AP184" s="454"/>
      <c r="AQ184" s="454"/>
      <c r="AR184" s="454"/>
      <c r="AS184" s="454"/>
    </row>
    <row r="185" customFormat="false" ht="10.5" hidden="false" customHeight="false" outlineLevel="0" collapsed="false">
      <c r="A185" s="498" t="n">
        <v>39995</v>
      </c>
      <c r="B185" s="499" t="n">
        <f aca="false">YEAR(A185)</f>
        <v>2009</v>
      </c>
      <c r="C185" s="500" t="n">
        <v>3.0175</v>
      </c>
      <c r="D185" s="501" t="n">
        <f aca="false">IF(GasSwitch=0,VLOOKUP($A185,[1]!GasCurve,4),VLOOKUP($A185,[1]!AecoCurve,5))</f>
        <v>3.0035</v>
      </c>
      <c r="E185" s="517" t="n">
        <v>-0.0384523222967193</v>
      </c>
      <c r="F185" s="503" t="n">
        <f aca="false">IF(shiftswitch2=1,IF(F184+$D$8*(D185-F184)+($E$8*(F184^$F$8)*E185)+(1-$D$8)*(D185-D184)&lt;0,0.01,F184+$D$8*(D185-F184)+($E$8*(F184^$F$8)*E185)+(1-$D$8)*(D185-D184)),IF(F184+$D$10*(C185-F184)+($E$10*(F184^$F$10)*E185)+(1-$D$10)*(C185-C184)&lt;0,0.01,F184+$D$10*(C185-F184)+($E$10*(F184^$F$10)*E185)+(1-$D$10)*(C185-C184)))</f>
        <v>2.97718467063429</v>
      </c>
      <c r="G185" s="503"/>
      <c r="H185" s="504" t="n">
        <v>20.24</v>
      </c>
      <c r="I185" s="501" t="n">
        <f aca="false">IF(OilSwitch=0,VLOOKUP($A185,[1]!OilCurve,4),VLOOKUP($A185,[1]!BrentCurve,4))</f>
        <v>21.13</v>
      </c>
      <c r="J185" s="517" t="n">
        <v>-0.0537704139900501</v>
      </c>
      <c r="K185" s="503" t="n">
        <f aca="false">IF(shiftswitch2=1,K184+$D$9*(I185-K184)+($E$9*(K184^$F$9)*J185)+(1-$D$9)*(I185-I184),K184+$D$11*(H185-K184)+($E$11*(K184^$F$11)*J185)+(1-$D$11)*(H185-H184))</f>
        <v>20.0418946084069</v>
      </c>
      <c r="M185" s="503"/>
      <c r="AP185" s="454"/>
      <c r="AQ185" s="454"/>
      <c r="AR185" s="454"/>
      <c r="AS185" s="454"/>
    </row>
    <row r="186" customFormat="false" ht="10.5" hidden="false" customHeight="false" outlineLevel="0" collapsed="false">
      <c r="A186" s="498" t="n">
        <v>40026</v>
      </c>
      <c r="B186" s="499" t="n">
        <f aca="false">YEAR(A186)</f>
        <v>2009</v>
      </c>
      <c r="C186" s="500" t="n">
        <v>3.0245</v>
      </c>
      <c r="D186" s="501" t="n">
        <f aca="false">IF(GasSwitch=0,VLOOKUP($A186,[1]!GasCurve,4),VLOOKUP($A186,[1]!AecoCurve,5))</f>
        <v>3.0125</v>
      </c>
      <c r="E186" s="517" t="n">
        <v>-0.0333657644326089</v>
      </c>
      <c r="F186" s="503" t="n">
        <f aca="false">IF(shiftswitch2=1,IF(F185+$D$8*(D186-F185)+($E$8*(F185^$F$8)*E186)+(1-$D$8)*(D186-D185)&lt;0,0.01,F185+$D$8*(D186-F185)+($E$8*(F185^$F$8)*E186)+(1-$D$8)*(D186-D185)),IF(F185+$D$10*(C186-F185)+($E$10*(F185^$F$10)*E186)+(1-$D$10)*(C186-C185)&lt;0,0.01,F185+$D$10*(C186-F185)+($E$10*(F185^$F$10)*E186)+(1-$D$10)*(C186-C185)))</f>
        <v>2.98218971825801</v>
      </c>
      <c r="G186" s="503"/>
      <c r="H186" s="504" t="n">
        <v>20.29</v>
      </c>
      <c r="I186" s="501" t="n">
        <f aca="false">IF(OilSwitch=0,VLOOKUP($A186,[1]!OilCurve,4),VLOOKUP($A186,[1]!BrentCurve,4))</f>
        <v>21.18</v>
      </c>
      <c r="J186" s="517" t="n">
        <v>-0.00465432116289786</v>
      </c>
      <c r="K186" s="503" t="n">
        <f aca="false">IF(shiftswitch2=1,K185+$D$9*(I186-K185)+($E$9*(K185^$F$9)*J186)+(1-$D$9)*(I186-I185),K185+$D$11*(H186-K185)+($E$11*(K185^$F$11)*J186)+(1-$D$11)*(H186-H185))</f>
        <v>20.1037622517596</v>
      </c>
      <c r="M186" s="503"/>
      <c r="AP186" s="454"/>
      <c r="AQ186" s="454"/>
      <c r="AR186" s="454"/>
      <c r="AS186" s="454"/>
    </row>
    <row r="187" customFormat="false" ht="10.5" hidden="false" customHeight="false" outlineLevel="0" collapsed="false">
      <c r="A187" s="498" t="n">
        <v>40057</v>
      </c>
      <c r="B187" s="499" t="n">
        <f aca="false">YEAR(A187)</f>
        <v>2009</v>
      </c>
      <c r="C187" s="500" t="n">
        <v>3.0315</v>
      </c>
      <c r="D187" s="501" t="n">
        <f aca="false">IF(GasSwitch=0,VLOOKUP($A187,[1]!GasCurve,4),VLOOKUP($A187,[1]!AecoCurve,5))</f>
        <v>3.0135</v>
      </c>
      <c r="E187" s="517" t="n">
        <v>-0.0312239480271604</v>
      </c>
      <c r="F187" s="503" t="n">
        <f aca="false">IF(shiftswitch2=1,IF(F186+$D$8*(D187-F186)+($E$8*(F186^$F$8)*E187)+(1-$D$8)*(D187-D186)&lt;0,0.01,F186+$D$8*(D187-F186)+($E$8*(F186^$F$8)*E187)+(1-$D$8)*(D187-D186)),IF(F186+$D$10*(C187-F186)+($E$10*(F186^$F$10)*E187)+(1-$D$10)*(C187-C186)&lt;0,0.01,F186+$D$10*(C187-F186)+($E$10*(F186^$F$10)*E187)+(1-$D$10)*(C187-C186)))</f>
        <v>2.98913353579737</v>
      </c>
      <c r="G187" s="503"/>
      <c r="H187" s="504" t="n">
        <v>20.34</v>
      </c>
      <c r="I187" s="501" t="n">
        <f aca="false">IF(OilSwitch=0,VLOOKUP($A187,[1]!OilCurve,4),VLOOKUP($A187,[1]!BrentCurve,4))</f>
        <v>21.23</v>
      </c>
      <c r="J187" s="517" t="n">
        <v>0.0017232766876761</v>
      </c>
      <c r="K187" s="503" t="n">
        <f aca="false">IF(shiftswitch2=1,K186+$D$9*(I187-K186)+($E$9*(K186^$F$9)*J187)+(1-$D$9)*(I187-I186),K186+$D$11*(H187-K186)+($E$11*(K186^$F$11)*J187)+(1-$D$11)*(H187-H186))</f>
        <v>20.1750673212437</v>
      </c>
      <c r="M187" s="503"/>
      <c r="AP187" s="454"/>
      <c r="AQ187" s="454"/>
      <c r="AR187" s="454"/>
      <c r="AS187" s="454"/>
    </row>
    <row r="188" customFormat="false" ht="10.5" hidden="false" customHeight="false" outlineLevel="0" collapsed="false">
      <c r="A188" s="498" t="n">
        <v>40087</v>
      </c>
      <c r="B188" s="499" t="n">
        <f aca="false">YEAR(A188)</f>
        <v>2009</v>
      </c>
      <c r="C188" s="500" t="n">
        <v>3.0575</v>
      </c>
      <c r="D188" s="501" t="n">
        <f aca="false">IF(GasSwitch=0,VLOOKUP($A188,[1]!GasCurve,4),VLOOKUP($A188,[1]!AecoCurve,5))</f>
        <v>3.0345</v>
      </c>
      <c r="E188" s="517" t="n">
        <v>-0.0260739052741595</v>
      </c>
      <c r="F188" s="503" t="n">
        <f aca="false">IF(shiftswitch2=1,IF(F187+$D$8*(D188-F187)+($E$8*(F187^$F$8)*E188)+(1-$D$8)*(D188-D187)&lt;0,0.01,F187+$D$8*(D188-F187)+($E$8*(F187^$F$8)*E188)+(1-$D$8)*(D188-D187)),IF(F187+$D$10*(C188-F187)+($E$10*(F187^$F$10)*E188)+(1-$D$10)*(C188-C187)&lt;0,0.01,F187+$D$10*(C188-F187)+($E$10*(F187^$F$10)*E188)+(1-$D$10)*(C188-C187)))</f>
        <v>3.017871449933</v>
      </c>
      <c r="G188" s="503"/>
      <c r="H188" s="504" t="n">
        <v>20.39</v>
      </c>
      <c r="I188" s="501" t="n">
        <f aca="false">IF(OilSwitch=0,VLOOKUP($A188,[1]!OilCurve,4),VLOOKUP($A188,[1]!BrentCurve,4))</f>
        <v>21.28</v>
      </c>
      <c r="J188" s="517" t="n">
        <v>-0.0479121650746021</v>
      </c>
      <c r="K188" s="503" t="n">
        <f aca="false">IF(shiftswitch2=1,K187+$D$9*(I188-K187)+($E$9*(K187^$F$9)*J188)+(1-$D$9)*(I188-I187),K187+$D$11*(H188-K187)+($E$11*(K187^$F$11)*J188)+(1-$D$11)*(H188-H187))</f>
        <v>20.1616698137564</v>
      </c>
      <c r="M188" s="503"/>
      <c r="AP188" s="454"/>
      <c r="AQ188" s="454"/>
      <c r="AR188" s="454"/>
      <c r="AS188" s="454"/>
    </row>
    <row r="189" customFormat="false" ht="10.5" hidden="false" customHeight="false" outlineLevel="0" collapsed="false">
      <c r="A189" s="498" t="n">
        <v>40118</v>
      </c>
      <c r="B189" s="499" t="n">
        <f aca="false">YEAR(A189)</f>
        <v>2009</v>
      </c>
      <c r="C189" s="500" t="n">
        <v>3.1925</v>
      </c>
      <c r="D189" s="501" t="n">
        <f aca="false">IF(GasSwitch=0,VLOOKUP($A189,[1]!GasCurve,4),VLOOKUP($A189,[1]!AecoCurve,5))</f>
        <v>3.1405</v>
      </c>
      <c r="E189" s="517" t="n">
        <v>0.00302525200901645</v>
      </c>
      <c r="F189" s="503" t="n">
        <f aca="false">IF(shiftswitch2=1,IF(F188+$D$8*(D189-F188)+($E$8*(F188^$F$8)*E189)+(1-$D$8)*(D189-D188)&lt;0,0.01,F188+$D$8*(D189-F188)+($E$8*(F188^$F$8)*E189)+(1-$D$8)*(D189-D188)),IF(F188+$D$10*(C189-F188)+($E$10*(F188^$F$10)*E189)+(1-$D$10)*(C189-C188)&lt;0,0.01,F188+$D$10*(C189-F188)+($E$10*(F188^$F$10)*E189)+(1-$D$10)*(C189-C188)))</f>
        <v>3.17029912979917</v>
      </c>
      <c r="G189" s="503"/>
      <c r="H189" s="504" t="n">
        <v>20.44</v>
      </c>
      <c r="I189" s="501" t="n">
        <f aca="false">IF(OilSwitch=0,VLOOKUP($A189,[1]!OilCurve,4),VLOOKUP($A189,[1]!BrentCurve,4))</f>
        <v>21.33</v>
      </c>
      <c r="J189" s="517" t="n">
        <v>0.0237244029228498</v>
      </c>
      <c r="K189" s="503" t="n">
        <f aca="false">IF(shiftswitch2=1,K188+$D$9*(I189-K188)+($E$9*(K188^$F$9)*J189)+(1-$D$9)*(I189-I188),K188+$D$11*(H189-K188)+($E$11*(K188^$F$11)*J189)+(1-$D$11)*(H189-H188))</f>
        <v>20.2737519086581</v>
      </c>
      <c r="M189" s="503"/>
      <c r="AP189" s="454"/>
      <c r="AQ189" s="454"/>
      <c r="AR189" s="454"/>
      <c r="AS189" s="454"/>
    </row>
    <row r="190" customFormat="false" ht="10.5" hidden="false" customHeight="false" outlineLevel="0" collapsed="false">
      <c r="A190" s="498" t="n">
        <v>40148</v>
      </c>
      <c r="B190" s="499" t="n">
        <f aca="false">YEAR(A190)</f>
        <v>2009</v>
      </c>
      <c r="C190" s="500" t="n">
        <v>3.3165</v>
      </c>
      <c r="D190" s="501" t="n">
        <f aca="false">IF(GasSwitch=0,VLOOKUP($A190,[1]!GasCurve,4),VLOOKUP($A190,[1]!AecoCurve,5))</f>
        <v>3.2485</v>
      </c>
      <c r="E190" s="517" t="n">
        <v>0.0177198621750979</v>
      </c>
      <c r="F190" s="503" t="n">
        <f aca="false">IF(shiftswitch2=1,IF(F189+$D$8*(D190-F189)+($E$8*(F189^$F$8)*E190)+(1-$D$8)*(D190-D189)&lt;0,0.01,F189+$D$8*(D190-F189)+($E$8*(F189^$F$8)*E190)+(1-$D$8)*(D190-D189)),IF(F189+$D$10*(C190-F189)+($E$10*(F189^$F$10)*E190)+(1-$D$10)*(C190-C189)&lt;0,0.01,F189+$D$10*(C190-F189)+($E$10*(F189^$F$10)*E190)+(1-$D$10)*(C190-C189)))</f>
        <v>3.31303069404241</v>
      </c>
      <c r="G190" s="503"/>
      <c r="H190" s="504" t="n">
        <v>20.49</v>
      </c>
      <c r="I190" s="501" t="n">
        <f aca="false">IF(OilSwitch=0,VLOOKUP($A190,[1]!OilCurve,4),VLOOKUP($A190,[1]!BrentCurve,4))</f>
        <v>21.38</v>
      </c>
      <c r="J190" s="517" t="n">
        <v>-0.0272419772208973</v>
      </c>
      <c r="K190" s="503" t="n">
        <f aca="false">IF(shiftswitch2=1,K189+$D$9*(I190-K189)+($E$9*(K189^$F$9)*J190)+(1-$D$9)*(I190-I189),K189+$D$11*(H190-K189)+($E$11*(K189^$F$11)*J190)+(1-$D$11)*(H190-H189))</f>
        <v>20.2948798196054</v>
      </c>
      <c r="M190" s="503"/>
      <c r="AP190" s="454"/>
      <c r="AQ190" s="454"/>
      <c r="AR190" s="454"/>
      <c r="AS190" s="454"/>
    </row>
    <row r="191" customFormat="false" ht="10.5" hidden="false" customHeight="false" outlineLevel="0" collapsed="false">
      <c r="A191" s="498" t="n">
        <v>40179</v>
      </c>
      <c r="B191" s="512" t="n">
        <f aca="false">YEAR(A191)</f>
        <v>2010</v>
      </c>
      <c r="C191" s="513" t="n">
        <v>3.39</v>
      </c>
      <c r="D191" s="501" t="n">
        <f aca="false">IF(GasSwitch=0,VLOOKUP($A191,[1]!GasCurve,4),VLOOKUP($A191,[1]!AecoCurve,5))</f>
        <v>3.299</v>
      </c>
      <c r="E191" s="517" t="n">
        <v>-0.0895926570170034</v>
      </c>
      <c r="F191" s="503" t="n">
        <f aca="false">IF(shiftswitch2=1,IF(F190+$D$8*(D191-F190)+($E$8*(F190^$F$8)*E191)+(1-$D$8)*(D191-D190)&lt;0,0.01,F190+$D$8*(D191-F190)+($E$8*(F190^$F$8)*E191)+(1-$D$8)*(D191-D190)),IF(F190+$D$10*(C191-F190)+($E$10*(F190^$F$10)*E191)+(1-$D$10)*(C191-C190)&lt;0,0.01,F190+$D$10*(C191-F190)+($E$10*(F190^$F$10)*E191)+(1-$D$10)*(C191-C190)))</f>
        <v>3.33678842297362</v>
      </c>
      <c r="G191" s="503"/>
      <c r="H191" s="516" t="n">
        <v>20.54</v>
      </c>
      <c r="I191" s="501" t="n">
        <f aca="false">IF(OilSwitch=0,VLOOKUP($A191,[1]!OilCurve,4),VLOOKUP($A191,[1]!BrentCurve,4))</f>
        <v>21.43</v>
      </c>
      <c r="J191" s="518" t="n">
        <v>0.0842972455274236</v>
      </c>
      <c r="K191" s="515" t="n">
        <f aca="false">IF(shiftswitch2=1,K190+$D$9*(I191-K190)+($E$9*(K190^$F$9)*J191)+(1-$D$9)*(I191-I190),K190+$D$11*(H191-K190)+($E$11*(K190^$F$11)*J191)+(1-$D$11)*(H191-H190))</f>
        <v>20.5044673340221</v>
      </c>
      <c r="M191" s="503"/>
      <c r="AP191" s="454"/>
      <c r="AQ191" s="454"/>
      <c r="AR191" s="454"/>
      <c r="AS191" s="454"/>
    </row>
    <row r="192" customFormat="false" ht="10.5" hidden="false" customHeight="false" outlineLevel="0" collapsed="false">
      <c r="A192" s="498" t="n">
        <v>40210</v>
      </c>
      <c r="B192" s="499" t="n">
        <f aca="false">YEAR(A192)</f>
        <v>2010</v>
      </c>
      <c r="C192" s="500" t="n">
        <v>3.272</v>
      </c>
      <c r="D192" s="501" t="n">
        <f aca="false">IF(GasSwitch=0,VLOOKUP($A192,[1]!GasCurve,4),VLOOKUP($A192,[1]!AecoCurve,5))</f>
        <v>3.214</v>
      </c>
      <c r="E192" s="517" t="n">
        <v>0.000517682022937725</v>
      </c>
      <c r="F192" s="503" t="n">
        <f aca="false">IF(shiftswitch2=1,IF(F191+$D$8*(D192-F191)+($E$8*(F191^$F$8)*E192)+(1-$D$8)*(D192-D191)&lt;0,0.01,F191+$D$8*(D192-F191)+($E$8*(F191^$F$8)*E192)+(1-$D$8)*(D192-D191)),IF(F191+$D$10*(C192-F191)+($E$10*(F191^$F$10)*E192)+(1-$D$10)*(C192-C191)&lt;0,0.01,F191+$D$10*(C192-F191)+($E$10*(F191^$F$10)*E192)+(1-$D$10)*(C192-C191)))</f>
        <v>3.24027373216721</v>
      </c>
      <c r="G192" s="503"/>
      <c r="H192" s="504" t="n">
        <v>20.59</v>
      </c>
      <c r="I192" s="501" t="n">
        <f aca="false">IF(OilSwitch=0,VLOOKUP($A192,[1]!OilCurve,4),VLOOKUP($A192,[1]!BrentCurve,4))</f>
        <v>21.48</v>
      </c>
      <c r="J192" s="517" t="n">
        <v>-0.00088838732772163</v>
      </c>
      <c r="K192" s="503" t="n">
        <f aca="false">IF(shiftswitch2=1,K191+$D$9*(I192-K191)+($E$9*(K191^$F$9)*J192)+(1-$D$9)*(I192-I191),K191+$D$11*(H192-K191)+($E$11*(K191^$F$11)*J192)+(1-$D$11)*(H192-H191))</f>
        <v>20.5565067914406</v>
      </c>
      <c r="M192" s="503"/>
      <c r="AP192" s="454"/>
      <c r="AQ192" s="454"/>
      <c r="AR192" s="454"/>
      <c r="AS192" s="454"/>
    </row>
    <row r="193" customFormat="false" ht="10.5" hidden="false" customHeight="false" outlineLevel="0" collapsed="false">
      <c r="A193" s="498" t="n">
        <v>40238</v>
      </c>
      <c r="B193" s="499" t="n">
        <f aca="false">YEAR(A193)</f>
        <v>2010</v>
      </c>
      <c r="C193" s="500" t="n">
        <v>3.152</v>
      </c>
      <c r="D193" s="501" t="n">
        <f aca="false">IF(GasSwitch=0,VLOOKUP($A193,[1]!GasCurve,4),VLOOKUP($A193,[1]!AecoCurve,5))</f>
        <v>3.12</v>
      </c>
      <c r="E193" s="517" t="n">
        <v>-0.0072958535074593</v>
      </c>
      <c r="F193" s="503" t="n">
        <f aca="false">IF(shiftswitch2=1,IF(F192+$D$8*(D193-F192)+($E$8*(F192^$F$8)*E193)+(1-$D$8)*(D193-D192)&lt;0,0.01,F192+$D$8*(D193-F192)+($E$8*(F192^$F$8)*E193)+(1-$D$8)*(D193-D192)),IF(F192+$D$10*(C193-F192)+($E$10*(F192^$F$10)*E193)+(1-$D$10)*(C193-C192)&lt;0,0.01,F192+$D$10*(C193-F192)+($E$10*(F192^$F$10)*E193)+(1-$D$10)*(C193-C192)))</f>
        <v>3.12878990797267</v>
      </c>
      <c r="G193" s="503"/>
      <c r="H193" s="504" t="n">
        <v>20.64</v>
      </c>
      <c r="I193" s="501" t="n">
        <f aca="false">IF(OilSwitch=0,VLOOKUP($A193,[1]!OilCurve,4),VLOOKUP($A193,[1]!BrentCurve,4))</f>
        <v>21.53</v>
      </c>
      <c r="J193" s="517" t="n">
        <v>0.0658016431699251</v>
      </c>
      <c r="K193" s="503" t="n">
        <f aca="false">IF(shiftswitch2=1,K192+$D$9*(I193-K192)+($E$9*(K192^$F$9)*J193)+(1-$D$9)*(I193-I192),K192+$D$11*(H193-K192)+($E$11*(K192^$F$11)*J193)+(1-$D$11)*(H193-H192))</f>
        <v>20.7193165533227</v>
      </c>
      <c r="M193" s="503"/>
      <c r="AP193" s="454"/>
      <c r="AQ193" s="454"/>
      <c r="AR193" s="454"/>
      <c r="AS193" s="454"/>
    </row>
    <row r="194" customFormat="false" ht="10.5" hidden="false" customHeight="false" outlineLevel="0" collapsed="false">
      <c r="A194" s="498" t="n">
        <v>40269</v>
      </c>
      <c r="B194" s="499" t="n">
        <f aca="false">YEAR(A194)</f>
        <v>2010</v>
      </c>
      <c r="C194" s="500" t="n">
        <v>3.1025</v>
      </c>
      <c r="D194" s="501" t="n">
        <f aca="false">IF(GasSwitch=0,VLOOKUP($A194,[1]!GasCurve,4),VLOOKUP($A194,[1]!AecoCurve,5))</f>
        <v>3.041</v>
      </c>
      <c r="E194" s="517" t="n">
        <v>0.0252150434615576</v>
      </c>
      <c r="F194" s="503" t="n">
        <f aca="false">IF(shiftswitch2=1,IF(F193+$D$8*(D194-F193)+($E$8*(F193^$F$8)*E194)+(1-$D$8)*(D194-D193)&lt;0,0.01,F193+$D$8*(D194-F193)+($E$8*(F193^$F$8)*E194)+(1-$D$8)*(D194-D193)),IF(F193+$D$10*(C194-F193)+($E$10*(F193^$F$10)*E194)+(1-$D$10)*(C194-C193)&lt;0,0.01,F193+$D$10*(C194-F193)+($E$10*(F193^$F$10)*E194)+(1-$D$10)*(C194-C193)))</f>
        <v>3.10251468720031</v>
      </c>
      <c r="G194" s="503"/>
      <c r="H194" s="504" t="n">
        <v>20.69</v>
      </c>
      <c r="I194" s="501" t="n">
        <f aca="false">IF(OilSwitch=0,VLOOKUP($A194,[1]!OilCurve,4),VLOOKUP($A194,[1]!BrentCurve,4))</f>
        <v>21.58</v>
      </c>
      <c r="J194" s="517" t="n">
        <v>0.00323862700905942</v>
      </c>
      <c r="K194" s="503" t="n">
        <f aca="false">IF(shiftswitch2=1,K193+$D$9*(I194-K193)+($E$9*(K193^$F$9)*J194)+(1-$D$9)*(I194-I193),K193+$D$11*(H194-K193)+($E$11*(K193^$F$11)*J194)+(1-$D$11)*(H194-H193))</f>
        <v>20.7668532898869</v>
      </c>
      <c r="M194" s="503"/>
      <c r="AP194" s="454"/>
      <c r="AQ194" s="454"/>
      <c r="AR194" s="454"/>
      <c r="AS194" s="454"/>
    </row>
    <row r="195" customFormat="false" ht="10.5" hidden="false" customHeight="false" outlineLevel="0" collapsed="false">
      <c r="A195" s="498" t="n">
        <v>40299</v>
      </c>
      <c r="B195" s="499" t="n">
        <f aca="false">YEAR(A195)</f>
        <v>2010</v>
      </c>
      <c r="C195" s="500" t="n">
        <v>3.0765</v>
      </c>
      <c r="D195" s="501" t="n">
        <f aca="false">IF(GasSwitch=0,VLOOKUP($A195,[1]!GasCurve,4),VLOOKUP($A195,[1]!AecoCurve,5))</f>
        <v>3.048</v>
      </c>
      <c r="E195" s="517" t="n">
        <v>-0.00667943643749946</v>
      </c>
      <c r="F195" s="503" t="n">
        <f aca="false">IF(shiftswitch2=1,IF(F194+$D$8*(D195-F194)+($E$8*(F194^$F$8)*E195)+(1-$D$8)*(D195-D194)&lt;0,0.01,F194+$D$8*(D195-F194)+($E$8*(F194^$F$8)*E195)+(1-$D$8)*(D195-D194)),IF(F194+$D$10*(C195-F194)+($E$10*(F194^$F$10)*E195)+(1-$D$10)*(C195-C194)&lt;0,0.01,F194+$D$10*(C195-F194)+($E$10*(F194^$F$10)*E195)+(1-$D$10)*(C195-C194)))</f>
        <v>3.07282047038212</v>
      </c>
      <c r="G195" s="503"/>
      <c r="H195" s="504" t="n">
        <v>20.74</v>
      </c>
      <c r="I195" s="501" t="n">
        <f aca="false">IF(OilSwitch=0,VLOOKUP($A195,[1]!OilCurve,4),VLOOKUP($A195,[1]!BrentCurve,4))</f>
        <v>21.63</v>
      </c>
      <c r="J195" s="517" t="n">
        <v>0.0100443178104068</v>
      </c>
      <c r="K195" s="503" t="n">
        <f aca="false">IF(shiftswitch2=1,K194+$D$9*(I195-K194)+($E$9*(K194^$F$9)*J195)+(1-$D$9)*(I195-I194),K194+$D$11*(H195-K194)+($E$11*(K194^$F$11)*J195)+(1-$D$11)*(H195-H194))</f>
        <v>20.8259585590246</v>
      </c>
      <c r="M195" s="503"/>
      <c r="AP195" s="454"/>
      <c r="AQ195" s="454"/>
      <c r="AR195" s="454"/>
      <c r="AS195" s="454"/>
    </row>
    <row r="196" customFormat="false" ht="10.5" hidden="false" customHeight="false" outlineLevel="0" collapsed="false">
      <c r="A196" s="498" t="n">
        <v>40330</v>
      </c>
      <c r="B196" s="499" t="n">
        <f aca="false">YEAR(A196)</f>
        <v>2010</v>
      </c>
      <c r="C196" s="500" t="n">
        <v>3.0825</v>
      </c>
      <c r="D196" s="501" t="n">
        <f aca="false">IF(GasSwitch=0,VLOOKUP($A196,[1]!GasCurve,4),VLOOKUP($A196,[1]!AecoCurve,5))</f>
        <v>3.064</v>
      </c>
      <c r="E196" s="517" t="n">
        <v>-0.0428326891845222</v>
      </c>
      <c r="F196" s="503" t="n">
        <f aca="false">IF(shiftswitch2=1,IF(F195+$D$8*(D196-F195)+($E$8*(F195^$F$8)*E196)+(1-$D$8)*(D196-D195)&lt;0,0.01,F195+$D$8*(D196-F195)+($E$8*(F195^$F$8)*E196)+(1-$D$8)*(D196-D195)),IF(F195+$D$10*(C196-F195)+($E$10*(F195^$F$10)*E196)+(1-$D$10)*(C196-C195)&lt;0,0.01,F195+$D$10*(C196-F195)+($E$10*(F195^$F$10)*E196)+(1-$D$10)*(C196-C195)))</f>
        <v>3.0567470129111</v>
      </c>
      <c r="G196" s="503"/>
      <c r="H196" s="504" t="n">
        <v>20.79</v>
      </c>
      <c r="I196" s="501" t="n">
        <f aca="false">IF(OilSwitch=0,VLOOKUP($A196,[1]!OilCurve,4),VLOOKUP($A196,[1]!BrentCurve,4))</f>
        <v>21.68</v>
      </c>
      <c r="J196" s="517" t="n">
        <v>-0.0464607908582939</v>
      </c>
      <c r="K196" s="503" t="n">
        <f aca="false">IF(shiftswitch2=1,K195+$D$9*(I196-K195)+($E$9*(K195^$F$9)*J196)+(1-$D$9)*(I196-I195),K195+$D$11*(H196-K195)+($E$11*(K195^$F$11)*J196)+(1-$D$11)*(H196-H195))</f>
        <v>20.7901379056929</v>
      </c>
      <c r="M196" s="503"/>
      <c r="AP196" s="454"/>
      <c r="AQ196" s="454"/>
      <c r="AR196" s="454"/>
      <c r="AS196" s="454"/>
    </row>
    <row r="197" customFormat="false" ht="10.5" hidden="false" customHeight="false" outlineLevel="0" collapsed="false">
      <c r="A197" s="498" t="n">
        <v>40360</v>
      </c>
      <c r="B197" s="499" t="n">
        <f aca="false">YEAR(A197)</f>
        <v>2010</v>
      </c>
      <c r="C197" s="500" t="n">
        <v>3.0925</v>
      </c>
      <c r="D197" s="501" t="n">
        <f aca="false">IF(GasSwitch=0,VLOOKUP($A197,[1]!GasCurve,4),VLOOKUP($A197,[1]!AecoCurve,5))</f>
        <v>3.075</v>
      </c>
      <c r="E197" s="517" t="n">
        <v>-0.0190239199899645</v>
      </c>
      <c r="F197" s="503" t="n">
        <f aca="false">IF(shiftswitch2=1,IF(F196+$D$8*(D197-F196)+($E$8*(F196^$F$8)*E197)+(1-$D$8)*(D197-D196)&lt;0,0.01,F196+$D$8*(D197-F196)+($E$8*(F196^$F$8)*E197)+(1-$D$8)*(D197-D196)),IF(F196+$D$10*(C197-F196)+($E$10*(F196^$F$10)*E197)+(1-$D$10)*(C197-C196)&lt;0,0.01,F196+$D$10*(C197-F196)+($E$10*(F196^$F$10)*E197)+(1-$D$10)*(C197-C196)))</f>
        <v>3.06657466196179</v>
      </c>
      <c r="G197" s="503"/>
      <c r="H197" s="504" t="n">
        <v>20.84</v>
      </c>
      <c r="I197" s="501" t="n">
        <f aca="false">IF(OilSwitch=0,VLOOKUP($A197,[1]!OilCurve,4),VLOOKUP($A197,[1]!BrentCurve,4))</f>
        <v>21.73</v>
      </c>
      <c r="J197" s="517" t="n">
        <v>-0.00400818500512578</v>
      </c>
      <c r="K197" s="503" t="n">
        <f aca="false">IF(shiftswitch2=1,K196+$D$9*(I197-K196)+($E$9*(K196^$F$9)*J197)+(1-$D$9)*(I197-I196),K196+$D$11*(H197-K196)+($E$11*(K196^$F$11)*J197)+(1-$D$11)*(H197-H196))</f>
        <v>20.8334546331808</v>
      </c>
      <c r="M197" s="503"/>
      <c r="AP197" s="454"/>
      <c r="AQ197" s="454"/>
      <c r="AR197" s="454"/>
      <c r="AS197" s="454"/>
    </row>
    <row r="198" customFormat="false" ht="10.5" hidden="false" customHeight="false" outlineLevel="0" collapsed="false">
      <c r="A198" s="498" t="n">
        <v>40391</v>
      </c>
      <c r="B198" s="499" t="n">
        <f aca="false">YEAR(A198)</f>
        <v>2010</v>
      </c>
      <c r="C198" s="500" t="n">
        <v>3.0995</v>
      </c>
      <c r="D198" s="501" t="n">
        <f aca="false">IF(GasSwitch=0,VLOOKUP($A198,[1]!GasCurve,4),VLOOKUP($A198,[1]!AecoCurve,5))</f>
        <v>3.084</v>
      </c>
      <c r="E198" s="517" t="n">
        <v>-0.0601760880285327</v>
      </c>
      <c r="F198" s="503" t="n">
        <f aca="false">IF(shiftswitch2=1,IF(F197+$D$8*(D198-F197)+($E$8*(F197^$F$8)*E198)+(1-$D$8)*(D198-D197)&lt;0,0.01,F197+$D$8*(D198-F197)+($E$8*(F197^$F$8)*E198)+(1-$D$8)*(D198-D197)),IF(F197+$D$10*(C198-F197)+($E$10*(F197^$F$10)*E198)+(1-$D$10)*(C198-C197)&lt;0,0.01,F197+$D$10*(C198-F197)+($E$10*(F197^$F$10)*E198)+(1-$D$10)*(C198-C197)))</f>
        <v>3.05086206990944</v>
      </c>
      <c r="G198" s="503"/>
      <c r="H198" s="504" t="n">
        <v>20.89</v>
      </c>
      <c r="I198" s="501" t="n">
        <f aca="false">IF(OilSwitch=0,VLOOKUP($A198,[1]!OilCurve,4),VLOOKUP($A198,[1]!BrentCurve,4))</f>
        <v>21.78</v>
      </c>
      <c r="J198" s="517" t="n">
        <v>-0.0051306948952599</v>
      </c>
      <c r="K198" s="503" t="n">
        <f aca="false">IF(shiftswitch2=1,K197+$D$9*(I198-K197)+($E$9*(K197^$F$9)*J198)+(1-$D$9)*(I198-I197),K197+$D$11*(H198-K197)+($E$11*(K197^$F$11)*J198)+(1-$D$11)*(H198-H197))</f>
        <v>20.8755651481902</v>
      </c>
      <c r="M198" s="503"/>
      <c r="AP198" s="454"/>
      <c r="AQ198" s="454"/>
      <c r="AR198" s="454"/>
      <c r="AS198" s="454"/>
    </row>
    <row r="199" customFormat="false" ht="10.5" hidden="false" customHeight="false" outlineLevel="0" collapsed="false">
      <c r="A199" s="498" t="n">
        <v>40422</v>
      </c>
      <c r="B199" s="499" t="n">
        <f aca="false">YEAR(A199)</f>
        <v>2010</v>
      </c>
      <c r="C199" s="500" t="n">
        <v>3.1065</v>
      </c>
      <c r="D199" s="501" t="n">
        <f aca="false">IF(GasSwitch=0,VLOOKUP($A199,[1]!GasCurve,4),VLOOKUP($A199,[1]!AecoCurve,5))</f>
        <v>3.084</v>
      </c>
      <c r="E199" s="517" t="n">
        <v>0.0157326496268035</v>
      </c>
      <c r="F199" s="503" t="n">
        <f aca="false">IF(shiftswitch2=1,IF(F198+$D$8*(D199-F198)+($E$8*(F198^$F$8)*E199)+(1-$D$8)*(D199-D198)&lt;0,0.01,F198+$D$8*(D199-F198)+($E$8*(F198^$F$8)*E199)+(1-$D$8)*(D199-D198)),IF(F198+$D$10*(C199-F198)+($E$10*(F198^$F$10)*E199)+(1-$D$10)*(C199-C198)&lt;0,0.01,F198+$D$10*(C199-F198)+($E$10*(F198^$F$10)*E199)+(1-$D$10)*(C199-C198)))</f>
        <v>3.08584460283924</v>
      </c>
      <c r="G199" s="503"/>
      <c r="H199" s="504" t="n">
        <v>20.94</v>
      </c>
      <c r="I199" s="501" t="n">
        <f aca="false">IF(OilSwitch=0,VLOOKUP($A199,[1]!OilCurve,4),VLOOKUP($A199,[1]!BrentCurve,4))</f>
        <v>21.83</v>
      </c>
      <c r="J199" s="517" t="n">
        <v>-0.103492572962741</v>
      </c>
      <c r="K199" s="503" t="n">
        <f aca="false">IF(shiftswitch2=1,K198+$D$9*(I199-K198)+($E$9*(K198^$F$9)*J199)+(1-$D$9)*(I199-I198),K198+$D$11*(H199-K198)+($E$11*(K198^$F$11)*J199)+(1-$D$11)*(H199-H198))</f>
        <v>20.7547825571094</v>
      </c>
      <c r="M199" s="503"/>
      <c r="AP199" s="454"/>
      <c r="AQ199" s="454"/>
      <c r="AR199" s="454"/>
      <c r="AS199" s="454"/>
    </row>
    <row r="200" customFormat="false" ht="10.5" hidden="false" customHeight="false" outlineLevel="0" collapsed="false">
      <c r="A200" s="498" t="n">
        <v>40452</v>
      </c>
      <c r="B200" s="499" t="n">
        <f aca="false">YEAR(A200)</f>
        <v>2010</v>
      </c>
      <c r="C200" s="500" t="n">
        <v>3.1325</v>
      </c>
      <c r="D200" s="501" t="n">
        <f aca="false">IF(GasSwitch=0,VLOOKUP($A200,[1]!GasCurve,4),VLOOKUP($A200,[1]!AecoCurve,5))</f>
        <v>3.104</v>
      </c>
      <c r="E200" s="517" t="n">
        <v>0.0208946064693109</v>
      </c>
      <c r="F200" s="503" t="n">
        <f aca="false">IF(shiftswitch2=1,IF(F199+$D$8*(D200-F199)+($E$8*(F199^$F$8)*E200)+(1-$D$8)*(D200-D199)&lt;0,0.01,F199+$D$8*(D200-F199)+($E$8*(F199^$F$8)*E200)+(1-$D$8)*(D200-D199)),IF(F199+$D$10*(C200-F199)+($E$10*(F199^$F$10)*E200)+(1-$D$10)*(C200-C199)&lt;0,0.01,F199+$D$10*(C200-F199)+($E$10*(F199^$F$10)*E200)+(1-$D$10)*(C200-C199)))</f>
        <v>3.13157649333699</v>
      </c>
      <c r="G200" s="503"/>
      <c r="H200" s="504" t="n">
        <v>20.99</v>
      </c>
      <c r="I200" s="501" t="n">
        <f aca="false">IF(OilSwitch=0,VLOOKUP($A200,[1]!OilCurve,4),VLOOKUP($A200,[1]!BrentCurve,4))</f>
        <v>21.88</v>
      </c>
      <c r="J200" s="517" t="n">
        <v>-0.00944072790033217</v>
      </c>
      <c r="K200" s="503" t="n">
        <f aca="false">IF(shiftswitch2=1,K199+$D$9*(I200-K199)+($E$9*(K199^$F$9)*J200)+(1-$D$9)*(I200-I199),K199+$D$11*(H200-K199)+($E$11*(K199^$F$11)*J200)+(1-$D$11)*(H200-H199))</f>
        <v>20.8074097127294</v>
      </c>
      <c r="M200" s="503"/>
      <c r="AP200" s="454"/>
      <c r="AQ200" s="454"/>
      <c r="AR200" s="454"/>
      <c r="AS200" s="454"/>
    </row>
    <row r="201" customFormat="false" ht="10.5" hidden="false" customHeight="false" outlineLevel="0" collapsed="false">
      <c r="A201" s="498" t="n">
        <v>40483</v>
      </c>
      <c r="B201" s="499" t="n">
        <f aca="false">YEAR(A201)</f>
        <v>2010</v>
      </c>
      <c r="C201" s="500" t="n">
        <v>3.2675</v>
      </c>
      <c r="D201" s="501" t="n">
        <f aca="false">IF(GasSwitch=0,VLOOKUP($A201,[1]!GasCurve,4),VLOOKUP($A201,[1]!AecoCurve,5))</f>
        <v>3.205</v>
      </c>
      <c r="E201" s="517" t="n">
        <v>0.049018436781021</v>
      </c>
      <c r="F201" s="503" t="n">
        <f aca="false">IF(shiftswitch2=1,IF(F200+$D$8*(D201-F200)+($E$8*(F200^$F$8)*E201)+(1-$D$8)*(D201-D200)&lt;0,0.01,F200+$D$8*(D201-F200)+($E$8*(F200^$F$8)*E201)+(1-$D$8)*(D201-D200)),IF(F200+$D$10*(C201-F200)+($E$10*(F200^$F$10)*E201)+(1-$D$10)*(C201-C200)&lt;0,0.01,F200+$D$10*(C201-F200)+($E$10*(F200^$F$10)*E201)+(1-$D$10)*(C201-C200)))</f>
        <v>3.29413857316614</v>
      </c>
      <c r="G201" s="503"/>
      <c r="H201" s="504" t="n">
        <v>21.04</v>
      </c>
      <c r="I201" s="501" t="n">
        <f aca="false">IF(OilSwitch=0,VLOOKUP($A201,[1]!OilCurve,4),VLOOKUP($A201,[1]!BrentCurve,4))</f>
        <v>21.93</v>
      </c>
      <c r="J201" s="517" t="n">
        <v>0.014789276933475</v>
      </c>
      <c r="K201" s="503" t="n">
        <f aca="false">IF(shiftswitch2=1,K200+$D$9*(I201-K200)+($E$9*(K200^$F$9)*J201)+(1-$D$9)*(I201-I200),K200+$D$11*(H201-K200)+($E$11*(K200^$F$11)*J201)+(1-$D$11)*(H201-H200))</f>
        <v>20.9000955079865</v>
      </c>
      <c r="M201" s="503"/>
      <c r="AP201" s="454"/>
      <c r="AQ201" s="454"/>
      <c r="AR201" s="454"/>
      <c r="AS201" s="454"/>
    </row>
    <row r="202" customFormat="false" ht="10.5" hidden="false" customHeight="false" outlineLevel="0" collapsed="false">
      <c r="A202" s="498" t="n">
        <v>40513</v>
      </c>
      <c r="B202" s="499" t="n">
        <f aca="false">YEAR(A202)</f>
        <v>2010</v>
      </c>
      <c r="C202" s="500" t="n">
        <v>3.3915</v>
      </c>
      <c r="D202" s="501" t="n">
        <f aca="false">IF(GasSwitch=0,VLOOKUP($A202,[1]!GasCurve,4),VLOOKUP($A202,[1]!AecoCurve,5))</f>
        <v>3.31</v>
      </c>
      <c r="E202" s="517" t="n">
        <v>-0.0220611049265501</v>
      </c>
      <c r="F202" s="503" t="n">
        <f aca="false">IF(shiftswitch2=1,IF(F201+$D$8*(D202-F201)+($E$8*(F201^$F$8)*E202)+(1-$D$8)*(D202-D201)&lt;0,0.01,F201+$D$8*(D202-F201)+($E$8*(F201^$F$8)*E202)+(1-$D$8)*(D202-D201)),IF(F201+$D$10*(C202-F201)+($E$10*(F201^$F$10)*E202)+(1-$D$10)*(C202-C201)&lt;0,0.01,F201+$D$10*(C202-F201)+($E$10*(F201^$F$10)*E202)+(1-$D$10)*(C202-C201)))</f>
        <v>3.39497843414358</v>
      </c>
      <c r="G202" s="503"/>
      <c r="H202" s="504" t="n">
        <v>21.09</v>
      </c>
      <c r="I202" s="501" t="n">
        <f aca="false">IF(OilSwitch=0,VLOOKUP($A202,[1]!OilCurve,4),VLOOKUP($A202,[1]!BrentCurve,4))</f>
        <v>21.98</v>
      </c>
      <c r="J202" s="517" t="n">
        <v>0.0102568632488748</v>
      </c>
      <c r="K202" s="503" t="n">
        <f aca="false">IF(shiftswitch2=1,K201+$D$9*(I202-K201)+($E$9*(K201^$F$9)*J202)+(1-$D$9)*(I202-I201),K201+$D$11*(H202-K201)+($E$11*(K201^$F$11)*J202)+(1-$D$11)*(H202-H201))</f>
        <v>20.9810134731419</v>
      </c>
      <c r="M202" s="503"/>
      <c r="AP202" s="454"/>
      <c r="AQ202" s="454"/>
      <c r="AR202" s="454"/>
      <c r="AS202" s="454"/>
    </row>
    <row r="203" customFormat="false" ht="10.5" hidden="false" customHeight="false" outlineLevel="0" collapsed="false">
      <c r="A203" s="498" t="n">
        <v>40544</v>
      </c>
      <c r="B203" s="512" t="n">
        <f aca="false">YEAR(A203)</f>
        <v>2011</v>
      </c>
      <c r="C203" s="513" t="n">
        <v>3.47</v>
      </c>
      <c r="D203" s="501" t="n">
        <f aca="false">IF(GasSwitch=0,VLOOKUP($A203,[1]!GasCurve,4),VLOOKUP($A203,[1]!AecoCurve,5))</f>
        <v>3.3585</v>
      </c>
      <c r="E203" s="517" t="n">
        <v>0.015401677731827</v>
      </c>
      <c r="F203" s="503" t="n">
        <f aca="false">IF(shiftswitch2=1,IF(F202+$D$8*(D203-F202)+($E$8*(F202^$F$8)*E203)+(1-$D$8)*(D203-D202)&lt;0,0.01,F202+$D$8*(D203-F202)+($E$8*(F202^$F$8)*E203)+(1-$D$8)*(D203-D202)),IF(F202+$D$10*(C203-F202)+($E$10*(F202^$F$10)*E203)+(1-$D$10)*(C203-C202)&lt;0,0.01,F202+$D$10*(C203-F202)+($E$10*(F202^$F$10)*E203)+(1-$D$10)*(C203-C202)))</f>
        <v>3.480989922124</v>
      </c>
      <c r="G203" s="503"/>
      <c r="H203" s="516" t="n">
        <v>21.14</v>
      </c>
      <c r="I203" s="501" t="n">
        <f aca="false">IF(OilSwitch=0,VLOOKUP($A203,[1]!OilCurve,4),VLOOKUP($A203,[1]!BrentCurve,4))</f>
        <v>22.03</v>
      </c>
      <c r="J203" s="518" t="n">
        <v>0.0121454485301494</v>
      </c>
      <c r="K203" s="515" t="n">
        <f aca="false">IF(shiftswitch2=1,K202+$D$9*(I203-K202)+($E$9*(K202^$F$9)*J203)+(1-$D$9)*(I203-I202),K202+$D$11*(H203-K202)+($E$11*(K202^$F$11)*J203)+(1-$D$11)*(H203-H202))</f>
        <v>21.0620131656551</v>
      </c>
      <c r="M203" s="503"/>
      <c r="AP203" s="454"/>
      <c r="AQ203" s="454"/>
      <c r="AR203" s="454"/>
      <c r="AS203" s="454"/>
    </row>
    <row r="204" customFormat="false" ht="10.5" hidden="false" customHeight="false" outlineLevel="0" collapsed="false">
      <c r="A204" s="498" t="n">
        <v>40575</v>
      </c>
      <c r="B204" s="499" t="n">
        <f aca="false">YEAR(A204)</f>
        <v>2011</v>
      </c>
      <c r="C204" s="500" t="n">
        <v>3.352</v>
      </c>
      <c r="D204" s="501" t="n">
        <f aca="false">IF(GasSwitch=0,VLOOKUP($A204,[1]!GasCurve,4),VLOOKUP($A204,[1]!AecoCurve,5))</f>
        <v>3.2775</v>
      </c>
      <c r="E204" s="517" t="n">
        <v>-0.0563406472276216</v>
      </c>
      <c r="F204" s="503" t="n">
        <f aca="false">IF(shiftswitch2=1,IF(F203+$D$8*(D204-F203)+($E$8*(F203^$F$8)*E204)+(1-$D$8)*(D204-D203)&lt;0,0.01,F203+$D$8*(D204-F203)+($E$8*(F203^$F$8)*E204)+(1-$D$8)*(D204-D203)),IF(F203+$D$10*(C204-F203)+($E$10*(F203^$F$10)*E204)+(1-$D$10)*(C204-C203)&lt;0,0.01,F203+$D$10*(C204-F203)+($E$10*(F203^$F$10)*E204)+(1-$D$10)*(C204-C203)))</f>
        <v>3.32565953613813</v>
      </c>
      <c r="G204" s="503"/>
      <c r="H204" s="504" t="n">
        <v>21.19</v>
      </c>
      <c r="I204" s="501" t="n">
        <f aca="false">IF(OilSwitch=0,VLOOKUP($A204,[1]!OilCurve,4),VLOOKUP($A204,[1]!BrentCurve,4))</f>
        <v>22.08</v>
      </c>
      <c r="J204" s="517" t="n">
        <v>-0.0169696944179189</v>
      </c>
      <c r="K204" s="503" t="n">
        <f aca="false">IF(shiftswitch2=1,K203+$D$9*(I204-K203)+($E$9*(K203^$F$9)*J204)+(1-$D$9)*(I204-I203),K203+$D$11*(H204-K203)+($E$11*(K203^$F$11)*J204)+(1-$D$11)*(H204-H203))</f>
        <v>21.0914962907438</v>
      </c>
      <c r="M204" s="503"/>
      <c r="AP204" s="454"/>
      <c r="AQ204" s="454"/>
      <c r="AR204" s="454"/>
      <c r="AS204" s="454"/>
    </row>
    <row r="205" customFormat="false" ht="10.5" hidden="false" customHeight="false" outlineLevel="0" collapsed="false">
      <c r="A205" s="498" t="n">
        <v>40603</v>
      </c>
      <c r="B205" s="499" t="n">
        <f aca="false">YEAR(A205)</f>
        <v>2011</v>
      </c>
      <c r="C205" s="500" t="n">
        <v>3.232</v>
      </c>
      <c r="D205" s="501" t="n">
        <f aca="false">IF(GasSwitch=0,VLOOKUP($A205,[1]!GasCurve,4),VLOOKUP($A205,[1]!AecoCurve,5))</f>
        <v>3.1865</v>
      </c>
      <c r="E205" s="517" t="n">
        <v>-0.0390112418488998</v>
      </c>
      <c r="F205" s="503" t="n">
        <f aca="false">IF(shiftswitch2=1,IF(F204+$D$8*(D205-F204)+($E$8*(F204^$F$8)*E205)+(1-$D$8)*(D205-D204)&lt;0,0.01,F204+$D$8*(D205-F204)+($E$8*(F204^$F$8)*E205)+(1-$D$8)*(D205-D204)),IF(F204+$D$10*(C205-F204)+($E$10*(F204^$F$10)*E205)+(1-$D$10)*(C205-C204)&lt;0,0.01,F204+$D$10*(C205-F204)+($E$10*(F204^$F$10)*E205)+(1-$D$10)*(C205-C204)))</f>
        <v>3.19384515840835</v>
      </c>
      <c r="G205" s="503"/>
      <c r="H205" s="504" t="n">
        <v>21.24</v>
      </c>
      <c r="I205" s="501" t="n">
        <f aca="false">IF(OilSwitch=0,VLOOKUP($A205,[1]!OilCurve,4),VLOOKUP($A205,[1]!BrentCurve,4))</f>
        <v>22.13</v>
      </c>
      <c r="J205" s="517" t="n">
        <v>0.00358027124087266</v>
      </c>
      <c r="K205" s="503" t="n">
        <f aca="false">IF(shiftswitch2=1,K204+$D$9*(I205-K204)+($E$9*(K204^$F$9)*J205)+(1-$D$9)*(I205-I204),K204+$D$11*(H205-K204)+($E$11*(K204^$F$11)*J205)+(1-$D$11)*(H205-H204))</f>
        <v>21.157205729305</v>
      </c>
      <c r="M205" s="503"/>
      <c r="AP205" s="454"/>
      <c r="AQ205" s="454"/>
      <c r="AR205" s="454"/>
      <c r="AS205" s="454"/>
    </row>
    <row r="206" customFormat="false" ht="10.5" hidden="false" customHeight="false" outlineLevel="0" collapsed="false">
      <c r="A206" s="498" t="n">
        <v>40634</v>
      </c>
      <c r="B206" s="499" t="n">
        <f aca="false">YEAR(A206)</f>
        <v>2011</v>
      </c>
      <c r="C206" s="500" t="n">
        <v>3.1825</v>
      </c>
      <c r="D206" s="501" t="n">
        <f aca="false">IF(GasSwitch=0,VLOOKUP($A206,[1]!GasCurve,4),VLOOKUP($A206,[1]!AecoCurve,5))</f>
        <v>3.1105</v>
      </c>
      <c r="E206" s="517" t="n">
        <v>-0.0350782597793636</v>
      </c>
      <c r="F206" s="503" t="n">
        <f aca="false">IF(shiftswitch2=1,IF(F205+$D$8*(D206-F205)+($E$8*(F205^$F$8)*E206)+(1-$D$8)*(D206-D205)&lt;0,0.01,F205+$D$8*(D206-F205)+($E$8*(F205^$F$8)*E206)+(1-$D$8)*(D206-D205)),IF(F205+$D$10*(C206-F205)+($E$10*(F205^$F$10)*E206)+(1-$D$10)*(C206-C205)&lt;0,0.01,F205+$D$10*(C206-F205)+($E$10*(F205^$F$10)*E206)+(1-$D$10)*(C206-C205)))</f>
        <v>3.13988525072136</v>
      </c>
      <c r="G206" s="503"/>
      <c r="H206" s="504" t="n">
        <v>21.29</v>
      </c>
      <c r="I206" s="501" t="n">
        <f aca="false">IF(OilSwitch=0,VLOOKUP($A206,[1]!OilCurve,4),VLOOKUP($A206,[1]!BrentCurve,4))</f>
        <v>22.18</v>
      </c>
      <c r="J206" s="517" t="n">
        <v>-0.013128144126902</v>
      </c>
      <c r="K206" s="503" t="n">
        <f aca="false">IF(shiftswitch2=1,K205+$D$9*(I206-K205)+($E$9*(K205^$F$9)*J206)+(1-$D$9)*(I206-I205),K205+$D$11*(H206-K205)+($E$11*(K205^$F$11)*J206)+(1-$D$11)*(H206-H205))</f>
        <v>21.1935571302766</v>
      </c>
      <c r="M206" s="503"/>
      <c r="AP206" s="454"/>
      <c r="AQ206" s="454"/>
      <c r="AR206" s="454"/>
      <c r="AS206" s="454"/>
    </row>
    <row r="207" customFormat="false" ht="10.5" hidden="false" customHeight="false" outlineLevel="0" collapsed="false">
      <c r="A207" s="498" t="n">
        <v>40664</v>
      </c>
      <c r="B207" s="499" t="n">
        <f aca="false">YEAR(A207)</f>
        <v>2011</v>
      </c>
      <c r="C207" s="500" t="n">
        <v>3.1565</v>
      </c>
      <c r="D207" s="501" t="n">
        <f aca="false">IF(GasSwitch=0,VLOOKUP($A207,[1]!GasCurve,4),VLOOKUP($A207,[1]!AecoCurve,5))</f>
        <v>3.1185</v>
      </c>
      <c r="E207" s="517" t="n">
        <v>-0.0243369772508308</v>
      </c>
      <c r="F207" s="503" t="n">
        <f aca="false">IF(shiftswitch2=1,IF(F206+$D$8*(D207-F206)+($E$8*(F206^$F$8)*E207)+(1-$D$8)*(D207-D206)&lt;0,0.01,F206+$D$8*(D207-F206)+($E$8*(F206^$F$8)*E207)+(1-$D$8)*(D207-D206)),IF(F206+$D$10*(C207-F206)+($E$10*(F206^$F$10)*E207)+(1-$D$10)*(C207-C206)&lt;0,0.01,F206+$D$10*(C207-F206)+($E$10*(F206^$F$10)*E207)+(1-$D$10)*(C207-C206)))</f>
        <v>3.11733493020022</v>
      </c>
      <c r="G207" s="503"/>
      <c r="H207" s="504" t="n">
        <v>21.34</v>
      </c>
      <c r="I207" s="501" t="n">
        <f aca="false">IF(OilSwitch=0,VLOOKUP($A207,[1]!OilCurve,4),VLOOKUP($A207,[1]!BrentCurve,4))</f>
        <v>22.23</v>
      </c>
      <c r="J207" s="517" t="n">
        <v>0.0287544702862531</v>
      </c>
      <c r="K207" s="503" t="n">
        <f aca="false">IF(shiftswitch2=1,K206+$D$9*(I207-K206)+($E$9*(K206^$F$9)*J207)+(1-$D$9)*(I207-I206),K206+$D$11*(H207-K206)+($E$11*(K206^$F$11)*J207)+(1-$D$11)*(H207-H206))</f>
        <v>21.3009524129355</v>
      </c>
      <c r="M207" s="503"/>
      <c r="AP207" s="454"/>
      <c r="AQ207" s="454"/>
      <c r="AR207" s="454"/>
      <c r="AS207" s="454"/>
    </row>
    <row r="208" customFormat="false" ht="10.5" hidden="false" customHeight="false" outlineLevel="0" collapsed="false">
      <c r="A208" s="498" t="n">
        <v>40695</v>
      </c>
      <c r="B208" s="499" t="n">
        <f aca="false">YEAR(A208)</f>
        <v>2011</v>
      </c>
      <c r="C208" s="500" t="n">
        <v>3.1625</v>
      </c>
      <c r="D208" s="501" t="n">
        <f aca="false">IF(GasSwitch=0,VLOOKUP($A208,[1]!GasCurve,4),VLOOKUP($A208,[1]!AecoCurve,5))</f>
        <v>3.1355</v>
      </c>
      <c r="E208" s="517" t="n">
        <v>-0.0645878578288604</v>
      </c>
      <c r="F208" s="503" t="n">
        <f aca="false">IF(shiftswitch2=1,IF(F207+$D$8*(D208-F207)+($E$8*(F207^$F$8)*E208)+(1-$D$8)*(D208-D207)&lt;0,0.01,F207+$D$8*(D208-F207)+($E$8*(F207^$F$8)*E208)+(1-$D$8)*(D208-D207)),IF(F207+$D$10*(C208-F207)+($E$10*(F207^$F$10)*E208)+(1-$D$10)*(C208-C207)&lt;0,0.01,F207+$D$10*(C208-F207)+($E$10*(F207^$F$10)*E208)+(1-$D$10)*(C208-C207)))</f>
        <v>3.10318012245308</v>
      </c>
      <c r="G208" s="503"/>
      <c r="H208" s="504" t="n">
        <v>21.39</v>
      </c>
      <c r="I208" s="501" t="n">
        <f aca="false">IF(OilSwitch=0,VLOOKUP($A208,[1]!OilCurve,4),VLOOKUP($A208,[1]!BrentCurve,4))</f>
        <v>22.28</v>
      </c>
      <c r="J208" s="517" t="n">
        <v>-0.0234280810816639</v>
      </c>
      <c r="K208" s="503" t="n">
        <f aca="false">IF(shiftswitch2=1,K207+$D$9*(I208-K207)+($E$9*(K207^$F$9)*J208)+(1-$D$9)*(I208-I207),K207+$D$11*(H208-K207)+($E$11*(K207^$F$11)*J208)+(1-$D$11)*(H208-H207))</f>
        <v>21.315833797135</v>
      </c>
      <c r="M208" s="503"/>
      <c r="AP208" s="454"/>
      <c r="AQ208" s="454"/>
      <c r="AR208" s="454"/>
      <c r="AS208" s="454"/>
    </row>
    <row r="209" customFormat="false" ht="10.5" hidden="false" customHeight="false" outlineLevel="0" collapsed="false">
      <c r="A209" s="498" t="n">
        <v>40725</v>
      </c>
      <c r="B209" s="499" t="n">
        <f aca="false">YEAR(A209)</f>
        <v>2011</v>
      </c>
      <c r="C209" s="500" t="n">
        <v>3.1725</v>
      </c>
      <c r="D209" s="501" t="n">
        <f aca="false">IF(GasSwitch=0,VLOOKUP($A209,[1]!GasCurve,4),VLOOKUP($A209,[1]!AecoCurve,5))</f>
        <v>3.1465</v>
      </c>
      <c r="E209" s="517" t="n">
        <v>-0.068073199088744</v>
      </c>
      <c r="F209" s="503" t="n">
        <f aca="false">IF(shiftswitch2=1,IF(F208+$D$8*(D209-F208)+($E$8*(F208^$F$8)*E209)+(1-$D$8)*(D209-D208)&lt;0,0.01,F208+$D$8*(D209-F208)+($E$8*(F208^$F$8)*E209)+(1-$D$8)*(D209-D208)),IF(F208+$D$10*(C209-F208)+($E$10*(F208^$F$10)*E209)+(1-$D$10)*(C209-C208)&lt;0,0.01,F208+$D$10*(C209-F208)+($E$10*(F208^$F$10)*E209)+(1-$D$10)*(C209-C208)))</f>
        <v>3.09920741359036</v>
      </c>
      <c r="G209" s="503"/>
      <c r="H209" s="504" t="n">
        <v>21.44</v>
      </c>
      <c r="I209" s="501" t="n">
        <f aca="false">IF(OilSwitch=0,VLOOKUP($A209,[1]!OilCurve,4),VLOOKUP($A209,[1]!BrentCurve,4))</f>
        <v>22.33</v>
      </c>
      <c r="J209" s="517" t="n">
        <v>0.00081487197502082</v>
      </c>
      <c r="K209" s="503" t="n">
        <f aca="false">IF(shiftswitch2=1,K208+$D$9*(I209-K208)+($E$9*(K208^$F$9)*J209)+(1-$D$9)*(I209-I208),K208+$D$11*(H209-K208)+($E$11*(K208^$F$11)*J209)+(1-$D$11)*(H209-H208))</f>
        <v>21.3745321981851</v>
      </c>
      <c r="M209" s="503"/>
      <c r="AP209" s="454"/>
      <c r="AQ209" s="454"/>
      <c r="AR209" s="454"/>
      <c r="AS209" s="454"/>
    </row>
    <row r="210" customFormat="false" ht="10.5" hidden="false" customHeight="false" outlineLevel="0" collapsed="false">
      <c r="A210" s="498" t="n">
        <v>40756</v>
      </c>
      <c r="B210" s="499" t="n">
        <f aca="false">YEAR(A210)</f>
        <v>2011</v>
      </c>
      <c r="C210" s="500" t="n">
        <v>3.1795</v>
      </c>
      <c r="D210" s="501" t="n">
        <f aca="false">IF(GasSwitch=0,VLOOKUP($A210,[1]!GasCurve,4),VLOOKUP($A210,[1]!AecoCurve,5))</f>
        <v>3.1555</v>
      </c>
      <c r="E210" s="517" t="n">
        <v>0.03847465204805</v>
      </c>
      <c r="F210" s="503" t="n">
        <f aca="false">IF(shiftswitch2=1,IF(F209+$D$8*(D210-F209)+($E$8*(F209^$F$8)*E210)+(1-$D$8)*(D210-D209)&lt;0,0.01,F209+$D$8*(D210-F209)+($E$8*(F209^$F$8)*E210)+(1-$D$8)*(D210-D209)),IF(F209+$D$10*(C210-F209)+($E$10*(F209^$F$10)*E210)+(1-$D$10)*(C210-C209)&lt;0,0.01,F209+$D$10*(C210-F209)+($E$10*(F209^$F$10)*E210)+(1-$D$10)*(C210-C209)))</f>
        <v>3.15662680284002</v>
      </c>
      <c r="G210" s="503"/>
      <c r="H210" s="504" t="n">
        <v>21.49</v>
      </c>
      <c r="I210" s="501" t="n">
        <f aca="false">IF(OilSwitch=0,VLOOKUP($A210,[1]!OilCurve,4),VLOOKUP($A210,[1]!BrentCurve,4))</f>
        <v>22.38</v>
      </c>
      <c r="J210" s="517" t="n">
        <v>0.0649124665479732</v>
      </c>
      <c r="K210" s="503" t="n">
        <f aca="false">IF(shiftswitch2=1,K209+$D$9*(I210-K209)+($E$9*(K209^$F$9)*J210)+(1-$D$9)*(I210-I209),K209+$D$11*(H210-K209)+($E$11*(K209^$F$11)*J210)+(1-$D$11)*(H210-H209))</f>
        <v>21.5390278549006</v>
      </c>
      <c r="M210" s="503"/>
      <c r="AP210" s="454"/>
      <c r="AQ210" s="454"/>
      <c r="AR210" s="454"/>
      <c r="AS210" s="454"/>
    </row>
    <row r="211" customFormat="false" ht="10.5" hidden="false" customHeight="false" outlineLevel="0" collapsed="false">
      <c r="A211" s="498" t="n">
        <v>40787</v>
      </c>
      <c r="B211" s="499" t="n">
        <f aca="false">YEAR(A211)</f>
        <v>2011</v>
      </c>
      <c r="C211" s="500" t="n">
        <v>3.1865</v>
      </c>
      <c r="D211" s="501" t="n">
        <f aca="false">IF(GasSwitch=0,VLOOKUP($A211,[1]!GasCurve,4),VLOOKUP($A211,[1]!AecoCurve,5))</f>
        <v>3.1545</v>
      </c>
      <c r="E211" s="517" t="n">
        <v>-0.0152124192225755</v>
      </c>
      <c r="F211" s="503" t="n">
        <f aca="false">IF(shiftswitch2=1,IF(F210+$D$8*(D211-F210)+($E$8*(F210^$F$8)*E211)+(1-$D$8)*(D211-D210)&lt;0,0.01,F210+$D$8*(D211-F210)+($E$8*(F210^$F$8)*E211)+(1-$D$8)*(D211-D210)),IF(F210+$D$10*(C211-F210)+($E$10*(F210^$F$10)*E211)+(1-$D$10)*(C211-C210)&lt;0,0.01,F210+$D$10*(C211-F210)+($E$10*(F210^$F$10)*E211)+(1-$D$10)*(C211-C210)))</f>
        <v>3.16426171009214</v>
      </c>
      <c r="G211" s="503"/>
      <c r="H211" s="504" t="n">
        <v>21.54</v>
      </c>
      <c r="I211" s="501" t="n">
        <f aca="false">IF(OilSwitch=0,VLOOKUP($A211,[1]!OilCurve,4),VLOOKUP($A211,[1]!BrentCurve,4))</f>
        <v>22.43</v>
      </c>
      <c r="J211" s="517" t="n">
        <v>-0.048549898385679</v>
      </c>
      <c r="K211" s="503" t="n">
        <f aca="false">IF(shiftswitch2=1,K210+$D$9*(I211-K210)+($E$9*(K210^$F$9)*J211)+(1-$D$9)*(I211-I210),K210+$D$11*(H211-K210)+($E$11*(K210^$F$11)*J211)+(1-$D$11)*(H211-H210))</f>
        <v>21.5033870663517</v>
      </c>
      <c r="M211" s="503"/>
      <c r="AP211" s="454"/>
      <c r="AQ211" s="454"/>
      <c r="AR211" s="454"/>
      <c r="AS211" s="454"/>
    </row>
    <row r="212" customFormat="false" ht="10.5" hidden="false" customHeight="false" outlineLevel="0" collapsed="false">
      <c r="A212" s="498" t="n">
        <v>40817</v>
      </c>
      <c r="B212" s="499" t="n">
        <f aca="false">YEAR(A212)</f>
        <v>2011</v>
      </c>
      <c r="C212" s="500" t="n">
        <v>3.2125</v>
      </c>
      <c r="D212" s="501" t="n">
        <f aca="false">IF(GasSwitch=0,VLOOKUP($A212,[1]!GasCurve,4),VLOOKUP($A212,[1]!AecoCurve,5))</f>
        <v>3.1735</v>
      </c>
      <c r="E212" s="517" t="n">
        <v>0.054281686339588</v>
      </c>
      <c r="F212" s="503" t="n">
        <f aca="false">IF(shiftswitch2=1,IF(F211+$D$8*(D212-F211)+($E$8*(F211^$F$8)*E212)+(1-$D$8)*(D212-D211)&lt;0,0.01,F211+$D$8*(D212-F211)+($E$8*(F211^$F$8)*E212)+(1-$D$8)*(D212-D211)),IF(F211+$D$10*(C212-F211)+($E$10*(F211^$F$10)*E212)+(1-$D$10)*(C212-C211)&lt;0,0.01,F211+$D$10*(C212-F211)+($E$10*(F211^$F$10)*E212)+(1-$D$10)*(C212-C211)))</f>
        <v>3.22938801848099</v>
      </c>
      <c r="G212" s="503"/>
      <c r="H212" s="504" t="n">
        <v>21.59</v>
      </c>
      <c r="I212" s="501" t="n">
        <f aca="false">IF(OilSwitch=0,VLOOKUP($A212,[1]!OilCurve,4),VLOOKUP($A212,[1]!BrentCurve,4))</f>
        <v>22.48</v>
      </c>
      <c r="J212" s="517" t="n">
        <v>-0.00240708752901337</v>
      </c>
      <c r="K212" s="503" t="n">
        <f aca="false">IF(shiftswitch2=1,K211+$D$9*(I212-K211)+($E$9*(K211^$F$9)*J212)+(1-$D$9)*(I212-I211),K211+$D$11*(H212-K211)+($E$11*(K211^$F$11)*J212)+(1-$D$11)*(H212-H211))</f>
        <v>21.5530063531346</v>
      </c>
      <c r="M212" s="503"/>
      <c r="AP212" s="454"/>
      <c r="AQ212" s="454"/>
      <c r="AR212" s="454"/>
      <c r="AS212" s="454"/>
    </row>
    <row r="213" customFormat="false" ht="10.5" hidden="false" customHeight="false" outlineLevel="0" collapsed="false">
      <c r="A213" s="498" t="n">
        <v>40848</v>
      </c>
      <c r="B213" s="499" t="n">
        <f aca="false">YEAR(A213)</f>
        <v>2011</v>
      </c>
      <c r="C213" s="500" t="n">
        <v>3.3475</v>
      </c>
      <c r="D213" s="501" t="n">
        <f aca="false">IF(GasSwitch=0,VLOOKUP($A213,[1]!GasCurve,4),VLOOKUP($A213,[1]!AecoCurve,5))</f>
        <v>3.2695</v>
      </c>
      <c r="E213" s="517" t="n">
        <v>0.0142190661538583</v>
      </c>
      <c r="F213" s="503" t="n">
        <f aca="false">IF(shiftswitch2=1,IF(F212+$D$8*(D213-F212)+($E$8*(F212^$F$8)*E213)+(1-$D$8)*(D213-D212)&lt;0,0.01,F212+$D$8*(D213-F212)+($E$8*(F212^$F$8)*E213)+(1-$D$8)*(D213-D212)),IF(F212+$D$10*(C213-F212)+($E$10*(F212^$F$10)*E213)+(1-$D$10)*(C213-C212)&lt;0,0.01,F212+$D$10*(C213-F212)+($E$10*(F212^$F$10)*E213)+(1-$D$10)*(C213-C212)))</f>
        <v>3.36567387755626</v>
      </c>
      <c r="G213" s="503"/>
      <c r="H213" s="504" t="n">
        <v>21.64</v>
      </c>
      <c r="I213" s="501" t="n">
        <f aca="false">IF(OilSwitch=0,VLOOKUP($A213,[1]!OilCurve,4),VLOOKUP($A213,[1]!BrentCurve,4))</f>
        <v>22.53</v>
      </c>
      <c r="J213" s="517" t="n">
        <v>0.0532729254605286</v>
      </c>
      <c r="K213" s="503" t="n">
        <f aca="false">IF(shiftswitch2=1,K212+$D$9*(I213-K212)+($E$9*(K212^$F$9)*J213)+(1-$D$9)*(I213-I212),K212+$D$11*(H213-K212)+($E$11*(K212^$F$11)*J213)+(1-$D$11)*(H213-H212))</f>
        <v>21.6953148721406</v>
      </c>
      <c r="M213" s="503"/>
      <c r="AP213" s="454"/>
      <c r="AQ213" s="454"/>
      <c r="AR213" s="454"/>
      <c r="AS213" s="454"/>
    </row>
    <row r="214" customFormat="false" ht="10.5" hidden="false" customHeight="false" outlineLevel="0" collapsed="false">
      <c r="A214" s="498" t="n">
        <v>40878</v>
      </c>
      <c r="B214" s="499" t="n">
        <f aca="false">YEAR(A214)</f>
        <v>2011</v>
      </c>
      <c r="C214" s="500" t="n">
        <v>3.4715</v>
      </c>
      <c r="D214" s="501" t="n">
        <f aca="false">IF(GasSwitch=0,VLOOKUP($A214,[1]!GasCurve,4),VLOOKUP($A214,[1]!AecoCurve,5))</f>
        <v>3.3715</v>
      </c>
      <c r="E214" s="517" t="n">
        <v>-0.00446718120813282</v>
      </c>
      <c r="F214" s="503" t="n">
        <f aca="false">IF(shiftswitch2=1,IF(F213+$D$8*(D214-F213)+($E$8*(F213^$F$8)*E214)+(1-$D$8)*(D214-D213)&lt;0,0.01,F213+$D$8*(D214-F213)+($E$8*(F213^$F$8)*E214)+(1-$D$8)*(D214-D213)),IF(F213+$D$10*(C214-F213)+($E$10*(F213^$F$10)*E214)+(1-$D$10)*(C214-C213)&lt;0,0.01,F213+$D$10*(C214-F213)+($E$10*(F213^$F$10)*E214)+(1-$D$10)*(C214-C213)))</f>
        <v>3.47986778498379</v>
      </c>
      <c r="G214" s="503"/>
      <c r="H214" s="504" t="n">
        <v>21.69</v>
      </c>
      <c r="I214" s="501" t="n">
        <f aca="false">IF(OilSwitch=0,VLOOKUP($A214,[1]!OilCurve,4),VLOOKUP($A214,[1]!BrentCurve,4))</f>
        <v>22.58</v>
      </c>
      <c r="J214" s="517" t="n">
        <v>-0.0381156262473353</v>
      </c>
      <c r="K214" s="503" t="n">
        <f aca="false">IF(shiftswitch2=1,K213+$D$9*(I214-K213)+($E$9*(K213^$F$9)*J214)+(1-$D$9)*(I214-I213),K213+$D$11*(H214-K213)+($E$11*(K213^$F$11)*J214)+(1-$D$11)*(H214-H213))</f>
        <v>21.6764142977231</v>
      </c>
      <c r="M214" s="503"/>
      <c r="AP214" s="454"/>
      <c r="AQ214" s="454"/>
      <c r="AR214" s="454"/>
      <c r="AS214" s="454"/>
    </row>
    <row r="215" customFormat="false" ht="10.5" hidden="false" customHeight="false" outlineLevel="0" collapsed="false">
      <c r="A215" s="498" t="n">
        <v>40909</v>
      </c>
      <c r="B215" s="512" t="n">
        <f aca="false">YEAR(A215)</f>
        <v>2012</v>
      </c>
      <c r="C215" s="513" t="n">
        <v>3.555</v>
      </c>
      <c r="D215" s="501" t="n">
        <f aca="false">IF(GasSwitch=0,VLOOKUP($A215,[1]!GasCurve,4),VLOOKUP($A215,[1]!AecoCurve,5))</f>
        <v>3.418</v>
      </c>
      <c r="E215" s="517" t="n">
        <v>0.00893204029702753</v>
      </c>
      <c r="F215" s="503" t="n">
        <f aca="false">IF(shiftswitch2=1,IF(F214+$D$8*(D215-F214)+($E$8*(F214^$F$8)*E215)+(1-$D$8)*(D215-D214)&lt;0,0.01,F214+$D$8*(D215-F214)+($E$8*(F214^$F$8)*E215)+(1-$D$8)*(D215-D214)),IF(F214+$D$10*(C215-F214)+($E$10*(F214^$F$10)*E215)+(1-$D$10)*(C215-C214)&lt;0,0.01,F214+$D$10*(C215-F214)+($E$10*(F214^$F$10)*E215)+(1-$D$10)*(C215-C214)))</f>
        <v>3.56525932912394</v>
      </c>
      <c r="G215" s="503"/>
      <c r="H215" s="516" t="n">
        <v>21.74</v>
      </c>
      <c r="I215" s="501" t="n">
        <f aca="false">IF(OilSwitch=0,VLOOKUP($A215,[1]!OilCurve,4),VLOOKUP($A215,[1]!BrentCurve,4))</f>
        <v>22.63</v>
      </c>
      <c r="J215" s="518" t="n">
        <v>-0.0437045261767687</v>
      </c>
      <c r="K215" s="515" t="n">
        <f aca="false">IF(shiftswitch2=1,K214+$D$9*(I215-K214)+($E$9*(K214^$F$9)*J215)+(1-$D$9)*(I215-I214),K214+$D$11*(H215-K214)+($E$11*(K214^$F$11)*J215)+(1-$D$11)*(H215-H214))</f>
        <v>21.6550349506904</v>
      </c>
      <c r="M215" s="503"/>
      <c r="AP215" s="454"/>
      <c r="AQ215" s="454"/>
      <c r="AR215" s="454"/>
      <c r="AS215" s="454"/>
    </row>
    <row r="216" customFormat="false" ht="10.5" hidden="false" customHeight="false" outlineLevel="0" collapsed="false">
      <c r="A216" s="498" t="n">
        <v>40940</v>
      </c>
      <c r="B216" s="499" t="n">
        <f aca="false">YEAR(A216)</f>
        <v>2012</v>
      </c>
      <c r="C216" s="500" t="n">
        <v>3.437</v>
      </c>
      <c r="D216" s="501" t="n">
        <f aca="false">IF(GasSwitch=0,VLOOKUP($A216,[1]!GasCurve,4),VLOOKUP($A216,[1]!AecoCurve,5))</f>
        <v>3.341</v>
      </c>
      <c r="E216" s="517" t="n">
        <v>0.00798223900646285</v>
      </c>
      <c r="F216" s="503" t="n">
        <f aca="false">IF(shiftswitch2=1,IF(F215+$D$8*(D216-F215)+($E$8*(F215^$F$8)*E216)+(1-$D$8)*(D216-D215)&lt;0,0.01,F215+$D$8*(D216-F215)+($E$8*(F215^$F$8)*E216)+(1-$D$8)*(D216-D215)),IF(F215+$D$10*(C216-F215)+($E$10*(F215^$F$10)*E216)+(1-$D$10)*(C216-C215)&lt;0,0.01,F215+$D$10*(C216-F215)+($E$10*(F215^$F$10)*E216)+(1-$D$10)*(C216-C215)))</f>
        <v>3.44789912978721</v>
      </c>
      <c r="G216" s="503"/>
      <c r="H216" s="504" t="n">
        <v>21.79</v>
      </c>
      <c r="I216" s="501" t="n">
        <f aca="false">IF(OilSwitch=0,VLOOKUP($A216,[1]!OilCurve,4),VLOOKUP($A216,[1]!BrentCurve,4))</f>
        <v>22.68</v>
      </c>
      <c r="J216" s="517" t="n">
        <v>-0.0331930765703671</v>
      </c>
      <c r="K216" s="503" t="n">
        <f aca="false">IF(shiftswitch2=1,K215+$D$9*(I216-K215)+($E$9*(K215^$F$9)*J216)+(1-$D$9)*(I216-I215),K215+$D$11*(H216-K215)+($E$11*(K215^$F$11)*J216)+(1-$D$11)*(H216-H215))</f>
        <v>21.6582132111589</v>
      </c>
      <c r="M216" s="503"/>
      <c r="AP216" s="454"/>
      <c r="AQ216" s="454"/>
      <c r="AR216" s="454"/>
      <c r="AS216" s="454"/>
    </row>
    <row r="217" customFormat="false" ht="10.5" hidden="false" customHeight="false" outlineLevel="0" collapsed="false">
      <c r="A217" s="498" t="n">
        <v>40969</v>
      </c>
      <c r="B217" s="499" t="n">
        <f aca="false">YEAR(A217)</f>
        <v>2012</v>
      </c>
      <c r="C217" s="500" t="n">
        <v>3.317</v>
      </c>
      <c r="D217" s="501" t="n">
        <f aca="false">IF(GasSwitch=0,VLOOKUP($A217,[1]!GasCurve,4),VLOOKUP($A217,[1]!AecoCurve,5))</f>
        <v>3.253</v>
      </c>
      <c r="E217" s="517" t="n">
        <v>-0.0181938870555361</v>
      </c>
      <c r="F217" s="503" t="n">
        <f aca="false">IF(shiftswitch2=1,IF(F216+$D$8*(D217-F216)+($E$8*(F216^$F$8)*E217)+(1-$D$8)*(D217-D216)&lt;0,0.01,F216+$D$8*(D217-F216)+($E$8*(F216^$F$8)*E217)+(1-$D$8)*(D217-D216)),IF(F216+$D$10*(C217-F216)+($E$10*(F216^$F$10)*E217)+(1-$D$10)*(C217-C216)&lt;0,0.01,F216+$D$10*(C217-F216)+($E$10*(F216^$F$10)*E217)+(1-$D$10)*(C217-C216)))</f>
        <v>3.31296801467381</v>
      </c>
      <c r="G217" s="503"/>
      <c r="H217" s="504" t="n">
        <v>21.84</v>
      </c>
      <c r="I217" s="501" t="n">
        <f aca="false">IF(OilSwitch=0,VLOOKUP($A217,[1]!OilCurve,4),VLOOKUP($A217,[1]!BrentCurve,4))</f>
        <v>22.73</v>
      </c>
      <c r="J217" s="517" t="n">
        <v>0.0727041467503423</v>
      </c>
      <c r="K217" s="503" t="n">
        <f aca="false">IF(shiftswitch2=1,K216+$D$9*(I217-K216)+($E$9*(K216^$F$9)*J217)+(1-$D$9)*(I217-I216),K216+$D$11*(H217-K216)+($E$11*(K216^$F$11)*J217)+(1-$D$11)*(H217-H216))</f>
        <v>21.8422398034468</v>
      </c>
      <c r="M217" s="503"/>
      <c r="AP217" s="454"/>
      <c r="AQ217" s="454"/>
      <c r="AR217" s="454"/>
      <c r="AS217" s="454"/>
    </row>
    <row r="218" customFormat="false" ht="10.5" hidden="false" customHeight="false" outlineLevel="0" collapsed="false">
      <c r="A218" s="498" t="n">
        <v>41000</v>
      </c>
      <c r="B218" s="499" t="n">
        <f aca="false">YEAR(A218)</f>
        <v>2012</v>
      </c>
      <c r="C218" s="500" t="n">
        <v>3.2675</v>
      </c>
      <c r="D218" s="501" t="n">
        <f aca="false">IF(GasSwitch=0,VLOOKUP($A218,[1]!GasCurve,4),VLOOKUP($A218,[1]!AecoCurve,5))</f>
        <v>3.18</v>
      </c>
      <c r="E218" s="517" t="n">
        <v>-0.00962394494541214</v>
      </c>
      <c r="F218" s="503" t="n">
        <f aca="false">IF(shiftswitch2=1,IF(F217+$D$8*(D218-F217)+($E$8*(F217^$F$8)*E218)+(1-$D$8)*(D218-D217)&lt;0,0.01,F217+$D$8*(D218-F217)+($E$8*(F217^$F$8)*E218)+(1-$D$8)*(D218-D217)),IF(F217+$D$10*(C218-F217)+($E$10*(F217^$F$10)*E218)+(1-$D$10)*(C218-C217)&lt;0,0.01,F217+$D$10*(C218-F217)+($E$10*(F217^$F$10)*E218)+(1-$D$10)*(C218-C217)))</f>
        <v>3.25958194616994</v>
      </c>
      <c r="G218" s="503"/>
      <c r="H218" s="504" t="n">
        <v>21.89</v>
      </c>
      <c r="I218" s="501" t="n">
        <f aca="false">IF(OilSwitch=0,VLOOKUP($A218,[1]!OilCurve,4),VLOOKUP($A218,[1]!BrentCurve,4))</f>
        <v>22.78</v>
      </c>
      <c r="J218" s="517" t="n">
        <v>-0.0219613051074105</v>
      </c>
      <c r="K218" s="503" t="n">
        <f aca="false">IF(shiftswitch2=1,K217+$D$9*(I218-K217)+($E$9*(K217^$F$9)*J218)+(1-$D$9)*(I218-I217),K217+$D$11*(H218-K217)+($E$11*(K217^$F$11)*J218)+(1-$D$11)*(H218-H217))</f>
        <v>21.8554744512068</v>
      </c>
      <c r="M218" s="503"/>
      <c r="AP218" s="454"/>
      <c r="AQ218" s="454"/>
      <c r="AR218" s="454"/>
      <c r="AS218" s="454"/>
    </row>
    <row r="219" customFormat="false" ht="10.5" hidden="false" customHeight="false" outlineLevel="0" collapsed="false">
      <c r="A219" s="498" t="n">
        <v>41030</v>
      </c>
      <c r="B219" s="499" t="n">
        <f aca="false">YEAR(A219)</f>
        <v>2012</v>
      </c>
      <c r="C219" s="500" t="n">
        <v>3.2415</v>
      </c>
      <c r="D219" s="501" t="n">
        <f aca="false">IF(GasSwitch=0,VLOOKUP($A219,[1]!GasCurve,4),VLOOKUP($A219,[1]!AecoCurve,5))</f>
        <v>3.189</v>
      </c>
      <c r="E219" s="517" t="n">
        <v>-0.0118118521207403</v>
      </c>
      <c r="F219" s="503" t="n">
        <f aca="false">IF(shiftswitch2=1,IF(F218+$D$8*(D219-F218)+($E$8*(F218^$F$8)*E219)+(1-$D$8)*(D219-D218)&lt;0,0.01,F218+$D$8*(D219-F218)+($E$8*(F218^$F$8)*E219)+(1-$D$8)*(D219-D218)),IF(F218+$D$10*(C219-F218)+($E$10*(F218^$F$10)*E219)+(1-$D$10)*(C219-C218)&lt;0,0.01,F218+$D$10*(C219-F218)+($E$10*(F218^$F$10)*E219)+(1-$D$10)*(C219-C218)))</f>
        <v>3.23004937510329</v>
      </c>
      <c r="G219" s="503"/>
      <c r="H219" s="504" t="n">
        <v>21.94</v>
      </c>
      <c r="I219" s="501" t="n">
        <f aca="false">IF(OilSwitch=0,VLOOKUP($A219,[1]!OilCurve,4),VLOOKUP($A219,[1]!BrentCurve,4))</f>
        <v>22.83</v>
      </c>
      <c r="J219" s="517" t="n">
        <v>0.0384727824649778</v>
      </c>
      <c r="K219" s="503" t="n">
        <f aca="false">IF(shiftswitch2=1,K218+$D$9*(I219-K218)+($E$9*(K218^$F$9)*J219)+(1-$D$9)*(I219-I218),K218+$D$11*(H219-K218)+($E$11*(K218^$F$11)*J219)+(1-$D$11)*(H219-H218))</f>
        <v>21.972911190559</v>
      </c>
      <c r="M219" s="503"/>
      <c r="AP219" s="454"/>
      <c r="AQ219" s="454"/>
      <c r="AR219" s="454"/>
      <c r="AS219" s="454"/>
    </row>
    <row r="220" customFormat="false" ht="10.5" hidden="false" customHeight="false" outlineLevel="0" collapsed="false">
      <c r="A220" s="498" t="n">
        <v>41061</v>
      </c>
      <c r="B220" s="499" t="n">
        <f aca="false">YEAR(A220)</f>
        <v>2012</v>
      </c>
      <c r="C220" s="500" t="n">
        <v>3.2475</v>
      </c>
      <c r="D220" s="501" t="n">
        <f aca="false">IF(GasSwitch=0,VLOOKUP($A220,[1]!GasCurve,4),VLOOKUP($A220,[1]!AecoCurve,5))</f>
        <v>3.207</v>
      </c>
      <c r="E220" s="517" t="n">
        <v>-0.0290625211308551</v>
      </c>
      <c r="F220" s="503" t="n">
        <f aca="false">IF(shiftswitch2=1,IF(F219+$D$8*(D220-F219)+($E$8*(F219^$F$8)*E220)+(1-$D$8)*(D220-D219)&lt;0,0.01,F219+$D$8*(D220-F219)+($E$8*(F219^$F$8)*E220)+(1-$D$8)*(D220-D219)),IF(F219+$D$10*(C220-F219)+($E$10*(F219^$F$10)*E220)+(1-$D$10)*(C220-C219)&lt;0,0.01,F219+$D$10*(C220-F219)+($E$10*(F219^$F$10)*E220)+(1-$D$10)*(C220-C219)))</f>
        <v>3.22423423627927</v>
      </c>
      <c r="G220" s="503"/>
      <c r="H220" s="504" t="n">
        <v>21.99</v>
      </c>
      <c r="I220" s="501" t="n">
        <f aca="false">IF(OilSwitch=0,VLOOKUP($A220,[1]!OilCurve,4),VLOOKUP($A220,[1]!BrentCurve,4))</f>
        <v>22.88</v>
      </c>
      <c r="J220" s="517" t="n">
        <v>-0.0290695666954181</v>
      </c>
      <c r="K220" s="503" t="n">
        <f aca="false">IF(shiftswitch2=1,K219+$D$9*(I220-K219)+($E$9*(K219^$F$9)*J220)+(1-$D$9)*(I220-I219),K219+$D$11*(H220-K219)+($E$11*(K219^$F$11)*J220)+(1-$D$11)*(H220-H219))</f>
        <v>21.9712812237125</v>
      </c>
      <c r="M220" s="503"/>
      <c r="AP220" s="454"/>
      <c r="AQ220" s="454"/>
      <c r="AR220" s="454"/>
      <c r="AS220" s="454"/>
    </row>
    <row r="221" customFormat="false" ht="10.5" hidden="false" customHeight="false" outlineLevel="0" collapsed="false">
      <c r="A221" s="498" t="n">
        <v>41091</v>
      </c>
      <c r="B221" s="499" t="n">
        <f aca="false">YEAR(A221)</f>
        <v>2012</v>
      </c>
      <c r="C221" s="500" t="n">
        <v>3.2575</v>
      </c>
      <c r="D221" s="501" t="n">
        <f aca="false">IF(GasSwitch=0,VLOOKUP($A221,[1]!GasCurve,4),VLOOKUP($A221,[1]!AecoCurve,5))</f>
        <v>3.218</v>
      </c>
      <c r="E221" s="517" t="n">
        <v>-0.0330635106861347</v>
      </c>
      <c r="F221" s="503" t="n">
        <f aca="false">IF(shiftswitch2=1,IF(F220+$D$8*(D221-F220)+($E$8*(F220^$F$8)*E221)+(1-$D$8)*(D221-D220)&lt;0,0.01,F220+$D$8*(D221-F220)+($E$8*(F220^$F$8)*E221)+(1-$D$8)*(D221-D220)),IF(F220+$D$10*(C221-F220)+($E$10*(F220^$F$10)*E221)+(1-$D$10)*(C221-C220)&lt;0,0.01,F220+$D$10*(C221-F220)+($E$10*(F220^$F$10)*E221)+(1-$D$10)*(C221-C220)))</f>
        <v>3.2248863737286</v>
      </c>
      <c r="G221" s="503"/>
      <c r="H221" s="504" t="n">
        <v>22.04</v>
      </c>
      <c r="I221" s="501" t="n">
        <f aca="false">IF(OilSwitch=0,VLOOKUP($A221,[1]!OilCurve,4),VLOOKUP($A221,[1]!BrentCurve,4))</f>
        <v>22.93</v>
      </c>
      <c r="J221" s="517" t="n">
        <v>0.00340254255464331</v>
      </c>
      <c r="K221" s="503" t="n">
        <f aca="false">IF(shiftswitch2=1,K220+$D$9*(I221-K220)+($E$9*(K220^$F$9)*J221)+(1-$D$9)*(I221-I220),K220+$D$11*(H221-K220)+($E$11*(K220^$F$11)*J221)+(1-$D$11)*(H221-H220))</f>
        <v>22.0287962133759</v>
      </c>
      <c r="M221" s="503"/>
      <c r="AP221" s="454"/>
      <c r="AQ221" s="454"/>
      <c r="AR221" s="454"/>
      <c r="AS221" s="454"/>
    </row>
    <row r="222" customFormat="false" ht="10.5" hidden="false" customHeight="false" outlineLevel="0" collapsed="false">
      <c r="A222" s="498" t="n">
        <v>41122</v>
      </c>
      <c r="B222" s="499" t="n">
        <f aca="false">YEAR(A222)</f>
        <v>2012</v>
      </c>
      <c r="C222" s="500" t="n">
        <v>3.2645</v>
      </c>
      <c r="D222" s="501" t="n">
        <f aca="false">IF(GasSwitch=0,VLOOKUP($A222,[1]!GasCurve,4),VLOOKUP($A222,[1]!AecoCurve,5))</f>
        <v>3.227</v>
      </c>
      <c r="E222" s="517" t="n">
        <v>0.0508566337826423</v>
      </c>
      <c r="F222" s="503" t="n">
        <f aca="false">IF(shiftswitch2=1,IF(F221+$D$8*(D222-F221)+($E$8*(F221^$F$8)*E222)+(1-$D$8)*(D222-D221)&lt;0,0.01,F221+$D$8*(D222-F221)+($E$8*(F221^$F$8)*E222)+(1-$D$8)*(D222-D221)),IF(F221+$D$10*(C222-F221)+($E$10*(F221^$F$10)*E222)+(1-$D$10)*(C222-C221)&lt;0,0.01,F221+$D$10*(C222-F221)+($E$10*(F221^$F$10)*E222)+(1-$D$10)*(C222-C221)))</f>
        <v>3.27350450521131</v>
      </c>
      <c r="G222" s="503"/>
      <c r="H222" s="504" t="n">
        <v>22.09</v>
      </c>
      <c r="I222" s="501" t="n">
        <f aca="false">IF(OilSwitch=0,VLOOKUP($A222,[1]!OilCurve,4),VLOOKUP($A222,[1]!BrentCurve,4))</f>
        <v>22.98</v>
      </c>
      <c r="J222" s="517" t="n">
        <v>0.00407208467976628</v>
      </c>
      <c r="K222" s="503" t="n">
        <f aca="false">IF(shiftswitch2=1,K221+$D$9*(I222-K221)+($E$9*(K221^$F$9)*J222)+(1-$D$9)*(I222-I221),K221+$D$11*(H222-K221)+($E$11*(K221^$F$11)*J222)+(1-$D$11)*(H222-H221))</f>
        <v>22.0866813371588</v>
      </c>
      <c r="M222" s="503"/>
      <c r="AP222" s="454"/>
      <c r="AQ222" s="454"/>
      <c r="AR222" s="454"/>
      <c r="AS222" s="454"/>
    </row>
    <row r="223" customFormat="false" ht="10.5" hidden="false" customHeight="false" outlineLevel="0" collapsed="false">
      <c r="A223" s="498" t="n">
        <v>41153</v>
      </c>
      <c r="B223" s="499" t="n">
        <f aca="false">YEAR(A223)</f>
        <v>2012</v>
      </c>
      <c r="C223" s="500" t="n">
        <v>3.2715</v>
      </c>
      <c r="D223" s="501" t="n">
        <f aca="false">IF(GasSwitch=0,VLOOKUP($A223,[1]!GasCurve,4),VLOOKUP($A223,[1]!AecoCurve,5))</f>
        <v>3.225</v>
      </c>
      <c r="E223" s="517" t="n">
        <v>0.00133527242763482</v>
      </c>
      <c r="F223" s="503" t="n">
        <f aca="false">IF(shiftswitch2=1,IF(F222+$D$8*(D223-F222)+($E$8*(F222^$F$8)*E223)+(1-$D$8)*(D223-D222)&lt;0,0.01,F222+$D$8*(D223-F222)+($E$8*(F222^$F$8)*E223)+(1-$D$8)*(D223-D222)),IF(F222+$D$10*(C223-F222)+($E$10*(F222^$F$10)*E223)+(1-$D$10)*(C223-C222)&lt;0,0.01,F222+$D$10*(C223-F222)+($E$10*(F222^$F$10)*E223)+(1-$D$10)*(C223-C222)))</f>
        <v>3.27767629135003</v>
      </c>
      <c r="G223" s="503"/>
      <c r="H223" s="504" t="n">
        <v>22.14</v>
      </c>
      <c r="I223" s="501" t="n">
        <f aca="false">IF(OilSwitch=0,VLOOKUP($A223,[1]!OilCurve,4),VLOOKUP($A223,[1]!BrentCurve,4))</f>
        <v>23.03</v>
      </c>
      <c r="J223" s="517" t="n">
        <v>0.00608388964537417</v>
      </c>
      <c r="K223" s="503" t="n">
        <f aca="false">IF(shiftswitch2=1,K222+$D$9*(I223-K222)+($E$9*(K222^$F$9)*J223)+(1-$D$9)*(I223-I222),K222+$D$11*(H223-K222)+($E$11*(K222^$F$11)*J223)+(1-$D$11)*(H223-H222))</f>
        <v>22.14713347715</v>
      </c>
      <c r="M223" s="503"/>
      <c r="AP223" s="454"/>
      <c r="AQ223" s="454"/>
      <c r="AR223" s="454"/>
      <c r="AS223" s="454"/>
    </row>
    <row r="224" customFormat="false" ht="10.5" hidden="false" customHeight="false" outlineLevel="0" collapsed="false">
      <c r="A224" s="498" t="n">
        <v>41183</v>
      </c>
      <c r="B224" s="499" t="n">
        <f aca="false">YEAR(A224)</f>
        <v>2012</v>
      </c>
      <c r="C224" s="500" t="n">
        <v>3.2975</v>
      </c>
      <c r="D224" s="501" t="n">
        <f aca="false">IF(GasSwitch=0,VLOOKUP($A224,[1]!GasCurve,4),VLOOKUP($A224,[1]!AecoCurve,5))</f>
        <v>3.243</v>
      </c>
      <c r="E224" s="517" t="n">
        <v>-0.0228242775934312</v>
      </c>
      <c r="F224" s="503" t="n">
        <f aca="false">IF(shiftswitch2=1,IF(F223+$D$8*(D224-F223)+($E$8*(F223^$F$8)*E224)+(1-$D$8)*(D224-D223)&lt;0,0.01,F223+$D$8*(D224-F223)+($E$8*(F223^$F$8)*E224)+(1-$D$8)*(D224-D223)),IF(F223+$D$10*(C224-F223)+($E$10*(F223^$F$10)*E224)+(1-$D$10)*(C224-C223)&lt;0,0.01,F223+$D$10*(C224-F223)+($E$10*(F223^$F$10)*E224)+(1-$D$10)*(C224-C223)))</f>
        <v>3.2882624828036</v>
      </c>
      <c r="G224" s="503"/>
      <c r="H224" s="504" t="n">
        <v>22.19</v>
      </c>
      <c r="I224" s="501" t="n">
        <f aca="false">IF(OilSwitch=0,VLOOKUP($A224,[1]!OilCurve,4),VLOOKUP($A224,[1]!BrentCurve,4))</f>
        <v>23.08</v>
      </c>
      <c r="J224" s="517" t="n">
        <v>0.0188498133218158</v>
      </c>
      <c r="K224" s="503" t="n">
        <f aca="false">IF(shiftswitch2=1,K223+$D$9*(I224-K223)+($E$9*(K223^$F$9)*J224)+(1-$D$9)*(I224-I223),K223+$D$11*(H224-K223)+($E$11*(K223^$F$11)*J224)+(1-$D$11)*(H224-H223))</f>
        <v>22.2277933522797</v>
      </c>
      <c r="M224" s="503"/>
      <c r="AP224" s="454"/>
      <c r="AQ224" s="454"/>
      <c r="AR224" s="454"/>
      <c r="AS224" s="454"/>
    </row>
    <row r="225" customFormat="false" ht="10.5" hidden="false" customHeight="false" outlineLevel="0" collapsed="false">
      <c r="A225" s="498" t="n">
        <v>41214</v>
      </c>
      <c r="B225" s="499" t="n">
        <f aca="false">YEAR(A225)</f>
        <v>2012</v>
      </c>
      <c r="C225" s="500" t="n">
        <v>3.4325</v>
      </c>
      <c r="D225" s="501" t="n">
        <f aca="false">IF(GasSwitch=0,VLOOKUP($A225,[1]!GasCurve,4),VLOOKUP($A225,[1]!AecoCurve,5))</f>
        <v>3.334</v>
      </c>
      <c r="E225" s="517" t="n">
        <v>0.00669610549984096</v>
      </c>
      <c r="F225" s="503" t="n">
        <f aca="false">IF(shiftswitch2=1,IF(F224+$D$8*(D225-F224)+($E$8*(F224^$F$8)*E225)+(1-$D$8)*(D225-D224)&lt;0,0.01,F224+$D$8*(D225-F224)+($E$8*(F224^$F$8)*E225)+(1-$D$8)*(D225-D224)),IF(F224+$D$10*(C225-F224)+($E$10*(F224^$F$10)*E225)+(1-$D$10)*(C225-C224)&lt;0,0.01,F224+$D$10*(C225-F224)+($E$10*(F224^$F$10)*E225)+(1-$D$10)*(C225-C224)))</f>
        <v>3.43074751323538</v>
      </c>
      <c r="G225" s="503"/>
      <c r="H225" s="504" t="n">
        <v>22.24</v>
      </c>
      <c r="I225" s="501" t="n">
        <f aca="false">IF(OilSwitch=0,VLOOKUP($A225,[1]!OilCurve,4),VLOOKUP($A225,[1]!BrentCurve,4))</f>
        <v>23.13</v>
      </c>
      <c r="J225" s="517" t="n">
        <v>0.0347181573152348</v>
      </c>
      <c r="K225" s="503" t="n">
        <f aca="false">IF(shiftswitch2=1,K224+$D$9*(I225-K224)+($E$9*(K224^$F$9)*J225)+(1-$D$9)*(I225-I224),K224+$D$11*(H225-K224)+($E$11*(K224^$F$11)*J225)+(1-$D$11)*(H225-H224))</f>
        <v>22.3318228241765</v>
      </c>
      <c r="M225" s="503"/>
      <c r="AP225" s="454"/>
      <c r="AQ225" s="454"/>
      <c r="AR225" s="454"/>
      <c r="AS225" s="454"/>
    </row>
    <row r="226" customFormat="false" ht="10.5" hidden="false" customHeight="false" outlineLevel="0" collapsed="false">
      <c r="A226" s="498" t="n">
        <v>41244</v>
      </c>
      <c r="B226" s="499" t="n">
        <f aca="false">YEAR(A226)</f>
        <v>2012</v>
      </c>
      <c r="C226" s="500" t="n">
        <v>3.5565</v>
      </c>
      <c r="D226" s="501" t="n">
        <f aca="false">IF(GasSwitch=0,VLOOKUP($A226,[1]!GasCurve,4),VLOOKUP($A226,[1]!AecoCurve,5))</f>
        <v>3.433</v>
      </c>
      <c r="E226" s="517" t="n">
        <v>0.00430694860721741</v>
      </c>
      <c r="F226" s="503" t="n">
        <f aca="false">IF(shiftswitch2=1,IF(F225+$D$8*(D226-F225)+($E$8*(F225^$F$8)*E226)+(1-$D$8)*(D226-D225)&lt;0,0.01,F225+$D$8*(D226-F225)+($E$8*(F225^$F$8)*E226)+(1-$D$8)*(D226-D225)),IF(F225+$D$10*(C226-F225)+($E$10*(F225^$F$10)*E226)+(1-$D$10)*(C226-C225)&lt;0,0.01,F225+$D$10*(C226-F225)+($E$10*(F225^$F$10)*E226)+(1-$D$10)*(C226-C225)))</f>
        <v>3.55794628390939</v>
      </c>
      <c r="G226" s="503"/>
      <c r="H226" s="504" t="n">
        <v>22.29</v>
      </c>
      <c r="I226" s="501" t="n">
        <f aca="false">IF(OilSwitch=0,VLOOKUP($A226,[1]!OilCurve,4),VLOOKUP($A226,[1]!BrentCurve,4))</f>
        <v>23.18</v>
      </c>
      <c r="J226" s="517" t="n">
        <v>-0.0854037873109157</v>
      </c>
      <c r="K226" s="503" t="n">
        <f aca="false">IF(shiftswitch2=1,K225+$D$9*(I226-K225)+($E$9*(K225^$F$9)*J226)+(1-$D$9)*(I226-I225),K225+$D$11*(H226-K225)+($E$11*(K225^$F$11)*J226)+(1-$D$11)*(H226-H225))</f>
        <v>22.2306204624977</v>
      </c>
      <c r="M226" s="503"/>
      <c r="AP226" s="454"/>
      <c r="AQ226" s="454"/>
      <c r="AR226" s="454"/>
      <c r="AS226" s="454"/>
    </row>
    <row r="227" customFormat="false" ht="10.5" hidden="false" customHeight="false" outlineLevel="0" collapsed="false">
      <c r="A227" s="498" t="n">
        <v>41275</v>
      </c>
      <c r="B227" s="512" t="n">
        <f aca="false">YEAR(A227)</f>
        <v>2013</v>
      </c>
      <c r="C227" s="513" t="n">
        <v>3.645</v>
      </c>
      <c r="D227" s="501" t="n">
        <f aca="false">IF(GasSwitch=0,VLOOKUP($A227,[1]!GasCurve,4),VLOOKUP($A227,[1]!AecoCurve,5))</f>
        <v>3.4775</v>
      </c>
      <c r="E227" s="517" t="n">
        <v>-0.00463753559127886</v>
      </c>
      <c r="F227" s="503" t="n">
        <f aca="false">IF(shiftswitch2=1,IF(F226+$D$8*(D227-F226)+($E$8*(F226^$F$8)*E227)+(1-$D$8)*(D227-D226)&lt;0,0.01,F226+$D$8*(D227-F226)+($E$8*(F226^$F$8)*E227)+(1-$D$8)*(D227-D226)),IF(F226+$D$10*(C227-F226)+($E$10*(F226^$F$10)*E227)+(1-$D$10)*(C227-C226)&lt;0,0.01,F226+$D$10*(C227-F226)+($E$10*(F226^$F$10)*E227)+(1-$D$10)*(C227-C226)))</f>
        <v>3.64312801347556</v>
      </c>
      <c r="G227" s="503"/>
      <c r="H227" s="516" t="n">
        <v>22.3400000000001</v>
      </c>
      <c r="I227" s="501" t="n">
        <f aca="false">IF(OilSwitch=0,VLOOKUP($A227,[1]!OilCurve,4),VLOOKUP($A227,[1]!BrentCurve,4))</f>
        <v>23.2300000000001</v>
      </c>
      <c r="J227" s="518" t="n">
        <v>0.00336610843614119</v>
      </c>
      <c r="K227" s="515" t="n">
        <f aca="false">IF(shiftswitch2=1,K226+$D$9*(I227-K226)+($E$9*(K226^$F$9)*J227)+(1-$D$9)*(I227-I226),K226+$D$11*(H227-K226)+($E$11*(K226^$F$11)*J227)+(1-$D$11)*(H227-H226))</f>
        <v>22.2921002411482</v>
      </c>
      <c r="M227" s="503"/>
      <c r="AP227" s="454"/>
      <c r="AQ227" s="454"/>
      <c r="AR227" s="454"/>
      <c r="AS227" s="454"/>
    </row>
    <row r="228" customFormat="false" ht="10.5" hidden="false" customHeight="false" outlineLevel="0" collapsed="false">
      <c r="A228" s="498" t="n">
        <v>41306</v>
      </c>
      <c r="B228" s="499" t="n">
        <f aca="false">YEAR(A228)</f>
        <v>2013</v>
      </c>
      <c r="C228" s="500" t="n">
        <v>3.527</v>
      </c>
      <c r="D228" s="501" t="n">
        <f aca="false">IF(GasSwitch=0,VLOOKUP($A228,[1]!GasCurve,4),VLOOKUP($A228,[1]!AecoCurve,5))</f>
        <v>3.4045</v>
      </c>
      <c r="E228" s="517" t="n">
        <v>0.0267163478136279</v>
      </c>
      <c r="F228" s="503" t="n">
        <f aca="false">IF(shiftswitch2=1,IF(F227+$D$8*(D228-F227)+($E$8*(F227^$F$8)*E228)+(1-$D$8)*(D228-D227)&lt;0,0.01,F227+$D$8*(D228-F227)+($E$8*(F227^$F$8)*E228)+(1-$D$8)*(D228-D227)),IF(F227+$D$10*(C228-F227)+($E$10*(F227^$F$10)*E228)+(1-$D$10)*(C228-C227)&lt;0,0.01,F227+$D$10*(C228-F227)+($E$10*(F227^$F$10)*E228)+(1-$D$10)*(C228-C227)))</f>
        <v>3.54185988174492</v>
      </c>
      <c r="G228" s="503"/>
      <c r="H228" s="504" t="n">
        <v>22.3900000000001</v>
      </c>
      <c r="I228" s="501" t="n">
        <f aca="false">IF(OilSwitch=0,VLOOKUP($A228,[1]!OilCurve,4),VLOOKUP($A228,[1]!BrentCurve,4))</f>
        <v>23.2800000000001</v>
      </c>
      <c r="J228" s="517" t="n">
        <v>-0.0101000131011954</v>
      </c>
      <c r="K228" s="503" t="n">
        <f aca="false">IF(shiftswitch2=1,K227+$D$9*(I228-K227)+($E$9*(K227^$F$9)*J228)+(1-$D$9)*(I228-I227),K227+$D$11*(H228-K227)+($E$11*(K227^$F$11)*J228)+(1-$D$11)*(H228-H227))</f>
        <v>22.3300358954742</v>
      </c>
      <c r="M228" s="503"/>
      <c r="AP228" s="454"/>
      <c r="AQ228" s="454"/>
      <c r="AR228" s="454"/>
      <c r="AS228" s="454"/>
    </row>
    <row r="229" customFormat="false" ht="10.5" hidden="false" customHeight="false" outlineLevel="0" collapsed="false">
      <c r="A229" s="498" t="n">
        <v>41334</v>
      </c>
      <c r="B229" s="499" t="n">
        <f aca="false">YEAR(A229)</f>
        <v>2013</v>
      </c>
      <c r="C229" s="500" t="n">
        <v>3.407</v>
      </c>
      <c r="D229" s="501" t="n">
        <f aca="false">IF(GasSwitch=0,VLOOKUP($A229,[1]!GasCurve,4),VLOOKUP($A229,[1]!AecoCurve,5))</f>
        <v>3.3195</v>
      </c>
      <c r="E229" s="517" t="n">
        <v>0.0213668939334991</v>
      </c>
      <c r="F229" s="503" t="n">
        <f aca="false">IF(shiftswitch2=1,IF(F228+$D$8*(D229-F228)+($E$8*(F228^$F$8)*E229)+(1-$D$8)*(D229-D228)&lt;0,0.01,F228+$D$8*(D229-F228)+($E$8*(F228^$F$8)*E229)+(1-$D$8)*(D229-D228)),IF(F228+$D$10*(C229-F228)+($E$10*(F228^$F$10)*E229)+(1-$D$10)*(C229-C228)&lt;0,0.01,F228+$D$10*(C229-F228)+($E$10*(F228^$F$10)*E229)+(1-$D$10)*(C229-C228)))</f>
        <v>3.42854917971593</v>
      </c>
      <c r="G229" s="503"/>
      <c r="H229" s="504" t="n">
        <v>22.4400000000001</v>
      </c>
      <c r="I229" s="501" t="n">
        <f aca="false">IF(OilSwitch=0,VLOOKUP($A229,[1]!OilCurve,4),VLOOKUP($A229,[1]!BrentCurve,4))</f>
        <v>23.3300000000001</v>
      </c>
      <c r="J229" s="517" t="n">
        <v>0.00377071056662916</v>
      </c>
      <c r="K229" s="503" t="n">
        <f aca="false">IF(shiftswitch2=1,K228+$D$9*(I229-K228)+($E$9*(K228^$F$9)*J229)+(1-$D$9)*(I229-I228),K228+$D$11*(H229-K228)+($E$11*(K228^$F$11)*J229)+(1-$D$11)*(H229-H228))</f>
        <v>22.3922468042051</v>
      </c>
      <c r="M229" s="503"/>
      <c r="AP229" s="454"/>
      <c r="AQ229" s="454"/>
      <c r="AR229" s="454"/>
      <c r="AS229" s="454"/>
    </row>
    <row r="230" customFormat="false" ht="10.5" hidden="false" customHeight="false" outlineLevel="0" collapsed="false">
      <c r="A230" s="498" t="n">
        <v>41365</v>
      </c>
      <c r="B230" s="499" t="n">
        <f aca="false">YEAR(A230)</f>
        <v>2013</v>
      </c>
      <c r="C230" s="500" t="n">
        <v>3.3575</v>
      </c>
      <c r="D230" s="501" t="n">
        <f aca="false">IF(GasSwitch=0,VLOOKUP($A230,[1]!GasCurve,4),VLOOKUP($A230,[1]!AecoCurve,5))</f>
        <v>3.2495</v>
      </c>
      <c r="E230" s="517" t="n">
        <v>-0.0318868751312464</v>
      </c>
      <c r="F230" s="503" t="n">
        <f aca="false">IF(shiftswitch2=1,IF(F229+$D$8*(D230-F229)+($E$8*(F229^$F$8)*E230)+(1-$D$8)*(D230-D229)&lt;0,0.01,F229+$D$8*(D230-F229)+($E$8*(F229^$F$8)*E230)+(1-$D$8)*(D230-D229)),IF(F229+$D$10*(C230-F229)+($E$10*(F229^$F$10)*E230)+(1-$D$10)*(C230-C229)&lt;0,0.01,F229+$D$10*(C230-F229)+($E$10*(F229^$F$10)*E230)+(1-$D$10)*(C230-C229)))</f>
        <v>3.35195836969412</v>
      </c>
      <c r="G230" s="503"/>
      <c r="H230" s="504" t="n">
        <v>22.4900000000001</v>
      </c>
      <c r="I230" s="501" t="n">
        <f aca="false">IF(OilSwitch=0,VLOOKUP($A230,[1]!OilCurve,4),VLOOKUP($A230,[1]!BrentCurve,4))</f>
        <v>23.3800000000001</v>
      </c>
      <c r="J230" s="517" t="n">
        <v>-0.0751221566347992</v>
      </c>
      <c r="K230" s="503" t="n">
        <f aca="false">IF(shiftswitch2=1,K229+$D$9*(I230-K229)+($E$9*(K229^$F$9)*J230)+(1-$D$9)*(I230-I229),K229+$D$11*(H230-K229)+($E$11*(K229^$F$11)*J230)+(1-$D$11)*(H230-H229))</f>
        <v>22.3219711019485</v>
      </c>
      <c r="M230" s="503"/>
      <c r="AP230" s="454"/>
      <c r="AQ230" s="454"/>
      <c r="AR230" s="454"/>
      <c r="AS230" s="454"/>
    </row>
    <row r="231" customFormat="false" ht="10.5" hidden="false" customHeight="false" outlineLevel="0" collapsed="false">
      <c r="A231" s="498" t="n">
        <v>41395</v>
      </c>
      <c r="B231" s="499" t="n">
        <f aca="false">YEAR(A231)</f>
        <v>2013</v>
      </c>
      <c r="C231" s="500" t="n">
        <v>3.3315</v>
      </c>
      <c r="D231" s="501" t="n">
        <f aca="false">IF(GasSwitch=0,VLOOKUP($A231,[1]!GasCurve,4),VLOOKUP($A231,[1]!AecoCurve,5))</f>
        <v>3.2595</v>
      </c>
      <c r="E231" s="517" t="n">
        <v>-0.0025232873885767</v>
      </c>
      <c r="F231" s="503" t="n">
        <f aca="false">IF(shiftswitch2=1,IF(F230+$D$8*(D231-F230)+($E$8*(F230^$F$8)*E231)+(1-$D$8)*(D231-D230)&lt;0,0.01,F230+$D$8*(D231-F230)+($E$8*(F230^$F$8)*E231)+(1-$D$8)*(D231-D230)),IF(F230+$D$10*(C231-F230)+($E$10*(F230^$F$10)*E231)+(1-$D$10)*(C231-C230)&lt;0,0.01,F230+$D$10*(C231-F230)+($E$10*(F230^$F$10)*E231)+(1-$D$10)*(C231-C230)))</f>
        <v>3.3267167634237</v>
      </c>
      <c r="G231" s="503"/>
      <c r="H231" s="504" t="n">
        <v>22.5400000000001</v>
      </c>
      <c r="I231" s="501" t="n">
        <f aca="false">IF(OilSwitch=0,VLOOKUP($A231,[1]!OilCurve,4),VLOOKUP($A231,[1]!BrentCurve,4))</f>
        <v>23.4300000000001</v>
      </c>
      <c r="J231" s="517" t="n">
        <v>0.00695272105675878</v>
      </c>
      <c r="K231" s="503" t="n">
        <f aca="false">IF(shiftswitch2=1,K230+$D$9*(I231-K230)+($E$9*(K230^$F$9)*J231)+(1-$D$9)*(I231-I230),K230+$D$11*(H231-K230)+($E$11*(K230^$F$11)*J231)+(1-$D$11)*(H231-H230))</f>
        <v>22.4001752906941</v>
      </c>
      <c r="M231" s="503"/>
      <c r="AP231" s="454"/>
      <c r="AQ231" s="454"/>
      <c r="AR231" s="454"/>
      <c r="AS231" s="454"/>
    </row>
    <row r="232" customFormat="false" ht="10.5" hidden="false" customHeight="false" outlineLevel="0" collapsed="false">
      <c r="A232" s="498" t="n">
        <v>41426</v>
      </c>
      <c r="B232" s="499" t="n">
        <f aca="false">YEAR(A232)</f>
        <v>2013</v>
      </c>
      <c r="C232" s="500" t="n">
        <v>3.3375</v>
      </c>
      <c r="D232" s="501" t="n">
        <f aca="false">IF(GasSwitch=0,VLOOKUP($A232,[1]!GasCurve,4),VLOOKUP($A232,[1]!AecoCurve,5))</f>
        <v>3.2785</v>
      </c>
      <c r="E232" s="517" t="n">
        <v>0.0253872365761634</v>
      </c>
      <c r="F232" s="503" t="n">
        <f aca="false">IF(shiftswitch2=1,IF(F231+$D$8*(D232-F231)+($E$8*(F231^$F$8)*E232)+(1-$D$8)*(D232-D231)&lt;0,0.01,F231+$D$8*(D232-F231)+($E$8*(F231^$F$8)*E232)+(1-$D$8)*(D232-D231)),IF(F231+$D$10*(C232-F231)+($E$10*(F231^$F$10)*E232)+(1-$D$10)*(C232-C231)&lt;0,0.01,F231+$D$10*(C232-F231)+($E$10*(F231^$F$10)*E232)+(1-$D$10)*(C232-C231)))</f>
        <v>3.3491379138048</v>
      </c>
      <c r="G232" s="503"/>
      <c r="H232" s="504" t="n">
        <v>22.5900000000001</v>
      </c>
      <c r="I232" s="501" t="n">
        <f aca="false">IF(OilSwitch=0,VLOOKUP($A232,[1]!OilCurve,4),VLOOKUP($A232,[1]!BrentCurve,4))</f>
        <v>23.4800000000001</v>
      </c>
      <c r="J232" s="517" t="n">
        <v>-0.0646489618462652</v>
      </c>
      <c r="K232" s="503" t="n">
        <f aca="false">IF(shiftswitch2=1,K231+$D$9*(I232-K231)+($E$9*(K231^$F$9)*J232)+(1-$D$9)*(I232-I231),K231+$D$11*(H232-K231)+($E$11*(K231^$F$11)*J232)+(1-$D$11)*(H232-H231))</f>
        <v>22.3564420644032</v>
      </c>
      <c r="M232" s="503"/>
      <c r="AP232" s="454"/>
      <c r="AQ232" s="454"/>
      <c r="AR232" s="454"/>
      <c r="AS232" s="454"/>
    </row>
    <row r="233" customFormat="false" ht="10.5" hidden="false" customHeight="false" outlineLevel="0" collapsed="false">
      <c r="A233" s="498" t="n">
        <v>41456</v>
      </c>
      <c r="B233" s="499" t="n">
        <f aca="false">YEAR(A233)</f>
        <v>2013</v>
      </c>
      <c r="C233" s="500" t="n">
        <v>3.3475</v>
      </c>
      <c r="D233" s="501" t="n">
        <f aca="false">IF(GasSwitch=0,VLOOKUP($A233,[1]!GasCurve,4),VLOOKUP($A233,[1]!AecoCurve,5))</f>
        <v>3.2895</v>
      </c>
      <c r="E233" s="517" t="n">
        <v>-0.00972648325012746</v>
      </c>
      <c r="F233" s="503" t="n">
        <f aca="false">IF(shiftswitch2=1,IF(F232+$D$8*(D233-F232)+($E$8*(F232^$F$8)*E233)+(1-$D$8)*(D233-D232)&lt;0,0.01,F232+$D$8*(D233-F232)+($E$8*(F232^$F$8)*E233)+(1-$D$8)*(D233-D232)),IF(F232+$D$10*(C233-F232)+($E$10*(F232^$F$10)*E233)+(1-$D$10)*(C233-C232)&lt;0,0.01,F232+$D$10*(C233-F232)+($E$10*(F232^$F$10)*E233)+(1-$D$10)*(C233-C232)))</f>
        <v>3.34892336624532</v>
      </c>
      <c r="G233" s="503"/>
      <c r="H233" s="504" t="n">
        <v>22.6400000000001</v>
      </c>
      <c r="I233" s="501" t="n">
        <f aca="false">IF(OilSwitch=0,VLOOKUP($A233,[1]!OilCurve,4),VLOOKUP($A233,[1]!BrentCurve,4))</f>
        <v>23.5300000000001</v>
      </c>
      <c r="J233" s="517" t="n">
        <v>-0.0362339554304723</v>
      </c>
      <c r="K233" s="503" t="n">
        <f aca="false">IF(shiftswitch2=1,K232+$D$9*(I233-K232)+($E$9*(K232^$F$9)*J233)+(1-$D$9)*(I233-I232),K232+$D$11*(H233-K232)+($E$11*(K232^$F$11)*J233)+(1-$D$11)*(H233-H232))</f>
        <v>22.369270998191</v>
      </c>
      <c r="M233" s="503"/>
      <c r="AP233" s="454"/>
      <c r="AQ233" s="454"/>
      <c r="AR233" s="454"/>
      <c r="AS233" s="454"/>
    </row>
    <row r="234" customFormat="false" ht="10.5" hidden="false" customHeight="false" outlineLevel="0" collapsed="false">
      <c r="A234" s="498" t="n">
        <v>41487</v>
      </c>
      <c r="B234" s="499" t="n">
        <f aca="false">YEAR(A234)</f>
        <v>2013</v>
      </c>
      <c r="C234" s="500" t="n">
        <v>3.3545</v>
      </c>
      <c r="D234" s="501" t="n">
        <f aca="false">IF(GasSwitch=0,VLOOKUP($A234,[1]!GasCurve,4),VLOOKUP($A234,[1]!AecoCurve,5))</f>
        <v>3.2985</v>
      </c>
      <c r="E234" s="517" t="n">
        <v>-0.0188784778793286</v>
      </c>
      <c r="F234" s="503" t="n">
        <f aca="false">IF(shiftswitch2=1,IF(F233+$D$8*(D234-F233)+($E$8*(F233^$F$8)*E234)+(1-$D$8)*(D234-D233)&lt;0,0.01,F233+$D$8*(D234-F233)+($E$8*(F233^$F$8)*E234)+(1-$D$8)*(D234-D233)),IF(F233+$D$10*(C234-F233)+($E$10*(F233^$F$10)*E234)+(1-$D$10)*(C234-C233)&lt;0,0.01,F233+$D$10*(C234-F233)+($E$10*(F233^$F$10)*E234)+(1-$D$10)*(C234-C233)))</f>
        <v>3.34452586687035</v>
      </c>
      <c r="G234" s="503"/>
      <c r="H234" s="504" t="n">
        <v>22.6900000000001</v>
      </c>
      <c r="I234" s="501" t="n">
        <f aca="false">IF(OilSwitch=0,VLOOKUP($A234,[1]!OilCurve,4),VLOOKUP($A234,[1]!BrentCurve,4))</f>
        <v>23.5800000000001</v>
      </c>
      <c r="J234" s="517" t="n">
        <v>0.0141431595318109</v>
      </c>
      <c r="K234" s="503" t="n">
        <f aca="false">IF(shiftswitch2=1,K233+$D$9*(I234-K233)+($E$9*(K233^$F$9)*J234)+(1-$D$9)*(I234-I233),K233+$D$11*(H234-K233)+($E$11*(K233^$F$11)*J234)+(1-$D$11)*(H234-H233))</f>
        <v>22.469607386831</v>
      </c>
      <c r="M234" s="503"/>
      <c r="AP234" s="454"/>
      <c r="AQ234" s="454"/>
      <c r="AR234" s="454"/>
      <c r="AS234" s="454"/>
    </row>
    <row r="235" customFormat="false" ht="10.5" hidden="false" customHeight="false" outlineLevel="0" collapsed="false">
      <c r="A235" s="498" t="n">
        <v>41518</v>
      </c>
      <c r="B235" s="499" t="n">
        <f aca="false">YEAR(A235)</f>
        <v>2013</v>
      </c>
      <c r="C235" s="500" t="n">
        <v>3.3615</v>
      </c>
      <c r="D235" s="501" t="n">
        <f aca="false">IF(GasSwitch=0,VLOOKUP($A235,[1]!GasCurve,4),VLOOKUP($A235,[1]!AecoCurve,5))</f>
        <v>3.2955</v>
      </c>
      <c r="E235" s="517" t="n">
        <v>-0.0143713335241467</v>
      </c>
      <c r="F235" s="503" t="n">
        <f aca="false">IF(shiftswitch2=1,IF(F234+$D$8*(D235-F234)+($E$8*(F234^$F$8)*E235)+(1-$D$8)*(D235-D234)&lt;0,0.01,F234+$D$8*(D235-F234)+($E$8*(F234^$F$8)*E235)+(1-$D$8)*(D235-D234)),IF(F234+$D$10*(C235-F234)+($E$10*(F234^$F$10)*E235)+(1-$D$10)*(C235-C234)&lt;0,0.01,F234+$D$10*(C235-F234)+($E$10*(F234^$F$10)*E235)+(1-$D$10)*(C235-C234)))</f>
        <v>3.34725804704427</v>
      </c>
      <c r="G235" s="503"/>
      <c r="H235" s="504" t="n">
        <v>22.7400000000001</v>
      </c>
      <c r="I235" s="501" t="n">
        <f aca="false">IF(OilSwitch=0,VLOOKUP($A235,[1]!OilCurve,4),VLOOKUP($A235,[1]!BrentCurve,4))</f>
        <v>23.6300000000001</v>
      </c>
      <c r="J235" s="517" t="n">
        <v>-0.0204277112230654</v>
      </c>
      <c r="K235" s="503" t="n">
        <f aca="false">IF(shiftswitch2=1,K234+$D$9*(I235-K234)+($E$9*(K234^$F$9)*J235)+(1-$D$9)*(I235-I234),K234+$D$11*(H235-K234)+($E$11*(K234^$F$11)*J235)+(1-$D$11)*(H235-H234))</f>
        <v>22.5074345440596</v>
      </c>
      <c r="M235" s="503"/>
      <c r="AP235" s="454"/>
      <c r="AQ235" s="454"/>
      <c r="AR235" s="454"/>
      <c r="AS235" s="454"/>
    </row>
    <row r="236" customFormat="false" ht="10.5" hidden="false" customHeight="false" outlineLevel="0" collapsed="false">
      <c r="A236" s="498" t="n">
        <v>41548</v>
      </c>
      <c r="B236" s="499" t="n">
        <f aca="false">YEAR(A236)</f>
        <v>2013</v>
      </c>
      <c r="C236" s="500" t="n">
        <v>3.3875</v>
      </c>
      <c r="D236" s="501" t="n">
        <f aca="false">IF(GasSwitch=0,VLOOKUP($A236,[1]!GasCurve,4),VLOOKUP($A236,[1]!AecoCurve,5))</f>
        <v>3.3125</v>
      </c>
      <c r="E236" s="517" t="n">
        <v>-0.0514919937645086</v>
      </c>
      <c r="F236" s="503" t="n">
        <f aca="false">IF(shiftswitch2=1,IF(F235+$D$8*(D236-F235)+($E$8*(F235^$F$8)*E236)+(1-$D$8)*(D236-D235)&lt;0,0.01,F235+$D$8*(D236-F235)+($E$8*(F235^$F$8)*E236)+(1-$D$8)*(D236-D235)),IF(F235+$D$10*(C236-F235)+($E$10*(F235^$F$10)*E236)+(1-$D$10)*(C236-C235)&lt;0,0.01,F235+$D$10*(C236-F235)+($E$10*(F235^$F$10)*E236)+(1-$D$10)*(C236-C235)))</f>
        <v>3.34939522128907</v>
      </c>
      <c r="G236" s="503"/>
      <c r="H236" s="504" t="n">
        <v>22.7900000000001</v>
      </c>
      <c r="I236" s="501" t="n">
        <f aca="false">IF(OilSwitch=0,VLOOKUP($A236,[1]!OilCurve,4),VLOOKUP($A236,[1]!BrentCurve,4))</f>
        <v>23.6800000000001</v>
      </c>
      <c r="J236" s="517" t="n">
        <v>-0.000947912002970492</v>
      </c>
      <c r="K236" s="503" t="n">
        <f aca="false">IF(shiftswitch2=1,K235+$D$9*(I236-K235)+($E$9*(K235^$F$9)*J236)+(1-$D$9)*(I236-I235),K235+$D$11*(H236-K235)+($E$11*(K235^$F$11)*J236)+(1-$D$11)*(H236-H235))</f>
        <v>22.5788811986247</v>
      </c>
      <c r="M236" s="503"/>
      <c r="AP236" s="454"/>
      <c r="AQ236" s="454"/>
      <c r="AR236" s="454"/>
      <c r="AS236" s="454"/>
    </row>
    <row r="237" customFormat="false" ht="10.5" hidden="false" customHeight="false" outlineLevel="0" collapsed="false">
      <c r="A237" s="498" t="n">
        <v>41579</v>
      </c>
      <c r="B237" s="499" t="n">
        <f aca="false">YEAR(A237)</f>
        <v>2013</v>
      </c>
      <c r="C237" s="500" t="n">
        <v>3.5225</v>
      </c>
      <c r="D237" s="501" t="n">
        <f aca="false">IF(GasSwitch=0,VLOOKUP($A237,[1]!GasCurve,4),VLOOKUP($A237,[1]!AecoCurve,5))</f>
        <v>3.3985</v>
      </c>
      <c r="E237" s="517" t="n">
        <v>0.0215169930294181</v>
      </c>
      <c r="F237" s="503" t="n">
        <f aca="false">IF(shiftswitch2=1,IF(F236+$D$8*(D237-F236)+($E$8*(F236^$F$8)*E237)+(1-$D$8)*(D237-D236)&lt;0,0.01,F236+$D$8*(D237-F236)+($E$8*(F236^$F$8)*E237)+(1-$D$8)*(D237-D236)),IF(F236+$D$10*(C237-F236)+($E$10*(F236^$F$10)*E237)+(1-$D$10)*(C237-C236)&lt;0,0.01,F236+$D$10*(C237-F236)+($E$10*(F236^$F$10)*E237)+(1-$D$10)*(C237-C236)))</f>
        <v>3.5119138633435</v>
      </c>
      <c r="G237" s="503"/>
      <c r="H237" s="504" t="n">
        <v>22.8400000000001</v>
      </c>
      <c r="I237" s="501" t="n">
        <f aca="false">IF(OilSwitch=0,VLOOKUP($A237,[1]!OilCurve,4),VLOOKUP($A237,[1]!BrentCurve,4))</f>
        <v>23.7300000000001</v>
      </c>
      <c r="J237" s="517" t="n">
        <v>-0.00284047319786365</v>
      </c>
      <c r="K237" s="503" t="n">
        <f aca="false">IF(shiftswitch2=1,K236+$D$9*(I237-K236)+($E$9*(K236^$F$9)*J237)+(1-$D$9)*(I237-I236),K236+$D$11*(H237-K236)+($E$11*(K236^$F$11)*J237)+(1-$D$11)*(H237-H236))</f>
        <v>22.6450554125597</v>
      </c>
      <c r="M237" s="503"/>
      <c r="AP237" s="454"/>
      <c r="AQ237" s="454"/>
      <c r="AR237" s="454"/>
      <c r="AS237" s="454"/>
    </row>
    <row r="238" customFormat="false" ht="10.5" hidden="false" customHeight="false" outlineLevel="0" collapsed="false">
      <c r="A238" s="498" t="n">
        <v>41609</v>
      </c>
      <c r="B238" s="499" t="n">
        <f aca="false">YEAR(A238)</f>
        <v>2013</v>
      </c>
      <c r="C238" s="500" t="n">
        <v>3.6465</v>
      </c>
      <c r="D238" s="501" t="n">
        <f aca="false">IF(GasSwitch=0,VLOOKUP($A238,[1]!GasCurve,4),VLOOKUP($A238,[1]!AecoCurve,5))</f>
        <v>3.4945</v>
      </c>
      <c r="E238" s="517" t="n">
        <v>-0.0176886870729782</v>
      </c>
      <c r="F238" s="503" t="n">
        <f aca="false">IF(shiftswitch2=1,IF(F237+$D$8*(D238-F237)+($E$8*(F237^$F$8)*E238)+(1-$D$8)*(D238-D237)&lt;0,0.01,F237+$D$8*(D238-F237)+($E$8*(F237^$F$8)*E238)+(1-$D$8)*(D238-D237)),IF(F237+$D$10*(C238-F237)+($E$10*(F237^$F$10)*E238)+(1-$D$10)*(C238-C237)&lt;0,0.01,F237+$D$10*(C238-F237)+($E$10*(F237^$F$10)*E238)+(1-$D$10)*(C238-C237)))</f>
        <v>3.62973712097237</v>
      </c>
      <c r="G238" s="503"/>
      <c r="H238" s="504" t="n">
        <v>22.8900000000001</v>
      </c>
      <c r="I238" s="501" t="n">
        <f aca="false">IF(OilSwitch=0,VLOOKUP($A238,[1]!OilCurve,4),VLOOKUP($A238,[1]!BrentCurve,4))</f>
        <v>23.7800000000001</v>
      </c>
      <c r="J238" s="517" t="n">
        <v>0.0188685222191507</v>
      </c>
      <c r="K238" s="503" t="n">
        <f aca="false">IF(shiftswitch2=1,K237+$D$9*(I238-K237)+($E$9*(K237^$F$9)*J238)+(1-$D$9)*(I238-I237),K237+$D$11*(H238-K237)+($E$11*(K237^$F$11)*J238)+(1-$D$11)*(H238-H237))</f>
        <v>22.7457521476889</v>
      </c>
      <c r="M238" s="503"/>
      <c r="AP238" s="454"/>
      <c r="AQ238" s="454"/>
      <c r="AR238" s="454"/>
      <c r="AS238" s="454"/>
    </row>
    <row r="239" customFormat="false" ht="10.5" hidden="false" customHeight="false" outlineLevel="0" collapsed="false">
      <c r="A239" s="498" t="n">
        <v>41640</v>
      </c>
      <c r="B239" s="512" t="n">
        <f aca="false">YEAR(A239)</f>
        <v>2014</v>
      </c>
      <c r="C239" s="513" t="n">
        <v>3.74</v>
      </c>
      <c r="D239" s="501" t="n">
        <f aca="false">IF(GasSwitch=0,VLOOKUP($A239,[1]!GasCurve,4),VLOOKUP($A239,[1]!AecoCurve,5))</f>
        <v>3.537</v>
      </c>
      <c r="E239" s="517" t="n">
        <v>-0.0254527914955979</v>
      </c>
      <c r="F239" s="503" t="n">
        <f aca="false">IF(shiftswitch2=1,IF(F238+$D$8*(D239-F238)+($E$8*(F238^$F$8)*E239)+(1-$D$8)*(D239-D238)&lt;0,0.01,F238+$D$8*(D239-F238)+($E$8*(F238^$F$8)*E239)+(1-$D$8)*(D239-D238)),IF(F238+$D$10*(C239-F238)+($E$10*(F238^$F$10)*E239)+(1-$D$10)*(C239-C238)&lt;0,0.01,F238+$D$10*(C239-F238)+($E$10*(F238^$F$10)*E239)+(1-$D$10)*(C239-C238)))</f>
        <v>3.71470975554312</v>
      </c>
      <c r="G239" s="503"/>
      <c r="H239" s="516" t="n">
        <v>22.9400000000001</v>
      </c>
      <c r="I239" s="501" t="n">
        <f aca="false">IF(OilSwitch=0,VLOOKUP($A239,[1]!OilCurve,4),VLOOKUP($A239,[1]!BrentCurve,4))</f>
        <v>23.8300000000001</v>
      </c>
      <c r="J239" s="518" t="n">
        <v>-0.0677721316791024</v>
      </c>
      <c r="K239" s="515" t="n">
        <f aca="false">IF(shiftswitch2=1,K238+$D$9*(I239-K238)+($E$9*(K238^$F$9)*J239)+(1-$D$9)*(I239-I238),K238+$D$11*(H239-K238)+($E$11*(K238^$F$11)*J239)+(1-$D$11)*(H239-H238))</f>
        <v>22.6972598579537</v>
      </c>
      <c r="M239" s="503"/>
      <c r="AP239" s="454"/>
      <c r="AQ239" s="454"/>
      <c r="AR239" s="454"/>
      <c r="AS239" s="454"/>
    </row>
    <row r="240" customFormat="false" ht="10.5" hidden="false" customHeight="false" outlineLevel="0" collapsed="false">
      <c r="A240" s="498" t="n">
        <v>41671</v>
      </c>
      <c r="B240" s="499" t="n">
        <f aca="false">YEAR(A240)</f>
        <v>2014</v>
      </c>
      <c r="C240" s="500" t="n">
        <v>3.622</v>
      </c>
      <c r="D240" s="501" t="n">
        <f aca="false">IF(GasSwitch=0,VLOOKUP($A240,[1]!GasCurve,4),VLOOKUP($A240,[1]!AecoCurve,5))</f>
        <v>3.468</v>
      </c>
      <c r="E240" s="517" t="n">
        <v>-0.0175616188687469</v>
      </c>
      <c r="F240" s="503" t="n">
        <f aca="false">IF(shiftswitch2=1,IF(F239+$D$8*(D240-F239)+($E$8*(F239^$F$8)*E240)+(1-$D$8)*(D240-D239)&lt;0,0.01,F239+$D$8*(D240-F239)+($E$8*(F239^$F$8)*E240)+(1-$D$8)*(D240-D239)),IF(F239+$D$10*(C240-F239)+($E$10*(F239^$F$10)*E240)+(1-$D$10)*(C240-C239)&lt;0,0.01,F239+$D$10*(C240-F239)+($E$10*(F239^$F$10)*E240)+(1-$D$10)*(C240-C239)))</f>
        <v>3.59616913001175</v>
      </c>
      <c r="G240" s="503"/>
      <c r="H240" s="504" t="n">
        <v>22.9900000000001</v>
      </c>
      <c r="I240" s="501" t="n">
        <f aca="false">IF(OilSwitch=0,VLOOKUP($A240,[1]!OilCurve,4),VLOOKUP($A240,[1]!BrentCurve,4))</f>
        <v>23.8800000000001</v>
      </c>
      <c r="J240" s="517" t="n">
        <v>0.017721463278888</v>
      </c>
      <c r="K240" s="503" t="n">
        <f aca="false">IF(shiftswitch2=1,K239+$D$9*(I240-K239)+($E$9*(K239^$F$9)*J240)+(1-$D$9)*(I240-I239),K239+$D$11*(H240-K239)+($E$11*(K239^$F$11)*J240)+(1-$D$11)*(H240-H239))</f>
        <v>22.8007796469124</v>
      </c>
      <c r="M240" s="503"/>
      <c r="AP240" s="454"/>
      <c r="AQ240" s="454"/>
      <c r="AR240" s="454"/>
      <c r="AS240" s="454"/>
    </row>
    <row r="241" customFormat="false" ht="10.5" hidden="false" customHeight="false" outlineLevel="0" collapsed="false">
      <c r="A241" s="498" t="n">
        <v>41699</v>
      </c>
      <c r="B241" s="499" t="n">
        <f aca="false">YEAR(A241)</f>
        <v>2014</v>
      </c>
      <c r="C241" s="500" t="n">
        <v>3.502</v>
      </c>
      <c r="D241" s="501" t="n">
        <f aca="false">IF(GasSwitch=0,VLOOKUP($A241,[1]!GasCurve,4),VLOOKUP($A241,[1]!AecoCurve,5))</f>
        <v>3.386</v>
      </c>
      <c r="E241" s="517" t="n">
        <v>-0.011974940243107</v>
      </c>
      <c r="F241" s="503" t="n">
        <f aca="false">IF(shiftswitch2=1,IF(F240+$D$8*(D241-F240)+($E$8*(F240^$F$8)*E241)+(1-$D$8)*(D241-D240)&lt;0,0.01,F240+$D$8*(D241-F240)+($E$8*(F240^$F$8)*E241)+(1-$D$8)*(D241-D240)),IF(F240+$D$10*(C241-F240)+($E$10*(F240^$F$10)*E241)+(1-$D$10)*(C241-C240)&lt;0,0.01,F240+$D$10*(C241-F240)+($E$10*(F240^$F$10)*E241)+(1-$D$10)*(C241-C240)))</f>
        <v>3.4793357863649</v>
      </c>
      <c r="G241" s="503"/>
      <c r="H241" s="504" t="n">
        <v>23.0400000000001</v>
      </c>
      <c r="I241" s="501" t="n">
        <f aca="false">IF(OilSwitch=0,VLOOKUP($A241,[1]!OilCurve,4),VLOOKUP($A241,[1]!BrentCurve,4))</f>
        <v>23.9300000000001</v>
      </c>
      <c r="J241" s="517" t="n">
        <v>0.0333535393480044</v>
      </c>
      <c r="K241" s="503" t="n">
        <f aca="false">IF(shiftswitch2=1,K240+$D$9*(I241-K240)+($E$9*(K240^$F$9)*J241)+(1-$D$9)*(I241-I240),K240+$D$11*(H241-K240)+($E$11*(K240^$F$11)*J241)+(1-$D$11)*(H241-H240))</f>
        <v>22.9250127513431</v>
      </c>
      <c r="M241" s="503"/>
      <c r="AP241" s="454"/>
      <c r="AQ241" s="454"/>
      <c r="AR241" s="454"/>
      <c r="AS241" s="454"/>
    </row>
    <row r="242" customFormat="false" ht="10.5" hidden="false" customHeight="false" outlineLevel="0" collapsed="false">
      <c r="A242" s="498" t="n">
        <v>41730</v>
      </c>
      <c r="B242" s="499" t="n">
        <f aca="false">YEAR(A242)</f>
        <v>2014</v>
      </c>
      <c r="C242" s="500" t="n">
        <v>3.4525</v>
      </c>
      <c r="D242" s="501" t="n">
        <f aca="false">IF(GasSwitch=0,VLOOKUP($A242,[1]!GasCurve,4),VLOOKUP($A242,[1]!AecoCurve,5))</f>
        <v>3.319</v>
      </c>
      <c r="E242" s="517" t="n">
        <v>-0.0177242389714277</v>
      </c>
      <c r="F242" s="503" t="n">
        <f aca="false">IF(shiftswitch2=1,IF(F241+$D$8*(D242-F241)+($E$8*(F241^$F$8)*E242)+(1-$D$8)*(D242-D241)&lt;0,0.01,F241+$D$8*(D242-F241)+($E$8*(F241^$F$8)*E242)+(1-$D$8)*(D242-D241)),IF(F241+$D$10*(C242-F241)+($E$10*(F241^$F$10)*E242)+(1-$D$10)*(C242-C241)&lt;0,0.01,F241+$D$10*(C242-F241)+($E$10*(F241^$F$10)*E242)+(1-$D$10)*(C242-C241)))</f>
        <v>3.42849605790638</v>
      </c>
      <c r="G242" s="503"/>
      <c r="H242" s="504" t="n">
        <v>23.0900000000001</v>
      </c>
      <c r="I242" s="501" t="n">
        <f aca="false">IF(OilSwitch=0,VLOOKUP($A242,[1]!OilCurve,4),VLOOKUP($A242,[1]!BrentCurve,4))</f>
        <v>23.9800000000001</v>
      </c>
      <c r="J242" s="517" t="n">
        <v>0.048797336478612</v>
      </c>
      <c r="K242" s="503" t="n">
        <f aca="false">IF(shiftswitch2=1,K241+$D$9*(I242-K241)+($E$9*(K241^$F$9)*J242)+(1-$D$9)*(I242-I241),K241+$D$11*(H242-K241)+($E$11*(K241^$F$11)*J242)+(1-$D$11)*(H242-H241))</f>
        <v>23.0675952568606</v>
      </c>
      <c r="M242" s="503"/>
      <c r="AP242" s="454"/>
      <c r="AQ242" s="454"/>
      <c r="AR242" s="454"/>
      <c r="AS242" s="454"/>
    </row>
    <row r="243" customFormat="false" ht="10.5" hidden="false" customHeight="false" outlineLevel="0" collapsed="false">
      <c r="A243" s="498" t="n">
        <v>41760</v>
      </c>
      <c r="B243" s="499" t="n">
        <f aca="false">YEAR(A243)</f>
        <v>2014</v>
      </c>
      <c r="C243" s="500" t="n">
        <v>3.4265</v>
      </c>
      <c r="D243" s="501" t="n">
        <f aca="false">IF(GasSwitch=0,VLOOKUP($A243,[1]!GasCurve,4),VLOOKUP($A243,[1]!AecoCurve,5))</f>
        <v>3.33</v>
      </c>
      <c r="E243" s="517" t="n">
        <v>-0.019663420965626</v>
      </c>
      <c r="F243" s="503" t="n">
        <f aca="false">IF(shiftswitch2=1,IF(F242+$D$8*(D243-F242)+($E$8*(F242^$F$8)*E243)+(1-$D$8)*(D243-D242)&lt;0,0.01,F242+$D$8*(D243-F242)+($E$8*(F242^$F$8)*E243)+(1-$D$8)*(D243-D242)),IF(F242+$D$10*(C243-F242)+($E$10*(F242^$F$10)*E243)+(1-$D$10)*(C243-C242)&lt;0,0.01,F242+$D$10*(C243-F242)+($E$10*(F242^$F$10)*E243)+(1-$D$10)*(C243-C242)))</f>
        <v>3.40064014955491</v>
      </c>
      <c r="G243" s="503"/>
      <c r="H243" s="504" t="n">
        <v>23.1400000000001</v>
      </c>
      <c r="I243" s="501" t="n">
        <f aca="false">IF(OilSwitch=0,VLOOKUP($A243,[1]!OilCurve,4),VLOOKUP($A243,[1]!BrentCurve,4))</f>
        <v>24.0300000000001</v>
      </c>
      <c r="J243" s="517" t="n">
        <v>-0.0284947197262709</v>
      </c>
      <c r="K243" s="503" t="n">
        <f aca="false">IF(shiftswitch2=1,K242+$D$9*(I243-K242)+($E$9*(K242^$F$9)*J243)+(1-$D$9)*(I243-I242),K242+$D$11*(H243-K242)+($E$11*(K242^$F$11)*J243)+(1-$D$11)*(H243-H242))</f>
        <v>23.0723981128069</v>
      </c>
      <c r="M243" s="503"/>
      <c r="AP243" s="454"/>
      <c r="AQ243" s="454"/>
      <c r="AR243" s="454"/>
      <c r="AS243" s="454"/>
    </row>
    <row r="244" customFormat="false" ht="10.5" hidden="false" customHeight="false" outlineLevel="0" collapsed="false">
      <c r="A244" s="498" t="n">
        <v>41791</v>
      </c>
      <c r="B244" s="499" t="n">
        <f aca="false">YEAR(A244)</f>
        <v>2014</v>
      </c>
      <c r="C244" s="500" t="n">
        <v>3.4325</v>
      </c>
      <c r="D244" s="501" t="n">
        <f aca="false">IF(GasSwitch=0,VLOOKUP($A244,[1]!GasCurve,4),VLOOKUP($A244,[1]!AecoCurve,5))</f>
        <v>3.35</v>
      </c>
      <c r="E244" s="517" t="n">
        <v>0.0201547665889119</v>
      </c>
      <c r="F244" s="503" t="n">
        <f aca="false">IF(shiftswitch2=1,IF(F243+$D$8*(D244-F243)+($E$8*(F243^$F$8)*E244)+(1-$D$8)*(D244-D243)&lt;0,0.01,F243+$D$8*(D244-F243)+($E$8*(F243^$F$8)*E244)+(1-$D$8)*(D244-D243)),IF(F243+$D$10*(C244-F243)+($E$10*(F243^$F$10)*E244)+(1-$D$10)*(C244-C243)&lt;0,0.01,F243+$D$10*(C244-F243)+($E$10*(F243^$F$10)*E244)+(1-$D$10)*(C244-C243)))</f>
        <v>3.42858941271557</v>
      </c>
      <c r="G244" s="503"/>
      <c r="H244" s="504" t="n">
        <v>23.1900000000001</v>
      </c>
      <c r="I244" s="501" t="n">
        <f aca="false">IF(OilSwitch=0,VLOOKUP($A244,[1]!OilCurve,4),VLOOKUP($A244,[1]!BrentCurve,4))</f>
        <v>24.0800000000001</v>
      </c>
      <c r="J244" s="517" t="n">
        <v>0.0389961921358746</v>
      </c>
      <c r="K244" s="503" t="n">
        <f aca="false">IF(shiftswitch2=1,K243+$D$9*(I244-K243)+($E$9*(K243^$F$9)*J244)+(1-$D$9)*(I244-I243),K243+$D$11*(H244-K243)+($E$11*(K243^$F$11)*J244)+(1-$D$11)*(H244-H243))</f>
        <v>23.1939803633531</v>
      </c>
      <c r="M244" s="503"/>
      <c r="AP244" s="454"/>
      <c r="AQ244" s="454"/>
      <c r="AR244" s="454"/>
      <c r="AS244" s="454"/>
    </row>
    <row r="245" customFormat="false" ht="10.5" hidden="false" customHeight="false" outlineLevel="0" collapsed="false">
      <c r="A245" s="498" t="n">
        <v>41821</v>
      </c>
      <c r="B245" s="499" t="n">
        <f aca="false">YEAR(A245)</f>
        <v>2014</v>
      </c>
      <c r="C245" s="500" t="n">
        <v>3.4425</v>
      </c>
      <c r="D245" s="501" t="n">
        <f aca="false">IF(GasSwitch=0,VLOOKUP($A245,[1]!GasCurve,4),VLOOKUP($A245,[1]!AecoCurve,5))</f>
        <v>3.361</v>
      </c>
      <c r="E245" s="517" t="n">
        <v>0.0314524372636386</v>
      </c>
      <c r="F245" s="503" t="n">
        <f aca="false">IF(shiftswitch2=1,IF(F244+$D$8*(D245-F244)+($E$8*(F244^$F$8)*E245)+(1-$D$8)*(D245-D244)&lt;0,0.01,F244+$D$8*(D245-F244)+($E$8*(F244^$F$8)*E245)+(1-$D$8)*(D245-D244)),IF(F244+$D$10*(C245-F244)+($E$10*(F244^$F$10)*E245)+(1-$D$10)*(C245-C244)&lt;0,0.01,F244+$D$10*(C245-F244)+($E$10*(F244^$F$10)*E245)+(1-$D$10)*(C245-C244)))</f>
        <v>3.45840445668233</v>
      </c>
      <c r="G245" s="503"/>
      <c r="H245" s="504" t="n">
        <v>23.2400000000001</v>
      </c>
      <c r="I245" s="501" t="n">
        <f aca="false">IF(OilSwitch=0,VLOOKUP($A245,[1]!OilCurve,4),VLOOKUP($A245,[1]!BrentCurve,4))</f>
        <v>24.1300000000001</v>
      </c>
      <c r="J245" s="517" t="n">
        <v>-0.000332163385996197</v>
      </c>
      <c r="K245" s="503" t="n">
        <f aca="false">IF(shiftswitch2=1,K244+$D$9*(I245-K244)+($E$9*(K244^$F$9)*J245)+(1-$D$9)*(I245-I244),K244+$D$11*(H245-K244)+($E$11*(K244^$F$11)*J245)+(1-$D$11)*(H245-H244))</f>
        <v>23.2430335875069</v>
      </c>
      <c r="M245" s="503"/>
      <c r="AP245" s="454"/>
      <c r="AQ245" s="454"/>
      <c r="AR245" s="454"/>
      <c r="AS245" s="454"/>
    </row>
    <row r="246" customFormat="false" ht="10.5" hidden="false" customHeight="false" outlineLevel="0" collapsed="false">
      <c r="A246" s="498" t="n">
        <v>41852</v>
      </c>
      <c r="B246" s="499" t="n">
        <f aca="false">YEAR(A246)</f>
        <v>2014</v>
      </c>
      <c r="C246" s="500" t="n">
        <v>3.4495</v>
      </c>
      <c r="D246" s="501" t="n">
        <f aca="false">IF(GasSwitch=0,VLOOKUP($A246,[1]!GasCurve,4),VLOOKUP($A246,[1]!AecoCurve,5))</f>
        <v>3.37</v>
      </c>
      <c r="E246" s="517" t="n">
        <v>-0.0277833449000878</v>
      </c>
      <c r="F246" s="503" t="n">
        <f aca="false">IF(shiftswitch2=1,IF(F245+$D$8*(D246-F245)+($E$8*(F245^$F$8)*E246)+(1-$D$8)*(D246-D245)&lt;0,0.01,F245+$D$8*(D246-F245)+($E$8*(F245^$F$8)*E246)+(1-$D$8)*(D246-D245)),IF(F245+$D$10*(C246-F245)+($E$10*(F245^$F$10)*E246)+(1-$D$10)*(C246-C245)&lt;0,0.01,F245+$D$10*(C246-F245)+($E$10*(F245^$F$10)*E246)+(1-$D$10)*(C246-C245)))</f>
        <v>3.44287335529644</v>
      </c>
      <c r="G246" s="503"/>
      <c r="H246" s="504" t="n">
        <v>23.2900000000001</v>
      </c>
      <c r="I246" s="501" t="n">
        <f aca="false">IF(OilSwitch=0,VLOOKUP($A246,[1]!OilCurve,4),VLOOKUP($A246,[1]!BrentCurve,4))</f>
        <v>24.1800000000001</v>
      </c>
      <c r="J246" s="517" t="n">
        <v>0.0539835457654731</v>
      </c>
      <c r="K246" s="503" t="n">
        <f aca="false">IF(shiftswitch2=1,K245+$D$9*(I246-K245)+($E$9*(K245^$F$9)*J246)+(1-$D$9)*(I246-I245),K245+$D$11*(H246-K245)+($E$11*(K245^$F$11)*J246)+(1-$D$11)*(H246-H245))</f>
        <v>23.3825618824974</v>
      </c>
      <c r="M246" s="503"/>
      <c r="AP246" s="454"/>
      <c r="AQ246" s="454"/>
      <c r="AR246" s="454"/>
      <c r="AS246" s="454"/>
    </row>
    <row r="247" customFormat="false" ht="10.5" hidden="false" customHeight="false" outlineLevel="0" collapsed="false">
      <c r="A247" s="498" t="n">
        <v>41883</v>
      </c>
      <c r="B247" s="499" t="n">
        <f aca="false">YEAR(A247)</f>
        <v>2014</v>
      </c>
      <c r="C247" s="500" t="n">
        <v>3.4565</v>
      </c>
      <c r="D247" s="501" t="n">
        <f aca="false">IF(GasSwitch=0,VLOOKUP($A247,[1]!GasCurve,4),VLOOKUP($A247,[1]!AecoCurve,5))</f>
        <v>3.366</v>
      </c>
      <c r="E247" s="517" t="n">
        <v>0.000762822946435962</v>
      </c>
      <c r="F247" s="503" t="n">
        <f aca="false">IF(shiftswitch2=1,IF(F246+$D$8*(D247-F246)+($E$8*(F246^$F$8)*E247)+(1-$D$8)*(D247-D246)&lt;0,0.01,F246+$D$8*(D247-F246)+($E$8*(F246^$F$8)*E247)+(1-$D$8)*(D247-D246)),IF(F246+$D$10*(C247-F246)+($E$10*(F246^$F$10)*E247)+(1-$D$10)*(C247-C246)&lt;0,0.01,F246+$D$10*(C247-F246)+($E$10*(F246^$F$10)*E247)+(1-$D$10)*(C247-C246)))</f>
        <v>3.45295581830891</v>
      </c>
      <c r="G247" s="503"/>
      <c r="H247" s="504" t="n">
        <v>23.3400000000001</v>
      </c>
      <c r="I247" s="501" t="n">
        <f aca="false">IF(OilSwitch=0,VLOOKUP($A247,[1]!OilCurve,4),VLOOKUP($A247,[1]!BrentCurve,4))</f>
        <v>24.2300000000001</v>
      </c>
      <c r="J247" s="517" t="n">
        <v>-0.0261476396017041</v>
      </c>
      <c r="K247" s="503" t="n">
        <f aca="false">IF(shiftswitch2=1,K246+$D$9*(I247-K246)+($E$9*(K246^$F$9)*J247)+(1-$D$9)*(I247-I246),K246+$D$11*(H247-K246)+($E$11*(K246^$F$11)*J247)+(1-$D$11)*(H247-H246))</f>
        <v>23.379888583833</v>
      </c>
      <c r="M247" s="503"/>
      <c r="AP247" s="454"/>
      <c r="AQ247" s="454"/>
      <c r="AR247" s="454"/>
      <c r="AS247" s="454"/>
    </row>
    <row r="248" customFormat="false" ht="10.5" hidden="false" customHeight="false" outlineLevel="0" collapsed="false">
      <c r="A248" s="498" t="n">
        <v>41913</v>
      </c>
      <c r="B248" s="499" t="n">
        <f aca="false">YEAR(A248)</f>
        <v>2014</v>
      </c>
      <c r="C248" s="500" t="n">
        <v>3.4825</v>
      </c>
      <c r="D248" s="501" t="n">
        <f aca="false">IF(GasSwitch=0,VLOOKUP($A248,[1]!GasCurve,4),VLOOKUP($A248,[1]!AecoCurve,5))</f>
        <v>3.382</v>
      </c>
      <c r="E248" s="517" t="n">
        <v>0.0358145449227724</v>
      </c>
      <c r="F248" s="503" t="n">
        <f aca="false">IF(shiftswitch2=1,IF(F247+$D$8*(D248-F247)+($E$8*(F247^$F$8)*E248)+(1-$D$8)*(D248-D247)&lt;0,0.01,F247+$D$8*(D248-F247)+($E$8*(F247^$F$8)*E248)+(1-$D$8)*(D248-D247)),IF(F247+$D$10*(C248-F247)+($E$10*(F247^$F$10)*E248)+(1-$D$10)*(C248-C247)&lt;0,0.01,F247+$D$10*(C248-F247)+($E$10*(F247^$F$10)*E248)+(1-$D$10)*(C248-C247)))</f>
        <v>3.50123086736312</v>
      </c>
      <c r="G248" s="503"/>
      <c r="H248" s="504" t="n">
        <v>23.3900000000001</v>
      </c>
      <c r="I248" s="501" t="n">
        <f aca="false">IF(OilSwitch=0,VLOOKUP($A248,[1]!OilCurve,4),VLOOKUP($A248,[1]!BrentCurve,4))</f>
        <v>24.2800000000001</v>
      </c>
      <c r="J248" s="517" t="n">
        <v>-0.00368458901709078</v>
      </c>
      <c r="K248" s="503" t="n">
        <f aca="false">IF(shiftswitch2=1,K247+$D$9*(I248-K247)+($E$9*(K247^$F$9)*J248)+(1-$D$9)*(I248-I247),K247+$D$11*(H248-K247)+($E$11*(K247^$F$11)*J248)+(1-$D$11)*(H248-H247))</f>
        <v>23.4198084579091</v>
      </c>
      <c r="M248" s="503"/>
      <c r="AP248" s="454"/>
      <c r="AQ248" s="454"/>
      <c r="AR248" s="454"/>
      <c r="AS248" s="454"/>
    </row>
    <row r="249" customFormat="false" ht="10.5" hidden="false" customHeight="false" outlineLevel="0" collapsed="false">
      <c r="A249" s="498" t="n">
        <v>41944</v>
      </c>
      <c r="B249" s="499" t="n">
        <f aca="false">YEAR(A249)</f>
        <v>2014</v>
      </c>
      <c r="C249" s="500" t="n">
        <v>3.6175</v>
      </c>
      <c r="D249" s="501" t="n">
        <f aca="false">IF(GasSwitch=0,VLOOKUP($A249,[1]!GasCurve,4),VLOOKUP($A249,[1]!AecoCurve,5))</f>
        <v>3.463</v>
      </c>
      <c r="E249" s="517" t="n">
        <v>-0.0225195037125197</v>
      </c>
      <c r="F249" s="503" t="n">
        <f aca="false">IF(shiftswitch2=1,IF(F248+$D$8*(D249-F248)+($E$8*(F248^$F$8)*E249)+(1-$D$8)*(D249-D248)&lt;0,0.01,F248+$D$8*(D249-F248)+($E$8*(F248^$F$8)*E249)+(1-$D$8)*(D249-D248)),IF(F248+$D$10*(C249-F248)+($E$10*(F248^$F$10)*E249)+(1-$D$10)*(C249-C248)&lt;0,0.01,F248+$D$10*(C249-F248)+($E$10*(F248^$F$10)*E249)+(1-$D$10)*(C249-C248)))</f>
        <v>3.61556211683121</v>
      </c>
      <c r="G249" s="503"/>
      <c r="H249" s="504" t="n">
        <v>23.4400000000001</v>
      </c>
      <c r="I249" s="501" t="n">
        <f aca="false">IF(OilSwitch=0,VLOOKUP($A249,[1]!OilCurve,4),VLOOKUP($A249,[1]!BrentCurve,4))</f>
        <v>24.3300000000001</v>
      </c>
      <c r="J249" s="517" t="n">
        <v>0.0239566680435516</v>
      </c>
      <c r="K249" s="503" t="n">
        <f aca="false">IF(shiftswitch2=1,K248+$D$9*(I249-K248)+($E$9*(K248^$F$9)*J249)+(1-$D$9)*(I249-I248),K248+$D$11*(H249-K248)+($E$11*(K248^$F$11)*J249)+(1-$D$11)*(H249-H248))</f>
        <v>23.5067213162006</v>
      </c>
      <c r="M249" s="503"/>
      <c r="AP249" s="454"/>
      <c r="AQ249" s="454"/>
      <c r="AR249" s="454"/>
      <c r="AS249" s="454"/>
    </row>
    <row r="250" customFormat="false" ht="10.5" hidden="false" customHeight="false" outlineLevel="0" collapsed="false">
      <c r="A250" s="498" t="n">
        <v>41974</v>
      </c>
      <c r="B250" s="499" t="n">
        <f aca="false">YEAR(A250)</f>
        <v>2014</v>
      </c>
      <c r="C250" s="500" t="n">
        <v>3.7415</v>
      </c>
      <c r="D250" s="501" t="n">
        <f aca="false">IF(GasSwitch=0,VLOOKUP($A250,[1]!GasCurve,4),VLOOKUP($A250,[1]!AecoCurve,5))</f>
        <v>3.556</v>
      </c>
      <c r="E250" s="517" t="n">
        <v>-0.0557695210955501</v>
      </c>
      <c r="F250" s="503" t="n">
        <f aca="false">IF(shiftswitch2=1,IF(F249+$D$8*(D250-F249)+($E$8*(F249^$F$8)*E250)+(1-$D$8)*(D250-D249)&lt;0,0.01,F249+$D$8*(D250-F249)+($E$8*(F249^$F$8)*E250)+(1-$D$8)*(D250-D249)),IF(F249+$D$10*(C250-F249)+($E$10*(F249^$F$10)*E250)+(1-$D$10)*(C250-C249)&lt;0,0.01,F249+$D$10*(C250-F249)+($E$10*(F249^$F$10)*E250)+(1-$D$10)*(C250-C249)))</f>
        <v>3.70708908529947</v>
      </c>
      <c r="G250" s="503"/>
      <c r="H250" s="504" t="n">
        <v>23.4900000000001</v>
      </c>
      <c r="I250" s="501" t="n">
        <f aca="false">IF(OilSwitch=0,VLOOKUP($A250,[1]!OilCurve,4),VLOOKUP($A250,[1]!BrentCurve,4))</f>
        <v>24.3800000000001</v>
      </c>
      <c r="J250" s="517" t="n">
        <v>-0.00144858131754656</v>
      </c>
      <c r="K250" s="503" t="n">
        <f aca="false">IF(shiftswitch2=1,K249+$D$9*(I250-K249)+($E$9*(K249^$F$9)*J250)+(1-$D$9)*(I250-I249),K249+$D$11*(H250-K249)+($E$11*(K249^$F$11)*J250)+(1-$D$11)*(H250-H249))</f>
        <v>23.5477054665843</v>
      </c>
      <c r="M250" s="503"/>
      <c r="AP250" s="454"/>
      <c r="AQ250" s="454"/>
      <c r="AR250" s="454"/>
      <c r="AS250" s="454"/>
    </row>
    <row r="251" customFormat="false" ht="10.5" hidden="false" customHeight="false" outlineLevel="0" collapsed="false">
      <c r="A251" s="498" t="n">
        <v>42005</v>
      </c>
      <c r="B251" s="512" t="n">
        <f aca="false">YEAR(A251)</f>
        <v>2015</v>
      </c>
      <c r="C251" s="513" t="n">
        <v>3.84</v>
      </c>
      <c r="D251" s="501" t="n">
        <f aca="false">IF(GasSwitch=0,VLOOKUP($A251,[1]!GasCurve,4),VLOOKUP($A251,[1]!AecoCurve,5))</f>
        <v>3.5965</v>
      </c>
      <c r="E251" s="517" t="n">
        <v>0.0385564968020414</v>
      </c>
      <c r="F251" s="503" t="n">
        <f aca="false">IF(shiftswitch2=1,IF(F250+$D$8*(D251-F250)+($E$8*(F250^$F$8)*E251)+(1-$D$8)*(D251-D250)&lt;0,0.01,F250+$D$8*(D251-F250)+($E$8*(F250^$F$8)*E251)+(1-$D$8)*(D251-D250)),IF(F250+$D$10*(C251-F250)+($E$10*(F250^$F$10)*E251)+(1-$D$10)*(C251-C250)&lt;0,0.01,F250+$D$10*(C251-F250)+($E$10*(F250^$F$10)*E251)+(1-$D$10)*(C251-C250)))</f>
        <v>3.84256447158597</v>
      </c>
      <c r="G251" s="503"/>
      <c r="H251" s="516" t="n">
        <v>23.5400000000001</v>
      </c>
      <c r="I251" s="501" t="n">
        <f aca="false">IF(OilSwitch=0,VLOOKUP($A251,[1]!OilCurve,4),VLOOKUP($A251,[1]!BrentCurve,4))</f>
        <v>24.4300000000001</v>
      </c>
      <c r="J251" s="518" t="n">
        <v>0.021585481354131</v>
      </c>
      <c r="K251" s="515" t="n">
        <f aca="false">IF(shiftswitch2=1,K250+$D$9*(I251-K250)+($E$9*(K250^$F$9)*J251)+(1-$D$9)*(I251-I250),K250+$D$11*(H251-K250)+($E$11*(K250^$F$11)*J251)+(1-$D$11)*(H251-H250))</f>
        <v>23.6279108663658</v>
      </c>
      <c r="M251" s="503"/>
      <c r="AP251" s="454"/>
      <c r="AQ251" s="454"/>
      <c r="AR251" s="454"/>
      <c r="AS251" s="454"/>
    </row>
    <row r="252" customFormat="false" ht="10.5" hidden="false" customHeight="false" outlineLevel="0" collapsed="false">
      <c r="A252" s="498" t="n">
        <v>42036</v>
      </c>
      <c r="B252" s="499" t="n">
        <f aca="false">YEAR(A252)</f>
        <v>2015</v>
      </c>
      <c r="C252" s="500" t="n">
        <v>3.722</v>
      </c>
      <c r="D252" s="501" t="n">
        <f aca="false">IF(GasSwitch=0,VLOOKUP($A252,[1]!GasCurve,4),VLOOKUP($A252,[1]!AecoCurve,5))</f>
        <v>3.5315</v>
      </c>
      <c r="E252" s="517" t="n">
        <v>-0.0123805136518215</v>
      </c>
      <c r="F252" s="503" t="n">
        <f aca="false">IF(shiftswitch2=1,IF(F251+$D$8*(D252-F251)+($E$8*(F251^$F$8)*E252)+(1-$D$8)*(D252-D251)&lt;0,0.01,F251+$D$8*(D252-F251)+($E$8*(F251^$F$8)*E252)+(1-$D$8)*(D252-D251)),IF(F251+$D$10*(C252-F251)+($E$10*(F251^$F$10)*E252)+(1-$D$10)*(C252-C251)&lt;0,0.01,F251+$D$10*(C252-F251)+($E$10*(F251^$F$10)*E252)+(1-$D$10)*(C252-C251)))</f>
        <v>3.71593501369419</v>
      </c>
      <c r="G252" s="503"/>
      <c r="H252" s="504" t="n">
        <v>23.5900000000001</v>
      </c>
      <c r="I252" s="501" t="n">
        <f aca="false">IF(OilSwitch=0,VLOOKUP($A252,[1]!OilCurve,4),VLOOKUP($A252,[1]!BrentCurve,4))</f>
        <v>24.4800000000001</v>
      </c>
      <c r="J252" s="517" t="n">
        <v>0.0448718112255872</v>
      </c>
      <c r="K252" s="503" t="n">
        <f aca="false">IF(shiftswitch2=1,K251+$D$9*(I252-K251)+($E$9*(K251^$F$9)*J252)+(1-$D$9)*(I252-I251),K251+$D$11*(H252-K251)+($E$11*(K251^$F$11)*J252)+(1-$D$11)*(H252-H251))</f>
        <v>23.7438743844749</v>
      </c>
      <c r="M252" s="503"/>
      <c r="AP252" s="454"/>
      <c r="AQ252" s="454"/>
      <c r="AR252" s="454"/>
      <c r="AS252" s="454"/>
    </row>
    <row r="253" customFormat="false" ht="10.5" hidden="false" customHeight="false" outlineLevel="0" collapsed="false">
      <c r="A253" s="498" t="n">
        <v>42064</v>
      </c>
      <c r="B253" s="499" t="n">
        <f aca="false">YEAR(A253)</f>
        <v>2015</v>
      </c>
      <c r="C253" s="500" t="n">
        <v>3.602</v>
      </c>
      <c r="D253" s="501" t="n">
        <f aca="false">IF(GasSwitch=0,VLOOKUP($A253,[1]!GasCurve,4),VLOOKUP($A253,[1]!AecoCurve,5))</f>
        <v>3.4525</v>
      </c>
      <c r="E253" s="517" t="n">
        <v>0.000126570974480094</v>
      </c>
      <c r="F253" s="503" t="n">
        <f aca="false">IF(shiftswitch2=1,IF(F252+$D$8*(D253-F252)+($E$8*(F252^$F$8)*E253)+(1-$D$8)*(D253-D252)&lt;0,0.01,F252+$D$8*(D253-F252)+($E$8*(F252^$F$8)*E253)+(1-$D$8)*(D253-D252)),IF(F252+$D$10*(C253-F252)+($E$10*(F252^$F$10)*E253)+(1-$D$10)*(C253-C252)&lt;0,0.01,F252+$D$10*(C253-F252)+($E$10*(F252^$F$10)*E253)+(1-$D$10)*(C253-C252)))</f>
        <v>3.59842658142841</v>
      </c>
      <c r="G253" s="503"/>
      <c r="H253" s="504" t="n">
        <v>23.6400000000001</v>
      </c>
      <c r="I253" s="501" t="n">
        <f aca="false">IF(OilSwitch=0,VLOOKUP($A253,[1]!OilCurve,4),VLOOKUP($A253,[1]!BrentCurve,4))</f>
        <v>24.5300000000001</v>
      </c>
      <c r="J253" s="517" t="n">
        <v>-0.0488537733982907</v>
      </c>
      <c r="K253" s="503" t="n">
        <f aca="false">IF(shiftswitch2=1,K252+$D$9*(I253-K252)+($E$9*(K252^$F$9)*J253)+(1-$D$9)*(I253-I252),K252+$D$11*(H253-K252)+($E$11*(K252^$F$11)*J253)+(1-$D$11)*(H253-H252))</f>
        <v>23.6973481414772</v>
      </c>
      <c r="M253" s="503"/>
      <c r="AP253" s="454"/>
      <c r="AQ253" s="454"/>
      <c r="AR253" s="454"/>
      <c r="AS253" s="454"/>
    </row>
    <row r="254" customFormat="false" ht="10.5" hidden="false" customHeight="false" outlineLevel="0" collapsed="false">
      <c r="A254" s="498" t="n">
        <v>42095</v>
      </c>
      <c r="B254" s="499" t="n">
        <f aca="false">YEAR(A254)</f>
        <v>2015</v>
      </c>
      <c r="C254" s="500" t="n">
        <v>3.5525</v>
      </c>
      <c r="D254" s="501" t="n">
        <f aca="false">IF(GasSwitch=0,VLOOKUP($A254,[1]!GasCurve,4),VLOOKUP($A254,[1]!AecoCurve,5))</f>
        <v>3.3885</v>
      </c>
      <c r="E254" s="517" t="n">
        <v>-0.0290608821070418</v>
      </c>
      <c r="F254" s="503" t="n">
        <f aca="false">IF(shiftswitch2=1,IF(F253+$D$8*(D254-F253)+($E$8*(F253^$F$8)*E254)+(1-$D$8)*(D254-D253)&lt;0,0.01,F253+$D$8*(D254-F253)+($E$8*(F253^$F$8)*E254)+(1-$D$8)*(D254-D253)),IF(F253+$D$10*(C254-F253)+($E$10*(F253^$F$10)*E254)+(1-$D$10)*(C254-C253)&lt;0,0.01,F253+$D$10*(C254-F253)+($E$10*(F253^$F$10)*E254)+(1-$D$10)*(C254-C253)))</f>
        <v>3.53306717208606</v>
      </c>
      <c r="G254" s="503"/>
      <c r="H254" s="504" t="n">
        <v>23.6900000000001</v>
      </c>
      <c r="I254" s="501" t="n">
        <f aca="false">IF(OilSwitch=0,VLOOKUP($A254,[1]!OilCurve,4),VLOOKUP($A254,[1]!BrentCurve,4))</f>
        <v>24.5800000000001</v>
      </c>
      <c r="J254" s="517" t="n">
        <v>0.0238703081416071</v>
      </c>
      <c r="K254" s="503" t="n">
        <f aca="false">IF(shiftswitch2=1,K253+$D$9*(I254-K253)+($E$9*(K253^$F$9)*J254)+(1-$D$9)*(I254-I253),K253+$D$11*(H254-K253)+($E$11*(K253^$F$11)*J254)+(1-$D$11)*(H254-H253))</f>
        <v>23.7813908682186</v>
      </c>
      <c r="M254" s="503"/>
      <c r="AP254" s="454"/>
      <c r="AQ254" s="454"/>
      <c r="AR254" s="454"/>
      <c r="AS254" s="454"/>
    </row>
    <row r="255" customFormat="false" ht="10.5" hidden="false" customHeight="false" outlineLevel="0" collapsed="false">
      <c r="A255" s="498" t="n">
        <v>42125</v>
      </c>
      <c r="B255" s="499" t="n">
        <f aca="false">YEAR(A255)</f>
        <v>2015</v>
      </c>
      <c r="C255" s="500" t="n">
        <v>3.5265</v>
      </c>
      <c r="D255" s="501" t="n">
        <f aca="false">IF(GasSwitch=0,VLOOKUP($A255,[1]!GasCurve,4),VLOOKUP($A255,[1]!AecoCurve,5))</f>
        <v>3.4005</v>
      </c>
      <c r="E255" s="517" t="n">
        <v>-0.0259231945433878</v>
      </c>
      <c r="F255" s="503" t="n">
        <f aca="false">IF(shiftswitch2=1,IF(F254+$D$8*(D255-F254)+($E$8*(F254^$F$8)*E255)+(1-$D$8)*(D255-D254)&lt;0,0.01,F254+$D$8*(D255-F254)+($E$8*(F254^$F$8)*E255)+(1-$D$8)*(D255-D254)),IF(F254+$D$10*(C255-F254)+($E$10*(F254^$F$10)*E255)+(1-$D$10)*(C255-C254)&lt;0,0.01,F254+$D$10*(C255-F254)+($E$10*(F254^$F$10)*E255)+(1-$D$10)*(C255-C254)))</f>
        <v>3.49952959282768</v>
      </c>
      <c r="G255" s="503"/>
      <c r="H255" s="504" t="n">
        <v>23.7400000000001</v>
      </c>
      <c r="I255" s="501" t="n">
        <f aca="false">IF(OilSwitch=0,VLOOKUP($A255,[1]!OilCurve,4),VLOOKUP($A255,[1]!BrentCurve,4))</f>
        <v>24.6300000000001</v>
      </c>
      <c r="J255" s="517" t="n">
        <v>-0.0197442834890898</v>
      </c>
      <c r="K255" s="503" t="n">
        <f aca="false">IF(shiftswitch2=1,K254+$D$9*(I255-K254)+($E$9*(K254^$F$9)*J255)+(1-$D$9)*(I255-I254),K254+$D$11*(H255-K254)+($E$11*(K254^$F$11)*J255)+(1-$D$11)*(H255-H254))</f>
        <v>23.7894886845391</v>
      </c>
      <c r="AP255" s="454"/>
      <c r="AQ255" s="454"/>
      <c r="AR255" s="454"/>
      <c r="AS255" s="454"/>
    </row>
    <row r="256" customFormat="false" ht="10.5" hidden="false" customHeight="false" outlineLevel="0" collapsed="false">
      <c r="A256" s="498" t="n">
        <v>42156</v>
      </c>
      <c r="B256" s="499" t="n">
        <f aca="false">YEAR(A256)</f>
        <v>2015</v>
      </c>
      <c r="C256" s="500" t="n">
        <v>3.5325</v>
      </c>
      <c r="D256" s="501" t="n">
        <f aca="false">IF(GasSwitch=0,VLOOKUP($A256,[1]!GasCurve,4),VLOOKUP($A256,[1]!AecoCurve,5))</f>
        <v>3.4215</v>
      </c>
      <c r="E256" s="517" t="n">
        <v>0.00856351705765631</v>
      </c>
      <c r="F256" s="503" t="n">
        <f aca="false">IF(shiftswitch2=1,IF(F255+$D$8*(D256-F255)+($E$8*(F255^$F$8)*E256)+(1-$D$8)*(D256-D255)&lt;0,0.01,F255+$D$8*(D256-F255)+($E$8*(F255^$F$8)*E256)+(1-$D$8)*(D256-D255)),IF(F255+$D$10*(C256-F255)+($E$10*(F255^$F$10)*E256)+(1-$D$10)*(C256-C255)&lt;0,0.01,F255+$D$10*(C256-F255)+($E$10*(F255^$F$10)*E256)+(1-$D$10)*(C256-C255)))</f>
        <v>3.52129141525187</v>
      </c>
      <c r="G256" s="503" t="n">
        <f aca="false">H256-H255</f>
        <v>0.0500000000000007</v>
      </c>
      <c r="H256" s="504" t="n">
        <v>23.7900000000001</v>
      </c>
      <c r="I256" s="501" t="n">
        <f aca="false">IF(OilSwitch=0,VLOOKUP($A256,[1]!OilCurve,4),VLOOKUP($A256,[1]!BrentCurve,4))</f>
        <v>24.6800000000001</v>
      </c>
      <c r="J256" s="517" t="n">
        <v>-0.0261594251830833</v>
      </c>
      <c r="K256" s="503" t="n">
        <f aca="false">IF(shiftswitch2=1,K255+$D$9*(I256-K255)+($E$9*(K255^$F$9)*J256)+(1-$D$9)*(I256-I255),K255+$D$11*(H256-K255)+($E$11*(K255^$F$11)*J256)+(1-$D$11)*(H256-H255))</f>
        <v>23.7910600212651</v>
      </c>
      <c r="AP256" s="454"/>
      <c r="AQ256" s="454"/>
      <c r="AR256" s="454"/>
      <c r="AS256" s="454"/>
    </row>
    <row r="257" customFormat="false" ht="10.5" hidden="false" customHeight="false" outlineLevel="0" collapsed="false">
      <c r="A257" s="498" t="n">
        <v>42186</v>
      </c>
      <c r="B257" s="499" t="n">
        <f aca="false">YEAR(A257)</f>
        <v>2015</v>
      </c>
      <c r="C257" s="500" t="n">
        <v>3.5425</v>
      </c>
      <c r="D257" s="501" t="n">
        <f aca="false">IF(GasSwitch=0,VLOOKUP($A257,[1]!GasCurve,4),VLOOKUP($A257,[1]!AecoCurve,5))</f>
        <v>3.4325</v>
      </c>
      <c r="E257" s="517" t="n">
        <v>-0.0196822351020114</v>
      </c>
      <c r="F257" s="503" t="n">
        <f aca="false">IF(shiftswitch2=1,IF(F256+$D$8*(D257-F256)+($E$8*(F256^$F$8)*E257)+(1-$D$8)*(D257-D256)&lt;0,0.01,F256+$D$8*(D257-F256)+($E$8*(F256^$F$8)*E257)+(1-$D$8)*(D257-D256)),IF(F256+$D$10*(C257-F256)+($E$10*(F256^$F$10)*E257)+(1-$D$10)*(C257-C256)&lt;0,0.01,F256+$D$10*(C257-F256)+($E$10*(F256^$F$10)*E257)+(1-$D$10)*(C257-C256)))</f>
        <v>3.52417588991444</v>
      </c>
      <c r="G257" s="503"/>
      <c r="H257" s="504" t="n">
        <v>23.8400000000001</v>
      </c>
      <c r="I257" s="501" t="n">
        <f aca="false">IF(OilSwitch=0,VLOOKUP($A257,[1]!OilCurve,4),VLOOKUP($A257,[1]!BrentCurve,4))</f>
        <v>24.7300000000001</v>
      </c>
      <c r="J257" s="517" t="n">
        <v>0.0187690483507517</v>
      </c>
      <c r="K257" s="503" t="n">
        <f aca="false">IF(shiftswitch2=1,K256+$D$9*(I257-K256)+($E$9*(K256^$F$9)*J257)+(1-$D$9)*(I257-I256),K256+$D$11*(H257-K256)+($E$11*(K256^$F$11)*J257)+(1-$D$11)*(H257-H256))</f>
        <v>23.8721867756155</v>
      </c>
      <c r="AP257" s="454"/>
      <c r="AQ257" s="454"/>
      <c r="AR257" s="454"/>
      <c r="AS257" s="454"/>
    </row>
    <row r="258" customFormat="false" ht="10.5" hidden="false" customHeight="false" outlineLevel="0" collapsed="false">
      <c r="A258" s="498" t="n">
        <v>42217</v>
      </c>
      <c r="B258" s="499" t="n">
        <f aca="false">YEAR(A258)</f>
        <v>2015</v>
      </c>
      <c r="C258" s="500" t="n">
        <v>3.5495</v>
      </c>
      <c r="D258" s="501" t="n">
        <f aca="false">IF(GasSwitch=0,VLOOKUP($A258,[1]!GasCurve,4),VLOOKUP($A258,[1]!AecoCurve,5))</f>
        <v>3.4415</v>
      </c>
      <c r="E258" s="517" t="n">
        <v>0.00575345514052072</v>
      </c>
      <c r="F258" s="503" t="n">
        <f aca="false">IF(shiftswitch2=1,IF(F257+$D$8*(D258-F257)+($E$8*(F257^$F$8)*E258)+(1-$D$8)*(D258-D257)&lt;0,0.01,F257+$D$8*(D258-F257)+($E$8*(F257^$F$8)*E258)+(1-$D$8)*(D258-D257)),IF(F257+$D$10*(C258-F257)+($E$10*(F257^$F$10)*E258)+(1-$D$10)*(C258-C257)&lt;0,0.01,F257+$D$10*(C258-F257)+($E$10*(F257^$F$10)*E258)+(1-$D$10)*(C258-C257)))</f>
        <v>3.54185861378515</v>
      </c>
      <c r="G258" s="503"/>
      <c r="H258" s="504" t="n">
        <v>23.8900000000001</v>
      </c>
      <c r="I258" s="501" t="n">
        <f aca="false">IF(OilSwitch=0,VLOOKUP($A258,[1]!OilCurve,4),VLOOKUP($A258,[1]!BrentCurve,4))</f>
        <v>24.7800000000001</v>
      </c>
      <c r="J258" s="517" t="n">
        <v>0.0310830410251768</v>
      </c>
      <c r="K258" s="503" t="n">
        <f aca="false">IF(shiftswitch2=1,K257+$D$9*(I258-K257)+($E$9*(K257^$F$9)*J258)+(1-$D$9)*(I258-I257),K257+$D$11*(H258-K257)+($E$11*(K257^$F$11)*J258)+(1-$D$11)*(H258-H257))</f>
        <v>23.9707224650955</v>
      </c>
      <c r="AP258" s="454"/>
      <c r="AQ258" s="454"/>
      <c r="AR258" s="454"/>
      <c r="AS258" s="454"/>
    </row>
    <row r="259" customFormat="false" ht="10.5" hidden="false" customHeight="false" outlineLevel="0" collapsed="false">
      <c r="A259" s="498" t="n">
        <v>42248</v>
      </c>
      <c r="B259" s="499" t="n">
        <f aca="false">YEAR(A259)</f>
        <v>2015</v>
      </c>
      <c r="C259" s="500" t="n">
        <v>3.5565</v>
      </c>
      <c r="D259" s="501" t="n">
        <f aca="false">IF(GasSwitch=0,VLOOKUP($A259,[1]!GasCurve,4),VLOOKUP($A259,[1]!AecoCurve,5))</f>
        <v>3.4365</v>
      </c>
      <c r="E259" s="517" t="n">
        <v>0.0366669944483225</v>
      </c>
      <c r="F259" s="503" t="n">
        <f aca="false">IF(shiftswitch2=1,IF(F258+$D$8*(D259-F258)+($E$8*(F258^$F$8)*E259)+(1-$D$8)*(D259-D258)&lt;0,0.01,F258+$D$8*(D259-F258)+($E$8*(F258^$F$8)*E259)+(1-$D$8)*(D259-D258)),IF(F258+$D$10*(C259-F258)+($E$10*(F258^$F$10)*E259)+(1-$D$10)*(C259-C258)&lt;0,0.01,F258+$D$10*(C259-F258)+($E$10*(F258^$F$10)*E259)+(1-$D$10)*(C259-C258)))</f>
        <v>3.57353499748161</v>
      </c>
      <c r="G259" s="503"/>
      <c r="H259" s="504" t="n">
        <v>23.9400000000001</v>
      </c>
      <c r="I259" s="501" t="n">
        <f aca="false">IF(OilSwitch=0,VLOOKUP($A259,[1]!OilCurve,4),VLOOKUP($A259,[1]!BrentCurve,4))</f>
        <v>24.8300000000001</v>
      </c>
      <c r="J259" s="517" t="n">
        <v>0.0658573716980836</v>
      </c>
      <c r="K259" s="503" t="n">
        <f aca="false">IF(shiftswitch2=1,K258+$D$9*(I259-K258)+($E$9*(K258^$F$9)*J259)+(1-$D$9)*(I259-I258),K258+$D$11*(H259-K258)+($E$11*(K258^$F$11)*J259)+(1-$D$11)*(H259-H258))</f>
        <v>24.1223176075566</v>
      </c>
      <c r="AP259" s="454"/>
      <c r="AQ259" s="454"/>
      <c r="AR259" s="454"/>
      <c r="AS259" s="454"/>
    </row>
    <row r="260" customFormat="false" ht="10.5" hidden="false" customHeight="false" outlineLevel="0" collapsed="false">
      <c r="A260" s="498" t="n">
        <v>42278</v>
      </c>
      <c r="B260" s="499" t="n">
        <f aca="false">YEAR(A260)</f>
        <v>2015</v>
      </c>
      <c r="C260" s="500" t="n">
        <v>3.5825</v>
      </c>
      <c r="D260" s="501" t="n">
        <f aca="false">IF(GasSwitch=0,VLOOKUP($A260,[1]!GasCurve,4),VLOOKUP($A260,[1]!AecoCurve,5))</f>
        <v>3.4515</v>
      </c>
      <c r="E260" s="517" t="n">
        <v>0.0107528597395257</v>
      </c>
      <c r="F260" s="503" t="n">
        <f aca="false">IF(shiftswitch2=1,IF(F259+$D$8*(D260-F259)+($E$8*(F259^$F$8)*E260)+(1-$D$8)*(D260-D259)&lt;0,0.01,F259+$D$8*(D260-F259)+($E$8*(F259^$F$8)*E260)+(1-$D$8)*(D260-D259)),IF(F259+$D$10*(C260-F259)+($E$10*(F259^$F$10)*E260)+(1-$D$10)*(C260-C259)&lt;0,0.01,F259+$D$10*(C260-F259)+($E$10*(F259^$F$10)*E260)+(1-$D$10)*(C260-C259)))</f>
        <v>3.59912417178191</v>
      </c>
      <c r="G260" s="503"/>
      <c r="H260" s="504" t="n">
        <v>23.9900000000001</v>
      </c>
      <c r="I260" s="501" t="n">
        <f aca="false">IF(OilSwitch=0,VLOOKUP($A260,[1]!OilCurve,4),VLOOKUP($A260,[1]!BrentCurve,4))</f>
        <v>24.8800000000001</v>
      </c>
      <c r="J260" s="517" t="n">
        <v>0.0581437394088223</v>
      </c>
      <c r="K260" s="503" t="n">
        <f aca="false">IF(shiftswitch2=1,K259+$D$9*(I260-K259)+($E$9*(K259^$F$9)*J260)+(1-$D$9)*(I260-I259),K259+$D$11*(H260-K259)+($E$11*(K259^$F$11)*J260)+(1-$D$11)*(H260-H259))</f>
        <v>24.2510193467848</v>
      </c>
      <c r="AP260" s="454"/>
      <c r="AQ260" s="454"/>
      <c r="AR260" s="454"/>
      <c r="AS260" s="454"/>
    </row>
    <row r="261" customFormat="false" ht="10.5" hidden="false" customHeight="false" outlineLevel="0" collapsed="false">
      <c r="A261" s="498" t="n">
        <v>42309</v>
      </c>
      <c r="B261" s="499" t="n">
        <f aca="false">YEAR(A261)</f>
        <v>2015</v>
      </c>
      <c r="C261" s="500" t="n">
        <v>3.7175</v>
      </c>
      <c r="D261" s="501" t="n">
        <f aca="false">IF(GasSwitch=0,VLOOKUP($A261,[1]!GasCurve,4),VLOOKUP($A261,[1]!AecoCurve,5))</f>
        <v>3.5275</v>
      </c>
      <c r="E261" s="517" t="n">
        <v>-0.0245148024856523</v>
      </c>
      <c r="F261" s="503" t="n">
        <f aca="false">IF(shiftswitch2=1,IF(F260+$D$8*(D261-F260)+($E$8*(F260^$F$8)*E261)+(1-$D$8)*(D261-D260)&lt;0,0.01,F260+$D$8*(D261-F260)+($E$8*(F260^$F$8)*E261)+(1-$D$8)*(D261-D260)),IF(F260+$D$10*(C261-F260)+($E$10*(F260^$F$10)*E261)+(1-$D$10)*(C261-C260)&lt;0,0.01,F260+$D$10*(C261-F260)+($E$10*(F260^$F$10)*E261)+(1-$D$10)*(C261-C260)))</f>
        <v>3.71292419711902</v>
      </c>
      <c r="G261" s="503"/>
      <c r="H261" s="504" t="n">
        <v>24.0400000000001</v>
      </c>
      <c r="I261" s="501" t="n">
        <f aca="false">IF(OilSwitch=0,VLOOKUP($A261,[1]!OilCurve,4),VLOOKUP($A261,[1]!BrentCurve,4))</f>
        <v>24.9300000000001</v>
      </c>
      <c r="J261" s="517" t="n">
        <v>0.0530769756413646</v>
      </c>
      <c r="K261" s="503" t="n">
        <f aca="false">IF(shiftswitch2=1,K260+$D$9*(I261-K260)+($E$9*(K260^$F$9)*J261)+(1-$D$9)*(I261-I260),K260+$D$11*(H261-K260)+($E$11*(K260^$F$11)*J261)+(1-$D$11)*(H261-H260))</f>
        <v>24.3634985189204</v>
      </c>
      <c r="AP261" s="454"/>
      <c r="AQ261" s="454"/>
      <c r="AR261" s="454"/>
      <c r="AS261" s="454"/>
    </row>
    <row r="262" customFormat="false" ht="10.5" hidden="false" customHeight="false" outlineLevel="0" collapsed="false">
      <c r="A262" s="498" t="n">
        <v>42339</v>
      </c>
      <c r="B262" s="499" t="n">
        <f aca="false">YEAR(A262)</f>
        <v>2015</v>
      </c>
      <c r="C262" s="500" t="n">
        <v>3.8415</v>
      </c>
      <c r="D262" s="501" t="n">
        <f aca="false">IF(GasSwitch=0,VLOOKUP($A262,[1]!GasCurve,4),VLOOKUP($A262,[1]!AecoCurve,5))</f>
        <v>3.6175</v>
      </c>
      <c r="E262" s="517" t="n">
        <v>-0.0467379288071655</v>
      </c>
      <c r="F262" s="503" t="n">
        <f aca="false">IF(shiftswitch2=1,IF(F261+$D$8*(D262-F261)+($E$8*(F261^$F$8)*E262)+(1-$D$8)*(D262-D261)&lt;0,0.01,F261+$D$8*(D262-F261)+($E$8*(F261^$F$8)*E262)+(1-$D$8)*(D262-D261)),IF(F261+$D$10*(C262-F261)+($E$10*(F261^$F$10)*E262)+(1-$D$10)*(C262-C261)&lt;0,0.01,F261+$D$10*(C262-F261)+($E$10*(F261^$F$10)*E262)+(1-$D$10)*(C262-C261)))</f>
        <v>3.81051276037676</v>
      </c>
      <c r="G262" s="503"/>
      <c r="H262" s="504" t="n">
        <v>24.0900000000001</v>
      </c>
      <c r="I262" s="501" t="n">
        <f aca="false">IF(OilSwitch=0,VLOOKUP($A262,[1]!OilCurve,4),VLOOKUP($A262,[1]!BrentCurve,4))</f>
        <v>24.9800000000001</v>
      </c>
      <c r="J262" s="517" t="n">
        <v>0.0399093855983327</v>
      </c>
      <c r="K262" s="503" t="n">
        <f aca="false">IF(shiftswitch2=1,K261+$D$9*(I262-K261)+($E$9*(K261^$F$9)*J262)+(1-$D$9)*(I262-I261),K261+$D$11*(H262-K261)+($E$11*(K261^$F$11)*J262)+(1-$D$11)*(H262-H261))</f>
        <v>24.4478813831829</v>
      </c>
      <c r="AP262" s="454"/>
      <c r="AQ262" s="454"/>
      <c r="AR262" s="454"/>
      <c r="AS262" s="454"/>
    </row>
    <row r="263" customFormat="false" ht="10.5" hidden="false" customHeight="false" outlineLevel="0" collapsed="false">
      <c r="A263" s="498" t="n">
        <v>42370</v>
      </c>
      <c r="B263" s="512" t="n">
        <f aca="false">YEAR(A263)</f>
        <v>2016</v>
      </c>
      <c r="C263" s="513" t="n">
        <v>3.945</v>
      </c>
      <c r="D263" s="501" t="n">
        <f aca="false">IF(GasSwitch=0,VLOOKUP($A263,[1]!GasCurve,4),VLOOKUP($A263,[1]!AecoCurve,5))</f>
        <v>3.656</v>
      </c>
      <c r="E263" s="517" t="n">
        <v>-0.0301168900419556</v>
      </c>
      <c r="F263" s="503" t="n">
        <f aca="false">IF(shiftswitch2=1,IF(F262+$D$8*(D263-F262)+($E$8*(F262^$F$8)*E263)+(1-$D$8)*(D263-D262)&lt;0,0.01,F262+$D$8*(D263-F262)+($E$8*(F262^$F$8)*E263)+(1-$D$8)*(D263-D262)),IF(F262+$D$10*(C263-F262)+($E$10*(F262^$F$10)*E263)+(1-$D$10)*(C263-C262)&lt;0,0.01,F262+$D$10*(C263-F262)+($E$10*(F262^$F$10)*E263)+(1-$D$10)*(C263-C262)))</f>
        <v>3.9079212832293</v>
      </c>
      <c r="G263" s="503"/>
      <c r="H263" s="516" t="n">
        <v>24.1400000000001</v>
      </c>
      <c r="I263" s="501" t="n">
        <f aca="false">IF(OilSwitch=0,VLOOKUP($A263,[1]!OilCurve,4),VLOOKUP($A263,[1]!BrentCurve,4))</f>
        <v>25.0300000000001</v>
      </c>
      <c r="J263" s="518" t="n">
        <v>-0.0357872884660772</v>
      </c>
      <c r="K263" s="515" t="n">
        <f aca="false">IF(shiftswitch2=1,K262+$D$9*(I263-K262)+($E$9*(K262^$F$9)*J263)+(1-$D$9)*(I263-I262),K262+$D$11*(H263-K262)+($E$11*(K262^$F$11)*J263)+(1-$D$11)*(H263-H262))</f>
        <v>24.4029010782402</v>
      </c>
      <c r="AP263" s="454"/>
      <c r="AQ263" s="454"/>
      <c r="AR263" s="454"/>
      <c r="AS263" s="454"/>
    </row>
    <row r="264" customFormat="false" ht="10.5" hidden="false" customHeight="false" outlineLevel="0" collapsed="false">
      <c r="A264" s="498" t="n">
        <v>42401</v>
      </c>
      <c r="B264" s="499" t="n">
        <f aca="false">YEAR(A264)</f>
        <v>2016</v>
      </c>
      <c r="C264" s="500" t="n">
        <v>3.827</v>
      </c>
      <c r="D264" s="501" t="n">
        <f aca="false">IF(GasSwitch=0,VLOOKUP($A264,[1]!GasCurve,4),VLOOKUP($A264,[1]!AecoCurve,5))</f>
        <v>3.595</v>
      </c>
      <c r="E264" s="517" t="n">
        <v>0.0270655346527206</v>
      </c>
      <c r="F264" s="503" t="n">
        <f aca="false">IF(shiftswitch2=1,IF(F263+$D$8*(D264-F263)+($E$8*(F263^$F$8)*E264)+(1-$D$8)*(D264-D263)&lt;0,0.01,F263+$D$8*(D264-F263)+($E$8*(F263^$F$8)*E264)+(1-$D$8)*(D264-D263)),IF(F263+$D$10*(C264-F263)+($E$10*(F263^$F$10)*E264)+(1-$D$10)*(C264-C263)&lt;0,0.01,F263+$D$10*(C264-F263)+($E$10*(F263^$F$10)*E264)+(1-$D$10)*(C264-C263)))</f>
        <v>3.82145965826286</v>
      </c>
      <c r="G264" s="503"/>
      <c r="H264" s="504" t="n">
        <v>24.1900000000001</v>
      </c>
      <c r="I264" s="501" t="n">
        <f aca="false">IF(OilSwitch=0,VLOOKUP($A264,[1]!OilCurve,4),VLOOKUP($A264,[1]!BrentCurve,4))</f>
        <v>25.0800000000001</v>
      </c>
      <c r="J264" s="517" t="n">
        <v>0.0404062714591143</v>
      </c>
      <c r="K264" s="503" t="n">
        <f aca="false">IF(shiftswitch2=1,K263+$D$9*(I264-K263)+($E$9*(K263^$F$9)*J264)+(1-$D$9)*(I264-I263),K263+$D$11*(H264-K263)+($E$11*(K263^$F$11)*J264)+(1-$D$11)*(H264-H263))</f>
        <v>24.4941099072024</v>
      </c>
      <c r="AP264" s="454"/>
      <c r="AQ264" s="454"/>
      <c r="AR264" s="454"/>
      <c r="AS264" s="454"/>
    </row>
    <row r="265" customFormat="false" ht="10.5" hidden="false" customHeight="false" outlineLevel="0" collapsed="false">
      <c r="A265" s="498" t="n">
        <v>42430</v>
      </c>
      <c r="B265" s="499" t="n">
        <f aca="false">YEAR(A265)</f>
        <v>2016</v>
      </c>
      <c r="C265" s="500" t="n">
        <v>3.707</v>
      </c>
      <c r="D265" s="501" t="n">
        <f aca="false">IF(GasSwitch=0,VLOOKUP($A265,[1]!GasCurve,4),VLOOKUP($A265,[1]!AecoCurve,5))</f>
        <v>3.519</v>
      </c>
      <c r="E265" s="517" t="n">
        <v>0.0248850863741145</v>
      </c>
      <c r="F265" s="503" t="n">
        <f aca="false">IF(shiftswitch2=1,IF(F264+$D$8*(D265-F264)+($E$8*(F264^$F$8)*E265)+(1-$D$8)*(D265-D264)&lt;0,0.01,F264+$D$8*(D265-F264)+($E$8*(F264^$F$8)*E265)+(1-$D$8)*(D265-D264)),IF(F264+$D$10*(C265-F264)+($E$10*(F264^$F$10)*E265)+(1-$D$10)*(C265-C264)&lt;0,0.01,F264+$D$10*(C265-F264)+($E$10*(F264^$F$10)*E265)+(1-$D$10)*(C265-C264)))</f>
        <v>3.71891657709651</v>
      </c>
      <c r="G265" s="503"/>
      <c r="H265" s="504" t="n">
        <v>24.1900000000001</v>
      </c>
      <c r="I265" s="501" t="n">
        <f aca="false">IF(OilSwitch=0,VLOOKUP($A265,[1]!OilCurve,4),VLOOKUP($A265,[1]!BrentCurve,4))</f>
        <v>25.0800000000001</v>
      </c>
      <c r="J265" s="517" t="n">
        <v>-0.0477610416820024</v>
      </c>
      <c r="K265" s="503" t="n">
        <f aca="false">IF(shiftswitch2=1,K264+$D$9*(I265-K264)+($E$9*(K264^$F$9)*J265)+(1-$D$9)*(I265-I264),K264+$D$11*(H265-K264)+($E$11*(K264^$F$11)*J265)+(1-$D$11)*(H265-H264))</f>
        <v>24.3845286530305</v>
      </c>
      <c r="AP265" s="454"/>
      <c r="AQ265" s="454"/>
      <c r="AR265" s="454"/>
      <c r="AS265" s="454"/>
    </row>
    <row r="266" customFormat="false" ht="10.5" hidden="false" customHeight="false" outlineLevel="0" collapsed="false">
      <c r="A266" s="498" t="n">
        <v>42461</v>
      </c>
      <c r="B266" s="499" t="n">
        <f aca="false">YEAR(A266)</f>
        <v>2016</v>
      </c>
      <c r="C266" s="500" t="n">
        <v>3.6575</v>
      </c>
      <c r="D266" s="501" t="n">
        <f aca="false">IF(GasSwitch=0,VLOOKUP($A266,[1]!GasCurve,4),VLOOKUP($A266,[1]!AecoCurve,5))</f>
        <v>3.458</v>
      </c>
      <c r="E266" s="517" t="n">
        <v>0.0318014561135209</v>
      </c>
      <c r="F266" s="503" t="n">
        <f aca="false">IF(shiftswitch2=1,IF(F265+$D$8*(D266-F265)+($E$8*(F265^$F$8)*E266)+(1-$D$8)*(D266-D265)&lt;0,0.01,F265+$D$8*(D266-F265)+($E$8*(F265^$F$8)*E266)+(1-$D$8)*(D266-D265)),IF(F265+$D$10*(C266-F265)+($E$10*(F265^$F$10)*E266)+(1-$D$10)*(C266-C265)&lt;0,0.01,F265+$D$10*(C266-F265)+($E$10*(F265^$F$10)*E266)+(1-$D$10)*(C266-C265)))</f>
        <v>3.68389756569946</v>
      </c>
      <c r="G266" s="503"/>
      <c r="H266" s="504" t="n">
        <v>24.1900000000001</v>
      </c>
      <c r="I266" s="501" t="n">
        <f aca="false">IF(OilSwitch=0,VLOOKUP($A266,[1]!OilCurve,4),VLOOKUP($A266,[1]!BrentCurve,4))</f>
        <v>25.0800000000001</v>
      </c>
      <c r="J266" s="517" t="n">
        <v>0.0326341395048724</v>
      </c>
      <c r="K266" s="503" t="n">
        <f aca="false">IF(shiftswitch2=1,K265+$D$9*(I266-K265)+($E$9*(K265^$F$9)*J266)+(1-$D$9)*(I266-I265),K265+$D$11*(H266-K265)+($E$11*(K265^$F$11)*J266)+(1-$D$11)*(H266-H265))</f>
        <v>24.4195735245166</v>
      </c>
      <c r="AP266" s="454"/>
      <c r="AQ266" s="454"/>
      <c r="AR266" s="454"/>
      <c r="AS266" s="454"/>
    </row>
    <row r="267" customFormat="false" ht="10.5" hidden="false" customHeight="false" outlineLevel="0" collapsed="false">
      <c r="A267" s="498" t="n">
        <v>42491</v>
      </c>
      <c r="B267" s="499" t="n">
        <f aca="false">YEAR(A267)</f>
        <v>2016</v>
      </c>
      <c r="C267" s="500" t="n">
        <v>3.6315</v>
      </c>
      <c r="D267" s="501" t="n">
        <f aca="false">IF(GasSwitch=0,VLOOKUP($A267,[1]!GasCurve,4),VLOOKUP($A267,[1]!AecoCurve,5))</f>
        <v>3.471</v>
      </c>
      <c r="E267" s="517" t="n">
        <v>0.0441780027324686</v>
      </c>
      <c r="F267" s="503" t="n">
        <f aca="false">IF(shiftswitch2=1,IF(F266+$D$8*(D267-F266)+($E$8*(F266^$F$8)*E267)+(1-$D$8)*(D267-D266)&lt;0,0.01,F266+$D$8*(D267-F266)+($E$8*(F266^$F$8)*E267)+(1-$D$8)*(D267-D266)),IF(F266+$D$10*(C267-F266)+($E$10*(F266^$F$10)*E267)+(1-$D$10)*(C267-C266)&lt;0,0.01,F266+$D$10*(C267-F266)+($E$10*(F266^$F$10)*E267)+(1-$D$10)*(C267-C266)))</f>
        <v>3.67396865133121</v>
      </c>
      <c r="G267" s="503"/>
      <c r="H267" s="504" t="n">
        <v>24.1900000000001</v>
      </c>
      <c r="I267" s="501" t="n">
        <f aca="false">IF(OilSwitch=0,VLOOKUP($A267,[1]!OilCurve,4),VLOOKUP($A267,[1]!BrentCurve,4))</f>
        <v>25.0800000000001</v>
      </c>
      <c r="J267" s="517" t="n">
        <v>0.0271290649801924</v>
      </c>
      <c r="K267" s="503" t="n">
        <f aca="false">IF(shiftswitch2=1,K266+$D$9*(I267-K266)+($E$9*(K266^$F$9)*J267)+(1-$D$9)*(I267-I266),K266+$D$11*(H267-K266)+($E$11*(K266^$F$11)*J267)+(1-$D$11)*(H267-H266))</f>
        <v>24.4419885097165</v>
      </c>
      <c r="AP267" s="454"/>
      <c r="AQ267" s="454"/>
      <c r="AR267" s="454"/>
      <c r="AS267" s="454"/>
    </row>
    <row r="268" customFormat="false" ht="10.5" hidden="false" customHeight="false" outlineLevel="0" collapsed="false">
      <c r="A268" s="498" t="n">
        <v>42522</v>
      </c>
      <c r="B268" s="499" t="n">
        <f aca="false">YEAR(A268)</f>
        <v>2016</v>
      </c>
      <c r="C268" s="500" t="n">
        <v>3.6375</v>
      </c>
      <c r="D268" s="501" t="n">
        <f aca="false">IF(GasSwitch=0,VLOOKUP($A268,[1]!GasCurve,4),VLOOKUP($A268,[1]!AecoCurve,5))</f>
        <v>3.493</v>
      </c>
      <c r="E268" s="517" t="n">
        <v>0.0193744272416674</v>
      </c>
      <c r="F268" s="503" t="n">
        <f aca="false">IF(shiftswitch2=1,IF(F267+$D$8*(D268-F267)+($E$8*(F267^$F$8)*E268)+(1-$D$8)*(D268-D267)&lt;0,0.01,F267+$D$8*(D268-F267)+($E$8*(F267^$F$8)*E268)+(1-$D$8)*(D268-D267)),IF(F267+$D$10*(C268-F267)+($E$10*(F267^$F$10)*E268)+(1-$D$10)*(C268-C267)&lt;0,0.01,F267+$D$10*(C268-F267)+($E$10*(F267^$F$10)*E268)+(1-$D$10)*(C268-C267)))</f>
        <v>3.67469980984551</v>
      </c>
      <c r="G268" s="503"/>
      <c r="H268" s="504" t="n">
        <v>24.1900000000001</v>
      </c>
      <c r="I268" s="501" t="n">
        <f aca="false">IF(OilSwitch=0,VLOOKUP($A268,[1]!OilCurve,4),VLOOKUP($A268,[1]!BrentCurve,4))</f>
        <v>25.0800000000001</v>
      </c>
      <c r="J268" s="517" t="n">
        <v>0.00384562551794193</v>
      </c>
      <c r="K268" s="503" t="n">
        <f aca="false">IF(shiftswitch2=1,K267+$D$9*(I268-K267)+($E$9*(K267^$F$9)*J268)+(1-$D$9)*(I268-I267),K267+$D$11*(H268-K267)+($E$11*(K267^$F$11)*J268)+(1-$D$11)*(H268-H267))</f>
        <v>24.4234407681165</v>
      </c>
      <c r="AP268" s="454"/>
      <c r="AQ268" s="454"/>
      <c r="AR268" s="454"/>
      <c r="AS268" s="454"/>
    </row>
    <row r="269" customFormat="false" ht="10.5" hidden="false" customHeight="false" outlineLevel="0" collapsed="false">
      <c r="A269" s="498" t="n">
        <v>42552</v>
      </c>
      <c r="B269" s="499" t="n">
        <f aca="false">YEAR(A269)</f>
        <v>2016</v>
      </c>
      <c r="C269" s="500" t="n">
        <v>3.6475</v>
      </c>
      <c r="D269" s="501" t="n">
        <f aca="false">IF(GasSwitch=0,VLOOKUP($A269,[1]!GasCurve,4),VLOOKUP($A269,[1]!AecoCurve,5))</f>
        <v>3.504</v>
      </c>
      <c r="E269" s="517" t="n">
        <v>0.0260169653559343</v>
      </c>
      <c r="F269" s="503" t="n">
        <f aca="false">IF(shiftswitch2=1,IF(F268+$D$8*(D269-F268)+($E$8*(F268^$F$8)*E269)+(1-$D$8)*(D269-D268)&lt;0,0.01,F268+$D$8*(D269-F268)+($E$8*(F268^$F$8)*E269)+(1-$D$8)*(D269-D268)),IF(F268+$D$10*(C269-F268)+($E$10*(F268^$F$10)*E269)+(1-$D$10)*(C269-C268)&lt;0,0.01,F268+$D$10*(C269-F268)+($E$10*(F268^$F$10)*E269)+(1-$D$10)*(C269-C268)))</f>
        <v>3.6855221059144</v>
      </c>
      <c r="G269" s="503"/>
      <c r="H269" s="504" t="n">
        <v>24.1900000000001</v>
      </c>
      <c r="I269" s="501" t="n">
        <f aca="false">IF(OilSwitch=0,VLOOKUP($A269,[1]!OilCurve,4),VLOOKUP($A269,[1]!BrentCurve,4))</f>
        <v>25.0800000000001</v>
      </c>
      <c r="J269" s="517" t="n">
        <v>-0.107923681085145</v>
      </c>
      <c r="K269" s="503" t="n">
        <f aca="false">IF(shiftswitch2=1,K268+$D$9*(I269-K268)+($E$9*(K268^$F$9)*J269)+(1-$D$9)*(I269-I268),K268+$D$11*(H269-K268)+($E$11*(K268^$F$11)*J269)+(1-$D$11)*(H269-H268))</f>
        <v>24.2207451267473</v>
      </c>
      <c r="AP269" s="454"/>
      <c r="AQ269" s="454"/>
      <c r="AR269" s="454"/>
      <c r="AS269" s="454"/>
    </row>
    <row r="270" customFormat="false" ht="10.5" hidden="false" customHeight="false" outlineLevel="0" collapsed="false">
      <c r="A270" s="498" t="n">
        <v>42583</v>
      </c>
      <c r="B270" s="499" t="n">
        <f aca="false">YEAR(A270)</f>
        <v>2016</v>
      </c>
      <c r="C270" s="500" t="n">
        <v>3.6545</v>
      </c>
      <c r="D270" s="501" t="n">
        <f aca="false">IF(GasSwitch=0,VLOOKUP($A270,[1]!GasCurve,4),VLOOKUP($A270,[1]!AecoCurve,5))</f>
        <v>3.513</v>
      </c>
      <c r="E270" s="517" t="n">
        <v>0.0341731177854273</v>
      </c>
      <c r="F270" s="503" t="n">
        <f aca="false">IF(shiftswitch2=1,IF(F269+$D$8*(D270-F269)+($E$8*(F269^$F$8)*E270)+(1-$D$8)*(D270-D269)&lt;0,0.01,F269+$D$8*(D270-F269)+($E$8*(F269^$F$8)*E270)+(1-$D$8)*(D270-D269)),IF(F269+$D$10*(C270-F269)+($E$10*(F269^$F$10)*E270)+(1-$D$10)*(C270-C269)&lt;0,0.01,F269+$D$10*(C270-F269)+($E$10*(F269^$F$10)*E270)+(1-$D$10)*(C270-C269)))</f>
        <v>3.69794873700125</v>
      </c>
      <c r="G270" s="503"/>
      <c r="H270" s="504" t="n">
        <v>24.1900000000001</v>
      </c>
      <c r="I270" s="501" t="n">
        <f aca="false">IF(OilSwitch=0,VLOOKUP($A270,[1]!OilCurve,4),VLOOKUP($A270,[1]!BrentCurve,4))</f>
        <v>25.0800000000001</v>
      </c>
      <c r="J270" s="517" t="n">
        <v>0.0100938084489818</v>
      </c>
      <c r="K270" s="503" t="n">
        <f aca="false">IF(shiftswitch2=1,K269+$D$9*(I270-K269)+($E$9*(K269^$F$9)*J270)+(1-$D$9)*(I270-I269),K269+$D$11*(H270-K269)+($E$11*(K269^$F$11)*J270)+(1-$D$11)*(H270-H269))</f>
        <v>24.2344974564584</v>
      </c>
      <c r="AP270" s="454"/>
      <c r="AQ270" s="454"/>
      <c r="AR270" s="454"/>
      <c r="AS270" s="454"/>
    </row>
    <row r="271" customFormat="false" ht="10.5" hidden="false" customHeight="false" outlineLevel="0" collapsed="false">
      <c r="A271" s="498" t="n">
        <v>42614</v>
      </c>
      <c r="B271" s="499" t="n">
        <f aca="false">YEAR(A271)</f>
        <v>2016</v>
      </c>
      <c r="C271" s="500" t="n">
        <v>3.6615</v>
      </c>
      <c r="D271" s="501" t="n">
        <f aca="false">IF(GasSwitch=0,VLOOKUP($A271,[1]!GasCurve,4),VLOOKUP($A271,[1]!AecoCurve,5))</f>
        <v>3.507</v>
      </c>
      <c r="E271" s="517" t="n">
        <v>-0.0131203421907452</v>
      </c>
      <c r="F271" s="503" t="n">
        <f aca="false">IF(shiftswitch2=1,IF(F270+$D$8*(D271-F270)+($E$8*(F270^$F$8)*E271)+(1-$D$8)*(D271-D270)&lt;0,0.01,F270+$D$8*(D271-F270)+($E$8*(F270^$F$8)*E271)+(1-$D$8)*(D271-D270)),IF(F270+$D$10*(C271-F270)+($E$10*(F270^$F$10)*E271)+(1-$D$10)*(C271-C270)&lt;0,0.01,F270+$D$10*(C271-F270)+($E$10*(F270^$F$10)*E271)+(1-$D$10)*(C271-C270)))</f>
        <v>3.67973769276573</v>
      </c>
      <c r="G271" s="503"/>
      <c r="H271" s="504" t="n">
        <v>24.1900000000001</v>
      </c>
      <c r="I271" s="501" t="n">
        <f aca="false">IF(OilSwitch=0,VLOOKUP($A271,[1]!OilCurve,4),VLOOKUP($A271,[1]!BrentCurve,4))</f>
        <v>25.0800000000001</v>
      </c>
      <c r="J271" s="517" t="n">
        <v>0.0622723692620659</v>
      </c>
      <c r="K271" s="503" t="n">
        <f aca="false">IF(shiftswitch2=1,K270+$D$9*(I271-K270)+($E$9*(K270^$F$9)*J271)+(1-$D$9)*(I271-I270),K270+$D$11*(H271-K270)+($E$11*(K270^$F$11)*J271)+(1-$D$11)*(H271-H270))</f>
        <v>24.3337134307211</v>
      </c>
      <c r="AP271" s="454"/>
      <c r="AQ271" s="454"/>
      <c r="AR271" s="454"/>
      <c r="AS271" s="454"/>
    </row>
    <row r="272" customFormat="false" ht="10.5" hidden="false" customHeight="false" outlineLevel="0" collapsed="false">
      <c r="A272" s="498" t="n">
        <v>42644</v>
      </c>
      <c r="B272" s="499" t="n">
        <f aca="false">YEAR(A272)</f>
        <v>2016</v>
      </c>
      <c r="C272" s="500" t="n">
        <v>3.6875</v>
      </c>
      <c r="D272" s="501" t="n">
        <f aca="false">IF(GasSwitch=0,VLOOKUP($A272,[1]!GasCurve,4),VLOOKUP($A272,[1]!AecoCurve,5))</f>
        <v>3.521</v>
      </c>
      <c r="E272" s="517" t="n">
        <v>-0.0667511111892114</v>
      </c>
      <c r="F272" s="503" t="n">
        <f aca="false">IF(shiftswitch2=1,IF(F271+$D$8*(D272-F271)+($E$8*(F271^$F$8)*E272)+(1-$D$8)*(D272-D271)&lt;0,0.01,F271+$D$8*(D272-F271)+($E$8*(F271^$F$8)*E272)+(1-$D$8)*(D272-D271)),IF(F271+$D$10*(C272-F271)+($E$10*(F271^$F$10)*E272)+(1-$D$10)*(C272-C271)&lt;0,0.01,F271+$D$10*(C272-F271)+($E$10*(F271^$F$10)*E272)+(1-$D$10)*(C272-C271)))</f>
        <v>3.65833293800406</v>
      </c>
      <c r="G272" s="503"/>
      <c r="H272" s="504" t="n">
        <v>24.1900000000001</v>
      </c>
      <c r="I272" s="501" t="n">
        <f aca="false">IF(OilSwitch=0,VLOOKUP($A272,[1]!OilCurve,4),VLOOKUP($A272,[1]!BrentCurve,4))</f>
        <v>25.0800000000001</v>
      </c>
      <c r="J272" s="517" t="n">
        <v>0.0257901616086888</v>
      </c>
      <c r="K272" s="503" t="n">
        <f aca="false">IF(shiftswitch2=1,K271+$D$9*(I272-K271)+($E$9*(K271^$F$9)*J272)+(1-$D$9)*(I272-I271),K271+$D$11*(H272-K271)+($E$11*(K271^$F$11)*J272)+(1-$D$11)*(H272-H271))</f>
        <v>24.3624006299966</v>
      </c>
      <c r="AP272" s="454"/>
      <c r="AQ272" s="454"/>
      <c r="AR272" s="454"/>
      <c r="AS272" s="454"/>
    </row>
    <row r="273" customFormat="false" ht="10.5" hidden="false" customHeight="false" outlineLevel="0" collapsed="false">
      <c r="A273" s="498" t="n">
        <v>42675</v>
      </c>
      <c r="B273" s="499" t="n">
        <f aca="false">YEAR(A273)</f>
        <v>2016</v>
      </c>
      <c r="C273" s="500" t="n">
        <v>3.8225</v>
      </c>
      <c r="D273" s="501" t="n">
        <f aca="false">IF(GasSwitch=0,VLOOKUP($A273,[1]!GasCurve,4),VLOOKUP($A273,[1]!AecoCurve,5))</f>
        <v>3.592</v>
      </c>
      <c r="E273" s="517" t="n">
        <v>0.010235582328213</v>
      </c>
      <c r="F273" s="503" t="n">
        <f aca="false">IF(shiftswitch2=1,IF(F272+$D$8*(D273-F272)+($E$8*(F272^$F$8)*E273)+(1-$D$8)*(D273-D272)&lt;0,0.01,F272+$D$8*(D273-F272)+($E$8*(F272^$F$8)*E273)+(1-$D$8)*(D273-D272)),IF(F272+$D$10*(C273-F272)+($E$10*(F272^$F$10)*E273)+(1-$D$10)*(C273-C272)&lt;0,0.01,F272+$D$10*(C273-F272)+($E$10*(F272^$F$10)*E273)+(1-$D$10)*(C273-C272)))</f>
        <v>3.81108476505127</v>
      </c>
      <c r="G273" s="503"/>
      <c r="H273" s="504" t="n">
        <v>24.1900000000001</v>
      </c>
      <c r="I273" s="501" t="n">
        <f aca="false">IF(OilSwitch=0,VLOOKUP($A273,[1]!OilCurve,4),VLOOKUP($A273,[1]!BrentCurve,4))</f>
        <v>25.0800000000001</v>
      </c>
      <c r="J273" s="517" t="n">
        <v>0.0046261397877912</v>
      </c>
      <c r="K273" s="503" t="n">
        <f aca="false">IF(shiftswitch2=1,K272+$D$9*(I273-K272)+($E$9*(K272^$F$9)*J273)+(1-$D$9)*(I273-I272),K272+$D$11*(H273-K272)+($E$11*(K272^$F$11)*J273)+(1-$D$11)*(H273-H272))</f>
        <v>24.3530308642338</v>
      </c>
      <c r="AP273" s="454"/>
      <c r="AQ273" s="454"/>
      <c r="AR273" s="454"/>
      <c r="AS273" s="454"/>
    </row>
    <row r="274" customFormat="false" ht="10.5" hidden="false" customHeight="false" outlineLevel="0" collapsed="false">
      <c r="A274" s="498" t="n">
        <v>42705</v>
      </c>
      <c r="B274" s="499" t="n">
        <f aca="false">YEAR(A274)</f>
        <v>2016</v>
      </c>
      <c r="C274" s="500" t="n">
        <v>3.9465</v>
      </c>
      <c r="D274" s="501" t="n">
        <f aca="false">IF(GasSwitch=0,VLOOKUP($A274,[1]!GasCurve,4),VLOOKUP($A274,[1]!AecoCurve,5))</f>
        <v>3.679</v>
      </c>
      <c r="E274" s="517" t="n">
        <v>0.0408939198637101</v>
      </c>
      <c r="F274" s="503" t="n">
        <f aca="false">IF(shiftswitch2=1,IF(F273+$D$8*(D274-F273)+($E$8*(F273^$F$8)*E274)+(1-$D$8)*(D274-D273)&lt;0,0.01,F273+$D$8*(D274-F273)+($E$8*(F273^$F$8)*E274)+(1-$D$8)*(D274-D273)),IF(F273+$D$10*(C274-F273)+($E$10*(F273^$F$10)*E274)+(1-$D$10)*(C274-C273)&lt;0,0.01,F273+$D$10*(C274-F273)+($E$10*(F273^$F$10)*E274)+(1-$D$10)*(C274-C273)))</f>
        <v>3.96465799145897</v>
      </c>
      <c r="G274" s="503"/>
      <c r="H274" s="504" t="n">
        <v>24.1900000000001</v>
      </c>
      <c r="I274" s="501" t="n">
        <f aca="false">IF(OilSwitch=0,VLOOKUP($A274,[1]!OilCurve,4),VLOOKUP($A274,[1]!BrentCurve,4))</f>
        <v>25.0800000000001</v>
      </c>
      <c r="J274" s="517" t="n">
        <v>0.0232370710457135</v>
      </c>
      <c r="K274" s="503" t="n">
        <f aca="false">IF(shiftswitch2=1,K273+$D$9*(I274-K273)+($E$9*(K273^$F$9)*J274)+(1-$D$9)*(I274-I273),K273+$D$11*(H274-K273)+($E$11*(K273^$F$11)*J274)+(1-$D$11)*(H274-H273))</f>
        <v>24.3755572948948</v>
      </c>
      <c r="AP274" s="454"/>
      <c r="AQ274" s="454"/>
      <c r="AR274" s="454"/>
      <c r="AS274" s="454"/>
    </row>
    <row r="275" customFormat="false" ht="10.5" hidden="false" customHeight="false" outlineLevel="0" collapsed="false">
      <c r="A275" s="498" t="n">
        <v>42736</v>
      </c>
      <c r="B275" s="512" t="n">
        <f aca="false">YEAR(A275)</f>
        <v>2017</v>
      </c>
      <c r="C275" s="513" t="n">
        <v>4.055</v>
      </c>
      <c r="D275" s="501" t="n">
        <f aca="false">IF(GasSwitch=0,VLOOKUP($A275,[1]!GasCurve,4),VLOOKUP($A275,[1]!AecoCurve,5))</f>
        <v>3.7155</v>
      </c>
      <c r="E275" s="517" t="n">
        <v>-0.0384116021320201</v>
      </c>
      <c r="F275" s="503" t="n">
        <f aca="false">IF(shiftswitch2=1,IF(F274+$D$8*(D275-F274)+($E$8*(F274^$F$8)*E275)+(1-$D$8)*(D275-D274)&lt;0,0.01,F274+$D$8*(D275-F274)+($E$8*(F274^$F$8)*E275)+(1-$D$8)*(D275-D274)),IF(F274+$D$10*(C275-F274)+($E$10*(F274^$F$10)*E275)+(1-$D$10)*(C275-C274)&lt;0,0.01,F274+$D$10*(C275-F274)+($E$10*(F274^$F$10)*E275)+(1-$D$10)*(C275-C274)))</f>
        <v>4.04195003823197</v>
      </c>
      <c r="G275" s="503"/>
      <c r="H275" s="504" t="n">
        <v>24.1900000000001</v>
      </c>
      <c r="I275" s="501" t="n">
        <f aca="false">IF(OilSwitch=0,VLOOKUP($A275,[1]!OilCurve,4),VLOOKUP($A275,[1]!BrentCurve,4))</f>
        <v>25.0800000000001</v>
      </c>
      <c r="J275" s="518" t="n">
        <v>-0.0483285322073483</v>
      </c>
      <c r="K275" s="515" t="n">
        <f aca="false">IF(shiftswitch2=1,K274+$D$9*(I275-K274)+($E$9*(K274^$F$9)*J275)+(1-$D$9)*(I275-I274),K274+$D$11*(H275-K274)+($E$11*(K274^$F$11)*J275)+(1-$D$11)*(H275-H274))</f>
        <v>24.2767684451072</v>
      </c>
      <c r="AP275" s="454"/>
      <c r="AQ275" s="454"/>
      <c r="AR275" s="454"/>
      <c r="AS275" s="454"/>
    </row>
    <row r="276" customFormat="false" ht="10.5" hidden="false" customHeight="false" outlineLevel="0" collapsed="false">
      <c r="A276" s="498" t="n">
        <v>42767</v>
      </c>
      <c r="B276" s="499" t="n">
        <f aca="false">YEAR(A276)</f>
        <v>2017</v>
      </c>
      <c r="C276" s="500" t="n">
        <v>3.937</v>
      </c>
      <c r="D276" s="501" t="n">
        <f aca="false">IF(GasSwitch=0,VLOOKUP($A276,[1]!GasCurve,4),VLOOKUP($A276,[1]!AecoCurve,5))</f>
        <v>3.6585</v>
      </c>
      <c r="E276" s="517" t="n">
        <v>0.00955431963607344</v>
      </c>
      <c r="F276" s="503" t="n">
        <f aca="false">IF(shiftswitch2=1,IF(F275+$D$8*(D276-F275)+($E$8*(F275^$F$8)*E276)+(1-$D$8)*(D276-D275)&lt;0,0.01,F275+$D$8*(D276-F275)+($E$8*(F275^$F$8)*E276)+(1-$D$8)*(D276-D275)),IF(F275+$D$10*(C276-F275)+($E$10*(F275^$F$10)*E276)+(1-$D$10)*(C276-C275)&lt;0,0.01,F275+$D$10*(C276-F275)+($E$10*(F275^$F$10)*E276)+(1-$D$10)*(C276-C275)))</f>
        <v>3.9351684225071</v>
      </c>
      <c r="G276" s="503"/>
      <c r="H276" s="504" t="n">
        <v>24.1900000000001</v>
      </c>
      <c r="I276" s="501" t="n">
        <f aca="false">IF(OilSwitch=0,VLOOKUP($A276,[1]!OilCurve,4),VLOOKUP($A276,[1]!BrentCurve,4))</f>
        <v>25.0800000000001</v>
      </c>
      <c r="J276" s="517" t="n">
        <v>0.0147399297431732</v>
      </c>
      <c r="K276" s="503" t="n">
        <f aca="false">IF(shiftswitch2=1,K275+$D$9*(I276-K275)+($E$9*(K275^$F$9)*J276)+(1-$D$9)*(I276-I275),K275+$D$11*(H276-K275)+($E$11*(K275^$F$11)*J276)+(1-$D$11)*(H276-H275))</f>
        <v>24.2927056121342</v>
      </c>
      <c r="AP276" s="454"/>
      <c r="AQ276" s="454"/>
      <c r="AR276" s="454"/>
      <c r="AS276" s="454"/>
    </row>
    <row r="277" customFormat="false" ht="10.5" hidden="false" customHeight="false" outlineLevel="0" collapsed="false">
      <c r="A277" s="498" t="n">
        <v>42795</v>
      </c>
      <c r="B277" s="499" t="n">
        <f aca="false">YEAR(A277)</f>
        <v>2017</v>
      </c>
      <c r="C277" s="500" t="n">
        <v>3.817</v>
      </c>
      <c r="D277" s="501" t="n">
        <f aca="false">IF(GasSwitch=0,VLOOKUP($A277,[1]!GasCurve,4),VLOOKUP($A277,[1]!AecoCurve,5))</f>
        <v>3.5855</v>
      </c>
      <c r="E277" s="517" t="n">
        <v>0.0560627061686591</v>
      </c>
      <c r="F277" s="503" t="n">
        <f aca="false">IF(shiftswitch2=1,IF(F276+$D$8*(D277-F276)+($E$8*(F276^$F$8)*E277)+(1-$D$8)*(D277-D276)&lt;0,0.01,F276+$D$8*(D277-F276)+($E$8*(F276^$F$8)*E277)+(1-$D$8)*(D277-D276)),IF(F276+$D$10*(C277-F276)+($E$10*(F276^$F$10)*E277)+(1-$D$10)*(C277-C276)&lt;0,0.01,F276+$D$10*(C277-F276)+($E$10*(F276^$F$10)*E277)+(1-$D$10)*(C277-C276)))</f>
        <v>3.85076304530488</v>
      </c>
      <c r="G277" s="503"/>
      <c r="H277" s="504" t="n">
        <v>24.1900000000001</v>
      </c>
      <c r="I277" s="501" t="n">
        <f aca="false">IF(OilSwitch=0,VLOOKUP($A277,[1]!OilCurve,4),VLOOKUP($A277,[1]!BrentCurve,4))</f>
        <v>25.0800000000001</v>
      </c>
      <c r="J277" s="517" t="n">
        <v>0.0205159274171631</v>
      </c>
      <c r="K277" s="503" t="n">
        <f aca="false">IF(shiftswitch2=1,K276+$D$9*(I277-K276)+($E$9*(K276^$F$9)*J277)+(1-$D$9)*(I277-I276),K276+$D$11*(H277-K276)+($E$11*(K276^$F$11)*J277)+(1-$D$11)*(H277-H276))</f>
        <v>24.3166762597551</v>
      </c>
      <c r="AP277" s="454"/>
      <c r="AQ277" s="454"/>
      <c r="AR277" s="454"/>
      <c r="AS277" s="454"/>
    </row>
    <row r="278" customFormat="false" ht="10.5" hidden="false" customHeight="false" outlineLevel="0" collapsed="false">
      <c r="A278" s="498" t="n">
        <v>42826</v>
      </c>
      <c r="B278" s="519" t="n">
        <f aca="false">YEAR(A278)</f>
        <v>2017</v>
      </c>
      <c r="C278" s="500" t="n">
        <v>3.7675</v>
      </c>
      <c r="D278" s="501" t="n">
        <f aca="false">IF(GasSwitch=0,VLOOKUP($A278,[1]!GasCurve,4),VLOOKUP($A278,[1]!AecoCurve,5))</f>
        <v>3.5275</v>
      </c>
      <c r="E278" s="517" t="n">
        <v>-0.0244567117502777</v>
      </c>
      <c r="F278" s="503" t="n">
        <f aca="false">IF(shiftswitch2=1,IF(F277+$D$8*(D278-F277)+($E$8*(F277^$F$8)*E278)+(1-$D$8)*(D278-D277)&lt;0,0.01,F277+$D$8*(D278-F277)+($E$8*(F277^$F$8)*E278)+(1-$D$8)*(D278-D277)),IF(F277+$D$10*(C278-F277)+($E$10*(F277^$F$10)*E278)+(1-$D$10)*(C278-C277)&lt;0,0.01,F277+$D$10*(C278-F277)+($E$10*(F277^$F$10)*E278)+(1-$D$10)*(C278-C277)))</f>
        <v>3.77277301811687</v>
      </c>
      <c r="G278" s="503"/>
      <c r="H278" s="504" t="n">
        <v>24.1900000000001</v>
      </c>
      <c r="I278" s="501" t="n">
        <f aca="false">IF(OilSwitch=0,VLOOKUP($A278,[1]!OilCurve,4),VLOOKUP($A278,[1]!BrentCurve,4))</f>
        <v>25.0800000000001</v>
      </c>
      <c r="J278" s="517" t="n">
        <v>-0.0170764873884083</v>
      </c>
      <c r="K278" s="503" t="n">
        <f aca="false">IF(shiftswitch2=1,K277+$D$9*(I278-K277)+($E$9*(K277^$F$9)*J278)+(1-$D$9)*(I278-I277),K277+$D$11*(H278-K277)+($E$11*(K277^$F$11)*J278)+(1-$D$11)*(H278-H277))</f>
        <v>24.275720035025</v>
      </c>
      <c r="AP278" s="454"/>
      <c r="AQ278" s="454"/>
      <c r="AR278" s="454"/>
      <c r="AS278" s="454"/>
    </row>
    <row r="279" customFormat="false" ht="10.5" hidden="false" customHeight="false" outlineLevel="0" collapsed="false">
      <c r="A279" s="498" t="n">
        <v>42856</v>
      </c>
      <c r="B279" s="519" t="n">
        <f aca="false">YEAR(A279)</f>
        <v>2017</v>
      </c>
      <c r="C279" s="500" t="n">
        <v>3.7415</v>
      </c>
      <c r="D279" s="501" t="n">
        <f aca="false">IF(GasSwitch=0,VLOOKUP($A279,[1]!GasCurve,4),VLOOKUP($A279,[1]!AecoCurve,5))</f>
        <v>3.5415</v>
      </c>
      <c r="E279" s="517" t="n">
        <v>-0.0242324500676197</v>
      </c>
      <c r="F279" s="503" t="n">
        <f aca="false">IF(shiftswitch2=1,IF(F278+$D$8*(D279-F278)+($E$8*(F278^$F$8)*E279)+(1-$D$8)*(D279-D278)&lt;0,0.01,F278+$D$8*(D279-F278)+($E$8*(F278^$F$8)*E279)+(1-$D$8)*(D279-D278)),IF(F278+$D$10*(C279-F278)+($E$10*(F278^$F$10)*E279)+(1-$D$10)*(C279-C278)&lt;0,0.01,F278+$D$10*(C279-F278)+($E$10*(F278^$F$10)*E279)+(1-$D$10)*(C279-C278)))</f>
        <v>3.72991741905161</v>
      </c>
      <c r="G279" s="503"/>
      <c r="H279" s="504" t="n">
        <v>24.1900000000001</v>
      </c>
      <c r="I279" s="501" t="n">
        <f aca="false">IF(OilSwitch=0,VLOOKUP($A279,[1]!OilCurve,4),VLOOKUP($A279,[1]!BrentCurve,4))</f>
        <v>25.0800000000001</v>
      </c>
      <c r="J279" s="517" t="n">
        <v>-0.0540353054039436</v>
      </c>
      <c r="K279" s="503" t="n">
        <f aca="false">IF(shiftswitch2=1,K278+$D$9*(I279-K278)+($E$9*(K278^$F$9)*J279)+(1-$D$9)*(I279-I278),K278+$D$11*(H279-K278)+($E$11*(K278^$F$11)*J279)+(1-$D$11)*(H279-H278))</f>
        <v>24.1773190033654</v>
      </c>
      <c r="AP279" s="454"/>
      <c r="AQ279" s="454"/>
      <c r="AR279" s="454"/>
      <c r="AS279" s="454"/>
    </row>
    <row r="280" customFormat="false" ht="10.5" hidden="false" customHeight="false" outlineLevel="0" collapsed="false">
      <c r="A280" s="498" t="n">
        <v>42887</v>
      </c>
      <c r="B280" s="519" t="n">
        <f aca="false">YEAR(A280)</f>
        <v>2017</v>
      </c>
      <c r="C280" s="500" t="n">
        <v>3.7475</v>
      </c>
      <c r="D280" s="501" t="n">
        <f aca="false">IF(GasSwitch=0,VLOOKUP($A280,[1]!GasCurve,4),VLOOKUP($A280,[1]!AecoCurve,5))</f>
        <v>3.5645</v>
      </c>
      <c r="E280" s="517" t="n">
        <v>0.0208008351577026</v>
      </c>
      <c r="F280" s="503" t="n">
        <f aca="false">IF(shiftswitch2=1,IF(F279+$D$8*(D280-F279)+($E$8*(F279^$F$8)*E280)+(1-$D$8)*(D280-D279)&lt;0,0.01,F279+$D$8*(D280-F279)+($E$8*(F279^$F$8)*E280)+(1-$D$8)*(D280-D279)),IF(F279+$D$10*(C280-F279)+($E$10*(F279^$F$10)*E280)+(1-$D$10)*(C280-C279)&lt;0,0.01,F279+$D$10*(C280-F279)+($E$10*(F279^$F$10)*E280)+(1-$D$10)*(C280-C279)))</f>
        <v>3.75312372564802</v>
      </c>
      <c r="G280" s="503"/>
      <c r="H280" s="504" t="n">
        <v>24.1900000000001</v>
      </c>
      <c r="I280" s="501" t="n">
        <f aca="false">IF(OilSwitch=0,VLOOKUP($A280,[1]!OilCurve,4),VLOOKUP($A280,[1]!BrentCurve,4))</f>
        <v>25.0800000000001</v>
      </c>
      <c r="J280" s="517" t="n">
        <v>0.0288341030411936</v>
      </c>
      <c r="K280" s="503" t="n">
        <f aca="false">IF(shiftswitch2=1,K279+$D$9*(I280-K279)+($E$9*(K279^$F$9)*J280)+(1-$D$9)*(I280-I279),K279+$D$11*(H280-K279)+($E$11*(K279^$F$11)*J280)+(1-$D$11)*(H280-H279))</f>
        <v>24.2265543694928</v>
      </c>
      <c r="AP280" s="454"/>
      <c r="AQ280" s="454"/>
      <c r="AR280" s="454"/>
      <c r="AS280" s="454"/>
    </row>
    <row r="281" customFormat="false" ht="10.5" hidden="false" customHeight="false" outlineLevel="0" collapsed="false">
      <c r="A281" s="498" t="n">
        <v>42917</v>
      </c>
      <c r="B281" s="519" t="n">
        <f aca="false">YEAR(A281)</f>
        <v>2017</v>
      </c>
      <c r="C281" s="500" t="n">
        <v>3.7575</v>
      </c>
      <c r="D281" s="501" t="n">
        <f aca="false">IF(GasSwitch=0,VLOOKUP($A281,[1]!GasCurve,4),VLOOKUP($A281,[1]!AecoCurve,5))</f>
        <v>3.5755</v>
      </c>
      <c r="E281" s="517" t="n">
        <v>0.0315314818156362</v>
      </c>
      <c r="F281" s="503" t="n">
        <f aca="false">IF(shiftswitch2=1,IF(F280+$D$8*(D281-F280)+($E$8*(F280^$F$8)*E281)+(1-$D$8)*(D281-D280)&lt;0,0.01,F280+$D$8*(D281-F280)+($E$8*(F280^$F$8)*E281)+(1-$D$8)*(D281-D280)),IF(F280+$D$10*(C281-F280)+($E$10*(F280^$F$10)*E281)+(1-$D$10)*(C281-C280)&lt;0,0.01,F280+$D$10*(C281-F280)+($E$10*(F280^$F$10)*E281)+(1-$D$10)*(C281-C280)))</f>
        <v>3.780034780899</v>
      </c>
      <c r="G281" s="503"/>
      <c r="H281" s="504" t="n">
        <v>24.1900000000001</v>
      </c>
      <c r="I281" s="501" t="n">
        <f aca="false">IF(OilSwitch=0,VLOOKUP($A281,[1]!OilCurve,4),VLOOKUP($A281,[1]!BrentCurve,4))</f>
        <v>25.0800000000001</v>
      </c>
      <c r="J281" s="517" t="n">
        <v>0.00627155256168476</v>
      </c>
      <c r="K281" s="503" t="n">
        <f aca="false">IF(shiftswitch2=1,K280+$D$9*(I281-K280)+($E$9*(K280^$F$9)*J281)+(1-$D$9)*(I281-I280),K280+$D$11*(H281-K280)+($E$11*(K280^$F$11)*J281)+(1-$D$11)*(H281-H280))</f>
        <v>24.2333713503757</v>
      </c>
      <c r="AP281" s="454"/>
      <c r="AQ281" s="454"/>
      <c r="AR281" s="454"/>
      <c r="AS281" s="454"/>
    </row>
    <row r="282" customFormat="false" ht="10.5" hidden="false" customHeight="false" outlineLevel="0" collapsed="false">
      <c r="A282" s="498" t="n">
        <v>42948</v>
      </c>
      <c r="B282" s="519" t="n">
        <f aca="false">YEAR(A282)</f>
        <v>2017</v>
      </c>
      <c r="C282" s="500" t="n">
        <v>3.7645</v>
      </c>
      <c r="D282" s="501" t="n">
        <f aca="false">IF(GasSwitch=0,VLOOKUP($A282,[1]!GasCurve,4),VLOOKUP($A282,[1]!AecoCurve,5))</f>
        <v>3.5845</v>
      </c>
      <c r="E282" s="517" t="n">
        <v>0.0123984554587591</v>
      </c>
      <c r="F282" s="503" t="n">
        <f aca="false">IF(shiftswitch2=1,IF(F281+$D$8*(D282-F281)+($E$8*(F281^$F$8)*E282)+(1-$D$8)*(D282-D281)&lt;0,0.01,F281+$D$8*(D282-F281)+($E$8*(F281^$F$8)*E282)+(1-$D$8)*(D282-D281)),IF(F281+$D$10*(C282-F281)+($E$10*(F281^$F$10)*E282)+(1-$D$10)*(C282-C281)&lt;0,0.01,F281+$D$10*(C282-F281)+($E$10*(F281^$F$10)*E282)+(1-$D$10)*(C282-C281)))</f>
        <v>3.78561849391047</v>
      </c>
      <c r="G282" s="503"/>
      <c r="H282" s="504" t="n">
        <v>24.1900000000001</v>
      </c>
      <c r="I282" s="501" t="n">
        <f aca="false">IF(OilSwitch=0,VLOOKUP($A282,[1]!OilCurve,4),VLOOKUP($A282,[1]!BrentCurve,4))</f>
        <v>25.0800000000001</v>
      </c>
      <c r="J282" s="517" t="n">
        <v>-0.0186710347822017</v>
      </c>
      <c r="K282" s="503" t="n">
        <f aca="false">IF(shiftswitch2=1,K281+$D$9*(I282-K281)+($E$9*(K281^$F$9)*J282)+(1-$D$9)*(I282-I281),K281+$D$11*(H282-K281)+($E$11*(K281^$F$11)*J282)+(1-$D$11)*(H282-H281))</f>
        <v>24.1980089848109</v>
      </c>
      <c r="AP282" s="454"/>
      <c r="AQ282" s="454"/>
      <c r="AR282" s="454"/>
      <c r="AS282" s="454"/>
    </row>
    <row r="283" customFormat="false" ht="10.5" hidden="false" customHeight="false" outlineLevel="0" collapsed="false">
      <c r="A283" s="498" t="n">
        <v>42979</v>
      </c>
      <c r="B283" s="519" t="n">
        <f aca="false">YEAR(A283)</f>
        <v>2017</v>
      </c>
      <c r="C283" s="500" t="n">
        <v>3.7715</v>
      </c>
      <c r="D283" s="501" t="n">
        <f aca="false">IF(GasSwitch=0,VLOOKUP($A283,[1]!GasCurve,4),VLOOKUP($A283,[1]!AecoCurve,5))</f>
        <v>3.5775</v>
      </c>
      <c r="E283" s="517" t="n">
        <v>0.0176918503960955</v>
      </c>
      <c r="F283" s="503" t="n">
        <f aca="false">IF(shiftswitch2=1,IF(F282+$D$8*(D283-F282)+($E$8*(F282^$F$8)*E283)+(1-$D$8)*(D283-D282)&lt;0,0.01,F282+$D$8*(D283-F282)+($E$8*(F282^$F$8)*E283)+(1-$D$8)*(D283-D282)),IF(F282+$D$10*(C283-F282)+($E$10*(F282^$F$10)*E283)+(1-$D$10)*(C283-C282)&lt;0,0.01,F282+$D$10*(C283-F282)+($E$10*(F282^$F$10)*E283)+(1-$D$10)*(C283-C282)))</f>
        <v>3.79500054529535</v>
      </c>
      <c r="G283" s="503"/>
      <c r="H283" s="504" t="n">
        <v>24.1900000000001</v>
      </c>
      <c r="I283" s="501" t="n">
        <f aca="false">IF(OilSwitch=0,VLOOKUP($A283,[1]!OilCurve,4),VLOOKUP($A283,[1]!BrentCurve,4))</f>
        <v>25.0800000000001</v>
      </c>
      <c r="J283" s="517" t="n">
        <v>0.0217044862357032</v>
      </c>
      <c r="K283" s="503" t="n">
        <f aca="false">IF(shiftswitch2=1,K282+$D$9*(I283-K282)+($E$9*(K282^$F$9)*J283)+(1-$D$9)*(I283-I282),K282+$D$11*(H283-K282)+($E$11*(K282^$F$11)*J283)+(1-$D$11)*(H283-H282))</f>
        <v>24.2333323604108</v>
      </c>
      <c r="AP283" s="454"/>
      <c r="AQ283" s="454"/>
      <c r="AR283" s="454"/>
      <c r="AS283" s="454"/>
    </row>
    <row r="284" customFormat="false" ht="10.5" hidden="false" customHeight="false" outlineLevel="0" collapsed="false">
      <c r="A284" s="498" t="n">
        <v>43009</v>
      </c>
      <c r="B284" s="519" t="n">
        <f aca="false">YEAR(A284)</f>
        <v>2017</v>
      </c>
      <c r="C284" s="500" t="n">
        <v>3.7975</v>
      </c>
      <c r="D284" s="501" t="n">
        <f aca="false">IF(GasSwitch=0,VLOOKUP($A284,[1]!GasCurve,4),VLOOKUP($A284,[1]!AecoCurve,5))</f>
        <v>3.5905</v>
      </c>
      <c r="E284" s="517" t="n">
        <v>0.00338808329015417</v>
      </c>
      <c r="F284" s="503" t="n">
        <f aca="false">IF(shiftswitch2=1,IF(F283+$D$8*(D284-F283)+($E$8*(F283^$F$8)*E284)+(1-$D$8)*(D284-D283)&lt;0,0.01,F283+$D$8*(D284-F283)+($E$8*(F283^$F$8)*E284)+(1-$D$8)*(D284-D283)),IF(F283+$D$10*(C284-F283)+($E$10*(F283^$F$10)*E284)+(1-$D$10)*(C284-C283)&lt;0,0.01,F283+$D$10*(C284-F283)+($E$10*(F283^$F$10)*E284)+(1-$D$10)*(C284-C283)))</f>
        <v>3.81371180469326</v>
      </c>
      <c r="G284" s="503"/>
      <c r="H284" s="504" t="n">
        <v>24.1900000000001</v>
      </c>
      <c r="I284" s="501" t="n">
        <f aca="false">IF(OilSwitch=0,VLOOKUP($A284,[1]!OilCurve,4),VLOOKUP($A284,[1]!BrentCurve,4))</f>
        <v>25.0800000000001</v>
      </c>
      <c r="J284" s="517" t="n">
        <v>0.00463685788927907</v>
      </c>
      <c r="K284" s="503" t="n">
        <f aca="false">IF(shiftswitch2=1,K283+$D$9*(I284-K283)+($E$9*(K283^$F$9)*J284)+(1-$D$9)*(I284-I283),K283+$D$11*(H284-K283)+($E$11*(K283^$F$11)*J284)+(1-$D$11)*(H284-H283))</f>
        <v>24.2367581882579</v>
      </c>
      <c r="AP284" s="454"/>
      <c r="AQ284" s="454"/>
      <c r="AR284" s="454"/>
      <c r="AS284" s="454"/>
    </row>
    <row r="285" customFormat="false" ht="10.5" hidden="false" customHeight="false" outlineLevel="0" collapsed="false">
      <c r="A285" s="498" t="n">
        <v>43040</v>
      </c>
      <c r="B285" s="519" t="n">
        <f aca="false">YEAR(A285)</f>
        <v>2017</v>
      </c>
      <c r="C285" s="500" t="n">
        <v>3.9325</v>
      </c>
      <c r="D285" s="501" t="n">
        <f aca="false">IF(GasSwitch=0,VLOOKUP($A285,[1]!GasCurve,4),VLOOKUP($A285,[1]!AecoCurve,5))</f>
        <v>3.6565</v>
      </c>
      <c r="E285" s="517" t="n">
        <v>-0.0429317716431682</v>
      </c>
      <c r="F285" s="503" t="n">
        <f aca="false">IF(shiftswitch2=1,IF(F284+$D$8*(D285-F284)+($E$8*(F284^$F$8)*E285)+(1-$D$8)*(D285-D284)&lt;0,0.01,F284+$D$8*(D285-F284)+($E$8*(F284^$F$8)*E285)+(1-$D$8)*(D285-D284)),IF(F284+$D$10*(C285-F284)+($E$10*(F284^$F$10)*E285)+(1-$D$10)*(C285-C284)&lt;0,0.01,F284+$D$10*(C285-F284)+($E$10*(F284^$F$10)*E285)+(1-$D$10)*(C285-C284)))</f>
        <v>3.91597233470136</v>
      </c>
      <c r="G285" s="503"/>
      <c r="H285" s="504" t="n">
        <v>24.1900000000001</v>
      </c>
      <c r="I285" s="501" t="n">
        <f aca="false">IF(OilSwitch=0,VLOOKUP($A285,[1]!OilCurve,4),VLOOKUP($A285,[1]!BrentCurve,4))</f>
        <v>25.0800000000001</v>
      </c>
      <c r="J285" s="517" t="n">
        <v>0.0339093113224091</v>
      </c>
      <c r="K285" s="503" t="n">
        <f aca="false">IF(shiftswitch2=1,K284+$D$9*(I285-K284)+($E$9*(K284^$F$9)*J285)+(1-$D$9)*(I285-I284),K284+$D$11*(H285-K284)+($E$11*(K284^$F$11)*J285)+(1-$D$11)*(H285-H284))</f>
        <v>24.2885542216609</v>
      </c>
      <c r="AP285" s="454"/>
      <c r="AQ285" s="454"/>
      <c r="AR285" s="454"/>
      <c r="AS285" s="454"/>
    </row>
    <row r="286" customFormat="false" ht="10.5" hidden="false" customHeight="false" outlineLevel="0" collapsed="false">
      <c r="A286" s="498" t="n">
        <v>43070</v>
      </c>
      <c r="B286" s="519" t="n">
        <f aca="false">YEAR(A286)</f>
        <v>2017</v>
      </c>
      <c r="C286" s="500" t="n">
        <v>4.0565</v>
      </c>
      <c r="D286" s="501" t="n">
        <f aca="false">IF(GasSwitch=0,VLOOKUP($A286,[1]!GasCurve,4),VLOOKUP($A286,[1]!AecoCurve,5))</f>
        <v>3.7405</v>
      </c>
      <c r="E286" s="517" t="n">
        <v>0.00519337290262826</v>
      </c>
      <c r="F286" s="503" t="n">
        <f aca="false">IF(shiftswitch2=1,IF(F285+$D$8*(D286-F285)+($E$8*(F285^$F$8)*E286)+(1-$D$8)*(D286-D285)&lt;0,0.01,F285+$D$8*(D286-F285)+($E$8*(F285^$F$8)*E286)+(1-$D$8)*(D286-D285)),IF(F285+$D$10*(C286-F285)+($E$10*(F285^$F$10)*E286)+(1-$D$10)*(C286-C285)&lt;0,0.01,F285+$D$10*(C286-F285)+($E$10*(F285^$F$10)*E286)+(1-$D$10)*(C286-C285)))</f>
        <v>4.04977551247159</v>
      </c>
      <c r="G286" s="503"/>
      <c r="H286" s="504" t="n">
        <v>24.1900000000001</v>
      </c>
      <c r="I286" s="501" t="n">
        <f aca="false">IF(OilSwitch=0,VLOOKUP($A286,[1]!OilCurve,4),VLOOKUP($A286,[1]!BrentCurve,4))</f>
        <v>25.0800000000001</v>
      </c>
      <c r="J286" s="517" t="n">
        <v>-0.0279336342199672</v>
      </c>
      <c r="K286" s="503" t="n">
        <f aca="false">IF(shiftswitch2=1,K285+$D$9*(I286-K285)+($E$9*(K285^$F$9)*J286)+(1-$D$9)*(I286-I285),K285+$D$11*(H286-K285)+($E$11*(K285^$F$11)*J286)+(1-$D$11)*(H286-H285))</f>
        <v>24.2323157863745</v>
      </c>
      <c r="AP286" s="454"/>
      <c r="AQ286" s="454"/>
      <c r="AR286" s="454"/>
      <c r="AS286" s="454"/>
    </row>
    <row r="287" customFormat="false" ht="10.5" hidden="false" customHeight="false" outlineLevel="0" collapsed="false">
      <c r="A287" s="498" t="n">
        <v>43101</v>
      </c>
      <c r="B287" s="519" t="n">
        <f aca="false">YEAR(A287)</f>
        <v>2018</v>
      </c>
      <c r="C287" s="500" t="n">
        <v>4.17</v>
      </c>
      <c r="D287" s="501" t="n">
        <f aca="false">IF(GasSwitch=0,VLOOKUP($A287,[1]!GasCurve,4),VLOOKUP($A287,[1]!AecoCurve,5))</f>
        <v>3.775</v>
      </c>
      <c r="E287" s="517" t="n">
        <v>0.00149560292799496</v>
      </c>
      <c r="F287" s="503" t="n">
        <f aca="false">IF(shiftswitch2=1,IF(F286+$D$8*(D287-F286)+($E$8*(F286^$F$8)*E287)+(1-$D$8)*(D287-D286)&lt;0,0.01,F286+$D$8*(D287-F286)+($E$8*(F286^$F$8)*E287)+(1-$D$8)*(D287-D286)),IF(F286+$D$10*(C287-F286)+($E$10*(F286^$F$10)*E287)+(1-$D$10)*(C287-C286)&lt;0,0.01,F286+$D$10*(C287-F286)+($E$10*(F286^$F$10)*E287)+(1-$D$10)*(C287-C286)))</f>
        <v>4.16689676298214</v>
      </c>
      <c r="H287" s="504" t="n">
        <v>21.168</v>
      </c>
      <c r="I287" s="501" t="n">
        <v>21.168</v>
      </c>
      <c r="J287" s="517" t="n">
        <v>0.0208556997972784</v>
      </c>
      <c r="K287" s="503" t="n">
        <f aca="false">IF(shiftswitch2=1,K286+$D$9*(I287-K286)+($E$9*(K286^$F$9)*J287)+(1-$D$9)*(I287-I286),K286+$D$11*(H287-K286)+($E$11*(K286^$F$11)*J287)+(1-$D$11)*(H287-H286))</f>
        <v>21.240830407986</v>
      </c>
      <c r="AP287" s="454"/>
      <c r="AQ287" s="454"/>
      <c r="AR287" s="454"/>
      <c r="AS287" s="454"/>
    </row>
    <row r="288" customFormat="false" ht="10.5" hidden="false" customHeight="false" outlineLevel="0" collapsed="false">
      <c r="A288" s="498" t="n">
        <v>43132</v>
      </c>
      <c r="B288" s="519" t="n">
        <f aca="false">YEAR(A288)</f>
        <v>2018</v>
      </c>
      <c r="C288" s="500" t="n">
        <v>4.052</v>
      </c>
      <c r="D288" s="501" t="n">
        <f aca="false">IF(GasSwitch=0,VLOOKUP($A288,[1]!GasCurve,4),VLOOKUP($A288,[1]!AecoCurve,5))</f>
        <v>3.722</v>
      </c>
      <c r="E288" s="517" t="n">
        <v>0.00243922542469</v>
      </c>
      <c r="F288" s="503" t="n">
        <f aca="false">IF(shiftswitch2=1,IF(F287+$D$8*(D288-F287)+($E$8*(F287^$F$8)*E288)+(1-$D$8)*(D288-D287)&lt;0,0.01,F287+$D$8*(D288-F287)+($E$8*(F287^$F$8)*E288)+(1-$D$8)*(D288-D287)),IF(F287+$D$10*(C288-F287)+($E$10*(F287^$F$10)*E288)+(1-$D$10)*(C288-C287)&lt;0,0.01,F287+$D$10*(C288-F287)+($E$10*(F287^$F$10)*E288)+(1-$D$10)*(C288-C287)))</f>
        <v>4.05169344662499</v>
      </c>
      <c r="H288" s="504" t="n">
        <v>21.168</v>
      </c>
      <c r="I288" s="501" t="n">
        <v>21.168</v>
      </c>
      <c r="J288" s="517" t="n">
        <v>-0.0507077973855177</v>
      </c>
      <c r="K288" s="503" t="n">
        <f aca="false">IF(shiftswitch2=1,K287+$D$9*(I288-K287)+($E$9*(K287^$F$9)*J288)+(1-$D$9)*(I288-I287),K287+$D$11*(H288-K287)+($E$11*(K287^$F$11)*J288)+(1-$D$11)*(H288-H287))</f>
        <v>21.1492424227459</v>
      </c>
      <c r="AP288" s="454"/>
      <c r="AQ288" s="454"/>
      <c r="AR288" s="454"/>
      <c r="AS288" s="454"/>
    </row>
    <row r="289" customFormat="false" ht="10.5" hidden="false" customHeight="false" outlineLevel="0" collapsed="false">
      <c r="A289" s="498" t="n">
        <v>43160</v>
      </c>
      <c r="B289" s="519" t="n">
        <f aca="false">YEAR(A289)</f>
        <v>2018</v>
      </c>
      <c r="C289" s="500" t="n">
        <v>3.932</v>
      </c>
      <c r="D289" s="501" t="n">
        <f aca="false">IF(GasSwitch=0,VLOOKUP($A289,[1]!GasCurve,4),VLOOKUP($A289,[1]!AecoCurve,5))</f>
        <v>3.652</v>
      </c>
      <c r="E289" s="517" t="n">
        <v>-0.0295647442798232</v>
      </c>
      <c r="F289" s="503" t="n">
        <f aca="false">IF(shiftswitch2=1,IF(F288+$D$8*(D289-F288)+($E$8*(F288^$F$8)*E289)+(1-$D$8)*(D289-D288)&lt;0,0.01,F288+$D$8*(D289-F288)+($E$8*(F288^$F$8)*E289)+(1-$D$8)*(D289-D288)),IF(F288+$D$10*(C289-F288)+($E$10*(F288^$F$10)*E289)+(1-$D$10)*(C289-C288)&lt;0,0.01,F288+$D$10*(C289-F288)+($E$10*(F288^$F$10)*E289)+(1-$D$10)*(C289-C288)))</f>
        <v>3.91315902523829</v>
      </c>
      <c r="H289" s="504" t="n">
        <v>21.168</v>
      </c>
      <c r="I289" s="501" t="n">
        <v>21.168</v>
      </c>
      <c r="J289" s="517" t="n">
        <v>0.0402267914768159</v>
      </c>
      <c r="K289" s="503" t="n">
        <f aca="false">IF(shiftswitch2=1,K288+$D$9*(I289-K288)+($E$9*(K288^$F$9)*J289)+(1-$D$9)*(I289-I288),K288+$D$11*(H289-K288)+($E$11*(K288^$F$11)*J289)+(1-$D$11)*(H289-H288))</f>
        <v>21.2180368039114</v>
      </c>
      <c r="AP289" s="454"/>
      <c r="AQ289" s="454"/>
      <c r="AR289" s="454"/>
      <c r="AS289" s="454"/>
    </row>
    <row r="290" customFormat="false" ht="10.5" hidden="false" customHeight="false" outlineLevel="0" collapsed="false">
      <c r="A290" s="498" t="n">
        <v>43191</v>
      </c>
      <c r="B290" s="519" t="n">
        <f aca="false">YEAR(A290)</f>
        <v>2018</v>
      </c>
      <c r="C290" s="500" t="n">
        <v>3.8825</v>
      </c>
      <c r="D290" s="501" t="n">
        <f aca="false">IF(GasSwitch=0,VLOOKUP($A290,[1]!GasCurve,4),VLOOKUP($A290,[1]!AecoCurve,5))</f>
        <v>3.597</v>
      </c>
      <c r="E290" s="517" t="n">
        <v>-0.00215614314781913</v>
      </c>
      <c r="F290" s="503" t="n">
        <f aca="false">IF(shiftswitch2=1,IF(F289+$D$8*(D290-F289)+($E$8*(F289^$F$8)*E290)+(1-$D$8)*(D290-D289)&lt;0,0.01,F289+$D$8*(D290-F289)+($E$8*(F289^$F$8)*E290)+(1-$D$8)*(D290-D289)),IF(F289+$D$10*(C290-F289)+($E$10*(F289^$F$10)*E290)+(1-$D$10)*(C290-C289)&lt;0,0.01,F289+$D$10*(C290-F289)+($E$10*(F289^$F$10)*E290)+(1-$D$10)*(C290-C289)))</f>
        <v>3.86982435521927</v>
      </c>
      <c r="H290" s="504" t="n">
        <v>21.168</v>
      </c>
      <c r="I290" s="501" t="n">
        <v>21.168</v>
      </c>
      <c r="J290" s="517" t="n">
        <v>-0.00717190904007958</v>
      </c>
      <c r="K290" s="503" t="n">
        <f aca="false">IF(shiftswitch2=1,K289+$D$9*(I290-K289)+($E$9*(K289^$F$9)*J290)+(1-$D$9)*(I290-I289),K289+$D$11*(H290-K289)+($E$11*(K289^$F$11)*J290)+(1-$D$11)*(H290-H289))</f>
        <v>21.2011491036815</v>
      </c>
      <c r="AP290" s="454"/>
      <c r="AQ290" s="454"/>
      <c r="AR290" s="454"/>
      <c r="AS290" s="454"/>
    </row>
    <row r="291" customFormat="false" ht="10.5" hidden="false" customHeight="false" outlineLevel="0" collapsed="false">
      <c r="A291" s="498" t="n">
        <v>43221</v>
      </c>
      <c r="B291" s="519" t="n">
        <f aca="false">YEAR(A291)</f>
        <v>2018</v>
      </c>
      <c r="C291" s="500" t="n">
        <v>3.8565</v>
      </c>
      <c r="D291" s="501" t="n">
        <f aca="false">IF(GasSwitch=0,VLOOKUP($A291,[1]!GasCurve,4),VLOOKUP($A291,[1]!AecoCurve,5))</f>
        <v>3.612</v>
      </c>
      <c r="E291" s="517" t="n">
        <v>0.0183547002746105</v>
      </c>
      <c r="F291" s="503" t="n">
        <f aca="false">IF(shiftswitch2=1,IF(F290+$D$8*(D291-F290)+($E$8*(F290^$F$8)*E291)+(1-$D$8)*(D291-D290)&lt;0,0.01,F290+$D$8*(D291-F290)+($E$8*(F290^$F$8)*E291)+(1-$D$8)*(D291-D290)),IF(F290+$D$10*(C291-F290)+($E$10*(F290^$F$10)*E291)+(1-$D$10)*(C291-C290)&lt;0,0.01,F290+$D$10*(C291-F290)+($E$10*(F290^$F$10)*E291)+(1-$D$10)*(C291-C290)))</f>
        <v>3.8601913810326</v>
      </c>
      <c r="H291" s="504" t="n">
        <v>21.168</v>
      </c>
      <c r="I291" s="501" t="n">
        <v>21.168</v>
      </c>
      <c r="J291" s="517" t="n">
        <v>-0.0223499041187672</v>
      </c>
      <c r="K291" s="503" t="n">
        <f aca="false">IF(shiftswitch2=1,K290+$D$9*(I291-K290)+($E$9*(K290^$F$9)*J291)+(1-$D$9)*(I291-I290),K290+$D$11*(H291-K290)+($E$11*(K290^$F$11)*J291)+(1-$D$11)*(H291-H290))</f>
        <v>21.1606771019634</v>
      </c>
      <c r="AP291" s="454"/>
      <c r="AQ291" s="454"/>
      <c r="AR291" s="454"/>
      <c r="AS291" s="454"/>
    </row>
    <row r="292" customFormat="false" ht="10.5" hidden="false" customHeight="false" outlineLevel="0" collapsed="false">
      <c r="A292" s="498" t="n">
        <v>43252</v>
      </c>
      <c r="B292" s="519" t="n">
        <f aca="false">YEAR(A292)</f>
        <v>2018</v>
      </c>
      <c r="C292" s="500" t="n">
        <v>3.8625</v>
      </c>
      <c r="D292" s="501" t="n">
        <f aca="false">IF(GasSwitch=0,VLOOKUP($A292,[1]!GasCurve,4),VLOOKUP($A292,[1]!AecoCurve,5))</f>
        <v>3.636</v>
      </c>
      <c r="E292" s="517" t="n">
        <v>-0.0428642357985363</v>
      </c>
      <c r="F292" s="503" t="n">
        <f aca="false">IF(shiftswitch2=1,IF(F291+$D$8*(D292-F291)+($E$8*(F291^$F$8)*E292)+(1-$D$8)*(D292-D291)&lt;0,0.01,F291+$D$8*(D292-F291)+($E$8*(F291^$F$8)*E292)+(1-$D$8)*(D292-D291)),IF(F291+$D$10*(C292-F291)+($E$10*(F291^$F$10)*E292)+(1-$D$10)*(C292-C291)&lt;0,0.01,F291+$D$10*(C292-F291)+($E$10*(F291^$F$10)*E292)+(1-$D$10)*(C292-C291)))</f>
        <v>3.83831945960031</v>
      </c>
      <c r="H292" s="504" t="n">
        <v>21.168</v>
      </c>
      <c r="I292" s="501" t="n">
        <v>21.168</v>
      </c>
      <c r="J292" s="517" t="n">
        <v>0.0023693906072414</v>
      </c>
      <c r="K292" s="503" t="n">
        <f aca="false">IF(shiftswitch2=1,K291+$D$9*(I292-K291)+($E$9*(K291^$F$9)*J292)+(1-$D$9)*(I292-I291),K291+$D$11*(H292-K291)+($E$11*(K291^$F$11)*J292)+(1-$D$11)*(H292-H291))</f>
        <v>21.1653447348395</v>
      </c>
      <c r="AP292" s="454"/>
      <c r="AQ292" s="454"/>
      <c r="AR292" s="454"/>
      <c r="AS292" s="454"/>
    </row>
    <row r="293" customFormat="false" ht="10.5" hidden="false" customHeight="false" outlineLevel="0" collapsed="false">
      <c r="A293" s="498" t="n">
        <v>43282</v>
      </c>
      <c r="B293" s="519" t="n">
        <f aca="false">YEAR(A293)</f>
        <v>2018</v>
      </c>
      <c r="C293" s="500" t="n">
        <v>3.8725</v>
      </c>
      <c r="D293" s="501" t="n">
        <f aca="false">IF(GasSwitch=0,VLOOKUP($A293,[1]!GasCurve,4),VLOOKUP($A293,[1]!AecoCurve,5))</f>
        <v>3.647</v>
      </c>
      <c r="E293" s="517" t="n">
        <v>-0.0103143627505186</v>
      </c>
      <c r="F293" s="503" t="n">
        <f aca="false">IF(shiftswitch2=1,IF(F292+$D$8*(D293-F292)+($E$8*(F292^$F$8)*E293)+(1-$D$8)*(D293-D292)&lt;0,0.01,F292+$D$8*(D293-F292)+($E$8*(F292^$F$8)*E293)+(1-$D$8)*(D293-D292)),IF(F292+$D$10*(C293-F292)+($E$10*(F292^$F$10)*E293)+(1-$D$10)*(C293-C292)&lt;0,0.01,F292+$D$10*(C293-F292)+($E$10*(F292^$F$10)*E293)+(1-$D$10)*(C293-C292)))</f>
        <v>3.85161309410126</v>
      </c>
      <c r="H293" s="504" t="n">
        <v>21.168</v>
      </c>
      <c r="I293" s="501" t="n">
        <v>21.168</v>
      </c>
      <c r="J293" s="517" t="n">
        <v>0.0243140209902232</v>
      </c>
      <c r="K293" s="503" t="n">
        <f aca="false">IF(shiftswitch2=1,K292+$D$9*(I293-K292)+($E$9*(K292^$F$9)*J293)+(1-$D$9)*(I293-I292),K292+$D$11*(H293-K292)+($E$11*(K292^$F$11)*J293)+(1-$D$11)*(H293-H292))</f>
        <v>21.2060661370181</v>
      </c>
      <c r="AP293" s="454"/>
      <c r="AQ293" s="454"/>
      <c r="AR293" s="454"/>
      <c r="AS293" s="454"/>
    </row>
    <row r="294" customFormat="false" ht="10.5" hidden="false" customHeight="false" outlineLevel="0" collapsed="false">
      <c r="A294" s="498" t="n">
        <v>43313</v>
      </c>
      <c r="B294" s="519" t="n">
        <f aca="false">YEAR(A294)</f>
        <v>2018</v>
      </c>
      <c r="C294" s="500" t="n">
        <v>3.8795</v>
      </c>
      <c r="D294" s="501" t="n">
        <f aca="false">IF(GasSwitch=0,VLOOKUP($A294,[1]!GasCurve,4),VLOOKUP($A294,[1]!AecoCurve,5))</f>
        <v>3.656</v>
      </c>
      <c r="E294" s="517" t="n">
        <v>-0.0441336645438699</v>
      </c>
      <c r="F294" s="503" t="n">
        <f aca="false">IF(shiftswitch2=1,IF(F293+$D$8*(D294-F293)+($E$8*(F293^$F$8)*E294)+(1-$D$8)*(D294-D293)&lt;0,0.01,F293+$D$8*(D294-F293)+($E$8*(F293^$F$8)*E294)+(1-$D$8)*(D294-D293)),IF(F293+$D$10*(C294-F293)+($E$10*(F293^$F$10)*E294)+(1-$D$10)*(C294-C293)&lt;0,0.01,F293+$D$10*(C294-F293)+($E$10*(F293^$F$10)*E294)+(1-$D$10)*(C294-C293)))</f>
        <v>3.83977656962457</v>
      </c>
      <c r="H294" s="504" t="n">
        <v>21.168</v>
      </c>
      <c r="I294" s="501" t="n">
        <v>21.168</v>
      </c>
      <c r="J294" s="517" t="n">
        <v>-0.00285498698325672</v>
      </c>
      <c r="K294" s="503" t="n">
        <f aca="false">IF(shiftswitch2=1,K293+$D$9*(I294-K293)+($E$9*(K293^$F$9)*J294)+(1-$D$9)*(I294-I293),K293+$D$11*(H294-K293)+($E$11*(K293^$F$11)*J294)+(1-$D$11)*(H294-H293))</f>
        <v>21.1975468911132</v>
      </c>
      <c r="AP294" s="454"/>
      <c r="AQ294" s="454"/>
      <c r="AR294" s="454"/>
      <c r="AS294" s="454"/>
    </row>
    <row r="295" customFormat="false" ht="10.5" hidden="false" customHeight="false" outlineLevel="0" collapsed="false">
      <c r="A295" s="498" t="n">
        <v>43344</v>
      </c>
      <c r="B295" s="519" t="n">
        <f aca="false">YEAR(A295)</f>
        <v>2018</v>
      </c>
      <c r="C295" s="500" t="n">
        <v>3.8865</v>
      </c>
      <c r="D295" s="501" t="n">
        <f aca="false">IF(GasSwitch=0,VLOOKUP($A295,[1]!GasCurve,4),VLOOKUP($A295,[1]!AecoCurve,5))</f>
        <v>3.648</v>
      </c>
      <c r="E295" s="517" t="n">
        <v>-0.0448082944139068</v>
      </c>
      <c r="F295" s="503" t="n">
        <f aca="false">IF(shiftswitch2=1,IF(F294+$D$8*(D295-F294)+($E$8*(F294^$F$8)*E295)+(1-$D$8)*(D295-D294)&lt;0,0.01,F294+$D$8*(D295-F294)+($E$8*(F294^$F$8)*E295)+(1-$D$8)*(D295-D294)),IF(F294+$D$10*(C295-F294)+($E$10*(F294^$F$10)*E295)+(1-$D$10)*(C295-C294)&lt;0,0.01,F294+$D$10*(C295-F294)+($E$10*(F294^$F$10)*E295)+(1-$D$10)*(C295-C294)))</f>
        <v>3.83506807009016</v>
      </c>
      <c r="H295" s="504" t="n">
        <v>21.168</v>
      </c>
      <c r="I295" s="501" t="n">
        <v>21.168</v>
      </c>
      <c r="J295" s="517" t="n">
        <v>-0.0367408132589555</v>
      </c>
      <c r="K295" s="503" t="n">
        <f aca="false">IF(shiftswitch2=1,K294+$D$9*(I295-K294)+($E$9*(K294^$F$9)*J295)+(1-$D$9)*(I295-I294),K294+$D$11*(H295-K294)+($E$11*(K294^$F$11)*J295)+(1-$D$11)*(H295-H294))</f>
        <v>21.1334850356301</v>
      </c>
      <c r="AP295" s="454"/>
      <c r="AQ295" s="454"/>
      <c r="AR295" s="454"/>
      <c r="AS295" s="454"/>
    </row>
    <row r="296" customFormat="false" ht="10.5" hidden="false" customHeight="false" outlineLevel="0" collapsed="false">
      <c r="A296" s="498" t="n">
        <v>43374</v>
      </c>
      <c r="B296" s="519" t="n">
        <f aca="false">YEAR(A296)</f>
        <v>2018</v>
      </c>
      <c r="C296" s="500" t="n">
        <v>3.9125</v>
      </c>
      <c r="D296" s="501" t="n">
        <f aca="false">IF(GasSwitch=0,VLOOKUP($A296,[1]!GasCurve,4),VLOOKUP($A296,[1]!AecoCurve,5))</f>
        <v>3.66</v>
      </c>
      <c r="E296" s="517" t="n">
        <v>-0.0505557736687539</v>
      </c>
      <c r="F296" s="503" t="n">
        <f aca="false">IF(shiftswitch2=1,IF(F295+$D$8*(D296-F295)+($E$8*(F295^$F$8)*E296)+(1-$D$8)*(D296-D295)&lt;0,0.01,F295+$D$8*(D296-F295)+($E$8*(F295^$F$8)*E296)+(1-$D$8)*(D296-D295)),IF(F295+$D$10*(C296-F295)+($E$10*(F295^$F$10)*E296)+(1-$D$10)*(C296-C295)&lt;0,0.01,F295+$D$10*(C296-F295)+($E$10*(F295^$F$10)*E296)+(1-$D$10)*(C296-C295)))</f>
        <v>3.85051018484498</v>
      </c>
      <c r="H296" s="504" t="n">
        <v>21.168</v>
      </c>
      <c r="I296" s="501" t="n">
        <v>21.168</v>
      </c>
      <c r="J296" s="517" t="n">
        <v>-0.0745503034032517</v>
      </c>
      <c r="K296" s="503" t="n">
        <f aca="false">IF(shiftswitch2=1,K295+$D$9*(I296-K295)+($E$9*(K295^$F$9)*J296)+(1-$D$9)*(I296-I295),K295+$D$11*(H296-K295)+($E$11*(K295^$F$11)*J296)+(1-$D$11)*(H296-H295))</f>
        <v>21.0128503122397</v>
      </c>
      <c r="AP296" s="454"/>
      <c r="AQ296" s="454"/>
      <c r="AR296" s="454"/>
      <c r="AS296" s="454"/>
    </row>
    <row r="297" customFormat="false" ht="10.5" hidden="false" customHeight="false" outlineLevel="0" collapsed="false">
      <c r="A297" s="498" t="n">
        <v>43405</v>
      </c>
      <c r="B297" s="519" t="n">
        <f aca="false">YEAR(A297)</f>
        <v>2018</v>
      </c>
      <c r="C297" s="500" t="n">
        <v>4.0475</v>
      </c>
      <c r="D297" s="501" t="n">
        <f aca="false">IF(GasSwitch=0,VLOOKUP($A297,[1]!GasCurve,4),VLOOKUP($A297,[1]!AecoCurve,5))</f>
        <v>3.721</v>
      </c>
      <c r="E297" s="517" t="n">
        <v>0.0167644013745679</v>
      </c>
      <c r="F297" s="503" t="n">
        <f aca="false">IF(shiftswitch2=1,IF(F296+$D$8*(D297-F296)+($E$8*(F296^$F$8)*E297)+(1-$D$8)*(D297-D296)&lt;0,0.01,F296+$D$8*(D297-F296)+($E$8*(F296^$F$8)*E297)+(1-$D$8)*(D297-D296)),IF(F296+$D$10*(C297-F296)+($E$10*(F296^$F$10)*E297)+(1-$D$10)*(C297-C296)&lt;0,0.01,F296+$D$10*(C297-F296)+($E$10*(F296^$F$10)*E297)+(1-$D$10)*(C297-C296)))</f>
        <v>4.02050752249206</v>
      </c>
      <c r="H297" s="504" t="n">
        <v>21.168</v>
      </c>
      <c r="I297" s="501" t="n">
        <v>21.168</v>
      </c>
      <c r="J297" s="517" t="n">
        <v>0.0640317311863524</v>
      </c>
      <c r="K297" s="503" t="n">
        <f aca="false">IF(shiftswitch2=1,K296+$D$9*(I297-K296)+($E$9*(K296^$F$9)*J297)+(1-$D$9)*(I297-I296),K296+$D$11*(H297-K296)+($E$11*(K296^$F$11)*J297)+(1-$D$11)*(H297-H296))</f>
        <v>21.134758932022</v>
      </c>
      <c r="AP297" s="454"/>
      <c r="AQ297" s="454"/>
      <c r="AR297" s="454"/>
      <c r="AS297" s="454"/>
    </row>
    <row r="298" customFormat="false" ht="10.5" hidden="false" customHeight="false" outlineLevel="0" collapsed="false">
      <c r="A298" s="498" t="n">
        <v>43435</v>
      </c>
      <c r="B298" s="519" t="n">
        <f aca="false">YEAR(A298)</f>
        <v>2018</v>
      </c>
      <c r="C298" s="500" t="n">
        <v>4.1715</v>
      </c>
      <c r="D298" s="501" t="n">
        <f aca="false">IF(GasSwitch=0,VLOOKUP($A298,[1]!GasCurve,4),VLOOKUP($A298,[1]!AecoCurve,5))</f>
        <v>3.802</v>
      </c>
      <c r="E298" s="517" t="n">
        <v>0.00164235426559053</v>
      </c>
      <c r="F298" s="503" t="n">
        <f aca="false">IF(shiftswitch2=1,IF(F297+$D$8*(D298-F297)+($E$8*(F297^$F$8)*E298)+(1-$D$8)*(D298-D297)&lt;0,0.01,F297+$D$8*(D298-F297)+($E$8*(F297^$F$8)*E298)+(1-$D$8)*(D298-D297)),IF(F297+$D$10*(C298-F297)+($E$10*(F297^$F$10)*E298)+(1-$D$10)*(C298-C297)&lt;0,0.01,F297+$D$10*(C298-F297)+($E$10*(F297^$F$10)*E298)+(1-$D$10)*(C298-C297)))</f>
        <v>4.15628831950387</v>
      </c>
      <c r="H298" s="504" t="n">
        <v>21.168</v>
      </c>
      <c r="I298" s="501" t="n">
        <v>21.168</v>
      </c>
      <c r="J298" s="517" t="n">
        <v>0.0047575829675123</v>
      </c>
      <c r="K298" s="503" t="n">
        <f aca="false">IF(shiftswitch2=1,K297+$D$9*(I298-K297)+($E$9*(K297^$F$9)*J298)+(1-$D$9)*(I298-I297),K297+$D$11*(H298-K297)+($E$11*(K297^$F$11)*J298)+(1-$D$11)*(H298-H297))</f>
        <v>21.1459664158098</v>
      </c>
      <c r="AP298" s="454"/>
      <c r="AQ298" s="454"/>
      <c r="AR298" s="454"/>
      <c r="AS298" s="454"/>
    </row>
    <row r="299" customFormat="false" ht="10.5" hidden="false" customHeight="false" outlineLevel="0" collapsed="false">
      <c r="A299" s="498" t="n">
        <v>43466</v>
      </c>
      <c r="B299" s="519" t="n">
        <f aca="false">YEAR(A299)</f>
        <v>2019</v>
      </c>
      <c r="C299" s="500" t="n">
        <v>4.29</v>
      </c>
      <c r="D299" s="501" t="n">
        <f aca="false">IF(GasSwitch=0,VLOOKUP($A299,[1]!GasCurve,4),VLOOKUP($A299,[1]!AecoCurve,5))</f>
        <v>3.8345</v>
      </c>
      <c r="E299" s="517" t="n">
        <v>-0.0360065550813197</v>
      </c>
      <c r="F299" s="503" t="n">
        <f aca="false">IF(shiftswitch2=1,IF(F298+$D$8*(D299-F298)+($E$8*(F298^$F$8)*E299)+(1-$D$8)*(D299-D298)&lt;0,0.01,F298+$D$8*(D299-F298)+($E$8*(F298^$F$8)*E299)+(1-$D$8)*(D299-D298)),IF(F298+$D$10*(C299-F298)+($E$10*(F298^$F$10)*E299)+(1-$D$10)*(C299-C298)&lt;0,0.01,F298+$D$10*(C299-F298)+($E$10*(F298^$F$10)*E299)+(1-$D$10)*(C299-C298)))</f>
        <v>4.25783267885396</v>
      </c>
      <c r="H299" s="504" t="n">
        <v>21.168</v>
      </c>
      <c r="I299" s="501" t="n">
        <v>21.168</v>
      </c>
      <c r="J299" s="517" t="n">
        <v>-0.00918395379126512</v>
      </c>
      <c r="K299" s="503" t="n">
        <f aca="false">IF(shiftswitch2=1,K298+$D$9*(I299-K298)+($E$9*(K298^$F$9)*J299)+(1-$D$9)*(I299-I298),K298+$D$11*(H299-K298)+($E$11*(K298^$F$11)*J299)+(1-$D$11)*(H299-H298))</f>
        <v>21.132865641536</v>
      </c>
      <c r="AP299" s="454"/>
      <c r="AQ299" s="454"/>
      <c r="AR299" s="454"/>
      <c r="AS299" s="454"/>
    </row>
    <row r="300" customFormat="false" ht="10.5" hidden="false" customHeight="false" outlineLevel="0" collapsed="false">
      <c r="A300" s="498" t="n">
        <v>43497</v>
      </c>
      <c r="B300" s="519" t="n">
        <f aca="false">YEAR(A300)</f>
        <v>2019</v>
      </c>
      <c r="C300" s="500" t="n">
        <v>4.172</v>
      </c>
      <c r="D300" s="501" t="n">
        <f aca="false">IF(GasSwitch=0,VLOOKUP($A300,[1]!GasCurve,4),VLOOKUP($A300,[1]!AecoCurve,5))</f>
        <v>3.7855</v>
      </c>
      <c r="E300" s="517" t="n">
        <v>-0.0106568116901742</v>
      </c>
      <c r="F300" s="503" t="n">
        <f aca="false">IF(shiftswitch2=1,IF(F299+$D$8*(D300-F299)+($E$8*(F299^$F$8)*E300)+(1-$D$8)*(D300-D299)&lt;0,0.01,F299+$D$8*(D300-F299)+($E$8*(F299^$F$8)*E300)+(1-$D$8)*(D300-D299)),IF(F299+$D$10*(C300-F299)+($E$10*(F299^$F$10)*E300)+(1-$D$10)*(C300-C299)&lt;0,0.01,F299+$D$10*(C300-F299)+($E$10*(F299^$F$10)*E300)+(1-$D$10)*(C300-C299)))</f>
        <v>4.14574789894982</v>
      </c>
      <c r="H300" s="504" t="n">
        <v>21.168</v>
      </c>
      <c r="I300" s="501" t="n">
        <v>21.168</v>
      </c>
      <c r="J300" s="517" t="n">
        <v>0.0147539182758076</v>
      </c>
      <c r="K300" s="503" t="n">
        <f aca="false">IF(shiftswitch2=1,K299+$D$9*(I300-K299)+($E$9*(K299^$F$9)*J300)+(1-$D$9)*(I300-I299),K299+$D$11*(H300-K299)+($E$11*(K299^$F$11)*J300)+(1-$D$11)*(H300-H299))</f>
        <v>21.1608944630348</v>
      </c>
      <c r="AP300" s="454"/>
      <c r="AQ300" s="454"/>
      <c r="AR300" s="454"/>
      <c r="AS300" s="454"/>
    </row>
    <row r="301" customFormat="false" ht="10.5" hidden="false" customHeight="false" outlineLevel="0" collapsed="false">
      <c r="A301" s="498" t="n">
        <v>43525</v>
      </c>
      <c r="B301" s="519" t="n">
        <f aca="false">YEAR(A301)</f>
        <v>2019</v>
      </c>
      <c r="C301" s="500" t="n">
        <v>4.052</v>
      </c>
      <c r="D301" s="501" t="n">
        <f aca="false">IF(GasSwitch=0,VLOOKUP($A301,[1]!GasCurve,4),VLOOKUP($A301,[1]!AecoCurve,5))</f>
        <v>3.7185</v>
      </c>
      <c r="E301" s="517" t="n">
        <v>-0.0043835151847908</v>
      </c>
      <c r="F301" s="503" t="n">
        <f aca="false">IF(shiftswitch2=1,IF(F300+$D$8*(D301-F300)+($E$8*(F300^$F$8)*E301)+(1-$D$8)*(D301-D300)&lt;0,0.01,F300+$D$8*(D301-F300)+($E$8*(F300^$F$8)*E301)+(1-$D$8)*(D301-D300)),IF(F300+$D$10*(C301-F300)+($E$10*(F300^$F$10)*E301)+(1-$D$10)*(C301-C300)&lt;0,0.01,F300+$D$10*(C301-F300)+($E$10*(F300^$F$10)*E301)+(1-$D$10)*(C301-C300)))</f>
        <v>4.03340339671057</v>
      </c>
      <c r="H301" s="504" t="n">
        <v>21.168</v>
      </c>
      <c r="I301" s="501" t="n">
        <v>21.168</v>
      </c>
      <c r="J301" s="517" t="n">
        <v>0.0564889798273106</v>
      </c>
      <c r="K301" s="503" t="n">
        <f aca="false">IF(shiftswitch2=1,K300+$D$9*(I301-K300)+($E$9*(K300^$F$9)*J301)+(1-$D$9)*(I301-I300),K300+$D$11*(H301-K300)+($E$11*(K300^$F$11)*J301)+(1-$D$11)*(H301-H300))</f>
        <v>21.255595573627</v>
      </c>
      <c r="AP301" s="454"/>
      <c r="AQ301" s="454"/>
      <c r="AR301" s="454"/>
      <c r="AS301" s="454"/>
    </row>
    <row r="302" customFormat="false" ht="10.5" hidden="false" customHeight="false" outlineLevel="0" collapsed="false">
      <c r="A302" s="498" t="n">
        <v>43556</v>
      </c>
      <c r="B302" s="519" t="n">
        <f aca="false">YEAR(A302)</f>
        <v>2019</v>
      </c>
      <c r="C302" s="500" t="n">
        <v>4.0025</v>
      </c>
      <c r="D302" s="501" t="n">
        <f aca="false">IF(GasSwitch=0,VLOOKUP($A302,[1]!GasCurve,4),VLOOKUP($A302,[1]!AecoCurve,5))</f>
        <v>3.6665</v>
      </c>
      <c r="E302" s="517" t="n">
        <v>0.00435827507732124</v>
      </c>
      <c r="F302" s="503" t="n">
        <f aca="false">IF(shiftswitch2=1,IF(F301+$D$8*(D302-F301)+($E$8*(F301^$F$8)*E302)+(1-$D$8)*(D302-D301)&lt;0,0.01,F301+$D$8*(D302-F301)+($E$8*(F301^$F$8)*E302)+(1-$D$8)*(D302-D301)),IF(F301+$D$10*(C302-F301)+($E$10*(F301^$F$10)*E302)+(1-$D$10)*(C302-C301)&lt;0,0.01,F301+$D$10*(C302-F301)+($E$10*(F301^$F$10)*E302)+(1-$D$10)*(C302-C301)))</f>
        <v>3.99405258881808</v>
      </c>
      <c r="H302" s="504" t="n">
        <v>21.168</v>
      </c>
      <c r="I302" s="501" t="n">
        <v>21.168</v>
      </c>
      <c r="J302" s="517" t="n">
        <v>-0.0265453261894599</v>
      </c>
      <c r="K302" s="503" t="n">
        <f aca="false">IF(shiftswitch2=1,K301+$D$9*(I302-K301)+($E$9*(K301^$F$9)*J302)+(1-$D$9)*(I302-I301),K301+$D$11*(H302-K301)+($E$11*(K301^$F$11)*J302)+(1-$D$11)*(H302-H301))</f>
        <v>21.2027521890587</v>
      </c>
      <c r="AP302" s="454"/>
      <c r="AQ302" s="454"/>
      <c r="AR302" s="454"/>
      <c r="AS302" s="454"/>
    </row>
    <row r="303" customFormat="false" ht="10.5" hidden="false" customHeight="false" outlineLevel="0" collapsed="false">
      <c r="A303" s="498" t="n">
        <v>43586</v>
      </c>
      <c r="B303" s="519" t="n">
        <f aca="false">YEAR(A303)</f>
        <v>2019</v>
      </c>
      <c r="C303" s="500" t="n">
        <v>3.9765</v>
      </c>
      <c r="D303" s="501" t="n">
        <f aca="false">IF(GasSwitch=0,VLOOKUP($A303,[1]!GasCurve,4),VLOOKUP($A303,[1]!AecoCurve,5))</f>
        <v>3.6825</v>
      </c>
      <c r="E303" s="517" t="n">
        <v>0.0117260930073964</v>
      </c>
      <c r="F303" s="503" t="n">
        <f aca="false">IF(shiftswitch2=1,IF(F302+$D$8*(D303-F302)+($E$8*(F302^$F$8)*E303)+(1-$D$8)*(D303-D302)&lt;0,0.01,F302+$D$8*(D303-F302)+($E$8*(F302^$F$8)*E303)+(1-$D$8)*(D303-D302)),IF(F302+$D$10*(C303-F302)+($E$10*(F302^$F$10)*E303)+(1-$D$10)*(C303-C302)&lt;0,0.01,F302+$D$10*(C303-F302)+($E$10*(F302^$F$10)*E303)+(1-$D$10)*(C303-C302)))</f>
        <v>3.97876314036871</v>
      </c>
      <c r="H303" s="504" t="n">
        <v>21.168</v>
      </c>
      <c r="I303" s="501" t="n">
        <v>21.168</v>
      </c>
      <c r="J303" s="517" t="n">
        <v>-0.043817538592154</v>
      </c>
      <c r="K303" s="503" t="n">
        <f aca="false">IF(shiftswitch2=1,K302+$D$9*(I303-K302)+($E$9*(K302^$F$9)*J303)+(1-$D$9)*(I303-I302),K302+$D$11*(H303-K302)+($E$11*(K302^$F$11)*J303)+(1-$D$11)*(H303-H302))</f>
        <v>21.1263993381246</v>
      </c>
      <c r="AP303" s="454"/>
      <c r="AQ303" s="454"/>
      <c r="AR303" s="454"/>
      <c r="AS303" s="454"/>
    </row>
    <row r="304" customFormat="false" ht="10.5" hidden="false" customHeight="false" outlineLevel="0" collapsed="false">
      <c r="A304" s="498" t="n">
        <v>43617</v>
      </c>
      <c r="B304" s="519" t="n">
        <f aca="false">YEAR(A304)</f>
        <v>2019</v>
      </c>
      <c r="C304" s="500" t="n">
        <v>3.9825</v>
      </c>
      <c r="D304" s="501" t="n">
        <f aca="false">IF(GasSwitch=0,VLOOKUP($A304,[1]!GasCurve,4),VLOOKUP($A304,[1]!AecoCurve,5))</f>
        <v>3.7075</v>
      </c>
      <c r="E304" s="517" t="n">
        <v>0.0644031713587322</v>
      </c>
      <c r="F304" s="503" t="n">
        <f aca="false">IF(shiftswitch2=1,IF(F303+$D$8*(D304-F303)+($E$8*(F303^$F$8)*E304)+(1-$D$8)*(D304-D303)&lt;0,0.01,F303+$D$8*(D304-F303)+($E$8*(F303^$F$8)*E304)+(1-$D$8)*(D304-D303)),IF(F303+$D$10*(C304-F303)+($E$10*(F303^$F$10)*E304)+(1-$D$10)*(C304-C303)&lt;0,0.01,F303+$D$10*(C304-F303)+($E$10*(F303^$F$10)*E304)+(1-$D$10)*(C304-C303)))</f>
        <v>4.02413540851435</v>
      </c>
      <c r="H304" s="504" t="n">
        <v>21.168</v>
      </c>
      <c r="I304" s="501" t="n">
        <v>21.168</v>
      </c>
      <c r="J304" s="517" t="n">
        <v>-0.0403703767263085</v>
      </c>
      <c r="K304" s="503" t="n">
        <f aca="false">IF(shiftswitch2=1,K303+$D$9*(I304-K303)+($E$9*(K303^$F$9)*J304)+(1-$D$9)*(I304-I303),K303+$D$11*(H304-K303)+($E$11*(K303^$F$11)*J304)+(1-$D$11)*(H304-H303))</f>
        <v>21.0633414967776</v>
      </c>
      <c r="AP304" s="454"/>
      <c r="AQ304" s="454"/>
      <c r="AR304" s="454"/>
      <c r="AS304" s="454"/>
    </row>
    <row r="305" customFormat="false" ht="10.5" hidden="false" customHeight="false" outlineLevel="0" collapsed="false">
      <c r="A305" s="498" t="n">
        <v>43647</v>
      </c>
      <c r="B305" s="519" t="n">
        <f aca="false">YEAR(A305)</f>
        <v>2019</v>
      </c>
      <c r="C305" s="500" t="n">
        <v>3.9925</v>
      </c>
      <c r="D305" s="501" t="n">
        <f aca="false">IF(GasSwitch=0,VLOOKUP($A305,[1]!GasCurve,4),VLOOKUP($A305,[1]!AecoCurve,5))</f>
        <v>3.7185</v>
      </c>
      <c r="E305" s="517" t="n">
        <v>0.00103581268635865</v>
      </c>
      <c r="F305" s="503" t="n">
        <f aca="false">IF(shiftswitch2=1,IF(F304+$D$8*(D305-F304)+($E$8*(F304^$F$8)*E305)+(1-$D$8)*(D305-D304)&lt;0,0.01,F304+$D$8*(D305-F304)+($E$8*(F304^$F$8)*E305)+(1-$D$8)*(D305-D304)),IF(F304+$D$10*(C305-F304)+($E$10*(F304^$F$10)*E305)+(1-$D$10)*(C305-C304)&lt;0,0.01,F304+$D$10*(C305-F304)+($E$10*(F304^$F$10)*E305)+(1-$D$10)*(C305-C304)))</f>
        <v>4.01820759980792</v>
      </c>
      <c r="H305" s="504" t="n">
        <v>21.168</v>
      </c>
      <c r="I305" s="501" t="n">
        <v>21.168</v>
      </c>
      <c r="J305" s="517" t="n">
        <v>-0.0229711161008938</v>
      </c>
      <c r="K305" s="503" t="n">
        <f aca="false">IF(shiftswitch2=1,K304+$D$9*(I305-K304)+($E$9*(K304^$F$9)*J305)+(1-$D$9)*(I305-I304),K304+$D$11*(H305-K304)+($E$11*(K304^$F$11)*J305)+(1-$D$11)*(H305-H304))</f>
        <v>21.0354787514048</v>
      </c>
      <c r="AP305" s="454"/>
      <c r="AQ305" s="454"/>
      <c r="AR305" s="454"/>
      <c r="AS305" s="454"/>
    </row>
    <row r="306" customFormat="false" ht="10.5" hidden="false" customHeight="false" outlineLevel="0" collapsed="false">
      <c r="A306" s="498" t="n">
        <v>43678</v>
      </c>
      <c r="B306" s="519" t="n">
        <f aca="false">YEAR(A306)</f>
        <v>2019</v>
      </c>
      <c r="C306" s="500" t="n">
        <v>3.9995</v>
      </c>
      <c r="D306" s="501" t="n">
        <f aca="false">IF(GasSwitch=0,VLOOKUP($A306,[1]!GasCurve,4),VLOOKUP($A306,[1]!AecoCurve,5))</f>
        <v>3.7275</v>
      </c>
      <c r="E306" s="517" t="n">
        <v>0.0112566511122168</v>
      </c>
      <c r="F306" s="503" t="n">
        <f aca="false">IF(shiftswitch2=1,IF(F305+$D$8*(D306-F305)+($E$8*(F305^$F$8)*E306)+(1-$D$8)*(D306-D305)&lt;0,0.01,F305+$D$8*(D306-F305)+($E$8*(F305^$F$8)*E306)+(1-$D$8)*(D306-D305)),IF(F305+$D$10*(C306-F305)+($E$10*(F305^$F$10)*E306)+(1-$D$10)*(C306-C305)&lt;0,0.01,F305+$D$10*(C306-F305)+($E$10*(F305^$F$10)*E306)+(1-$D$10)*(C306-C305)))</f>
        <v>4.02204479904684</v>
      </c>
      <c r="H306" s="504" t="n">
        <v>21.168</v>
      </c>
      <c r="I306" s="501" t="n">
        <v>21.168</v>
      </c>
      <c r="J306" s="517" t="n">
        <v>0.0319572984880751</v>
      </c>
      <c r="K306" s="503" t="n">
        <f aca="false">IF(shiftswitch2=1,K305+$D$9*(I306-K305)+($E$9*(K305^$F$9)*J306)+(1-$D$9)*(I306-I305),K305+$D$11*(H306-K305)+($E$11*(K305^$F$11)*J306)+(1-$D$11)*(H306-H305))</f>
        <v>21.1017752996999</v>
      </c>
      <c r="AP306" s="454"/>
      <c r="AQ306" s="454"/>
      <c r="AR306" s="454"/>
      <c r="AS306" s="454"/>
    </row>
    <row r="307" customFormat="false" ht="10.5" hidden="false" customHeight="false" outlineLevel="0" collapsed="false">
      <c r="A307" s="498" t="n">
        <v>43709</v>
      </c>
      <c r="B307" s="519" t="n">
        <f aca="false">YEAR(A307)</f>
        <v>2019</v>
      </c>
      <c r="C307" s="500" t="n">
        <v>4.0065</v>
      </c>
      <c r="D307" s="501" t="n">
        <f aca="false">IF(GasSwitch=0,VLOOKUP($A307,[1]!GasCurve,4),VLOOKUP($A307,[1]!AecoCurve,5))</f>
        <v>3.7185</v>
      </c>
      <c r="E307" s="517" t="n">
        <v>-0.0724862208050116</v>
      </c>
      <c r="F307" s="503" t="n">
        <f aca="false">IF(shiftswitch2=1,IF(F306+$D$8*(D307-F306)+($E$8*(F306^$F$8)*E307)+(1-$D$8)*(D307-D306)&lt;0,0.01,F306+$D$8*(D307-F306)+($E$8*(F306^$F$8)*E307)+(1-$D$8)*(D307-D306)),IF(F306+$D$10*(C307-F306)+($E$10*(F306^$F$10)*E307)+(1-$D$10)*(C307-C306)&lt;0,0.01,F306+$D$10*(C307-F306)+($E$10*(F306^$F$10)*E307)+(1-$D$10)*(C307-C306)))</f>
        <v>3.97449353282748</v>
      </c>
      <c r="H307" s="504" t="n">
        <v>21.168</v>
      </c>
      <c r="I307" s="501" t="n">
        <v>21.168</v>
      </c>
      <c r="J307" s="517" t="n">
        <v>-0.0531304839991613</v>
      </c>
      <c r="K307" s="503" t="n">
        <f aca="false">IF(shiftswitch2=1,K306+$D$9*(I307-K306)+($E$9*(K306^$F$9)*J307)+(1-$D$9)*(I307-I306),K306+$D$11*(H307-K306)+($E$11*(K306^$F$11)*J307)+(1-$D$11)*(H307-H306))</f>
        <v>21.019922419655</v>
      </c>
      <c r="AP307" s="454"/>
      <c r="AQ307" s="454"/>
      <c r="AR307" s="454"/>
      <c r="AS307" s="454"/>
    </row>
    <row r="308" customFormat="false" ht="10.5" hidden="false" customHeight="false" outlineLevel="0" collapsed="false">
      <c r="A308" s="498" t="n">
        <v>43739</v>
      </c>
      <c r="B308" s="519" t="n">
        <f aca="false">YEAR(A308)</f>
        <v>2019</v>
      </c>
      <c r="C308" s="500" t="n">
        <v>4.0325</v>
      </c>
      <c r="D308" s="501" t="n">
        <f aca="false">IF(GasSwitch=0,VLOOKUP($A308,[1]!GasCurve,4),VLOOKUP($A308,[1]!AecoCurve,5))</f>
        <v>3.7295</v>
      </c>
      <c r="E308" s="517" t="n">
        <v>0.027759757498213</v>
      </c>
      <c r="F308" s="503" t="n">
        <f aca="false">IF(shiftswitch2=1,IF(F307+$D$8*(D308-F307)+($E$8*(F307^$F$8)*E308)+(1-$D$8)*(D308-D307)&lt;0,0.01,F307+$D$8*(D308-F307)+($E$8*(F307^$F$8)*E308)+(1-$D$8)*(D308-D307)),IF(F307+$D$10*(C308-F307)+($E$10*(F307^$F$10)*E308)+(1-$D$10)*(C308-C307)&lt;0,0.01,F307+$D$10*(C308-F307)+($E$10*(F307^$F$10)*E308)+(1-$D$10)*(C308-C307)))</f>
        <v>4.0305882935775</v>
      </c>
      <c r="H308" s="504" t="n">
        <v>21.168</v>
      </c>
      <c r="I308" s="501" t="n">
        <v>21.168</v>
      </c>
      <c r="J308" s="517" t="n">
        <v>0.0307718276749945</v>
      </c>
      <c r="K308" s="503" t="n">
        <f aca="false">IF(shiftswitch2=1,K307+$D$9*(I308-K307)+($E$9*(K307^$F$9)*J308)+(1-$D$9)*(I308-I307),K307+$D$11*(H308-K307)+($E$11*(K307^$F$11)*J308)+(1-$D$11)*(H308-H307))</f>
        <v>21.0857864213603</v>
      </c>
      <c r="AP308" s="454"/>
      <c r="AQ308" s="454"/>
      <c r="AR308" s="454"/>
      <c r="AS308" s="454"/>
    </row>
    <row r="309" customFormat="false" ht="10.5" hidden="false" customHeight="false" outlineLevel="0" collapsed="false">
      <c r="A309" s="498" t="n">
        <v>43770</v>
      </c>
      <c r="B309" s="519" t="n">
        <f aca="false">YEAR(A309)</f>
        <v>2019</v>
      </c>
      <c r="C309" s="500" t="n">
        <v>4.1675</v>
      </c>
      <c r="D309" s="501" t="n">
        <f aca="false">IF(GasSwitch=0,VLOOKUP($A309,[1]!GasCurve,4),VLOOKUP($A309,[1]!AecoCurve,5))</f>
        <v>3.7855</v>
      </c>
      <c r="E309" s="517" t="n">
        <v>0.00328982660188547</v>
      </c>
      <c r="F309" s="503" t="n">
        <f aca="false">IF(shiftswitch2=1,IF(F308+$D$8*(D309-F308)+($E$8*(F308^$F$8)*E309)+(1-$D$8)*(D309-D308)&lt;0,0.01,F308+$D$8*(D309-F308)+($E$8*(F308^$F$8)*E309)+(1-$D$8)*(D309-D308)),IF(F308+$D$10*(C309-F308)+($E$10*(F308^$F$10)*E309)+(1-$D$10)*(C309-C308)&lt;0,0.01,F308+$D$10*(C309-F308)+($E$10*(F308^$F$10)*E309)+(1-$D$10)*(C309-C308)))</f>
        <v>4.1684201282243</v>
      </c>
      <c r="H309" s="504" t="n">
        <v>21.168</v>
      </c>
      <c r="I309" s="501" t="n">
        <v>21.168</v>
      </c>
      <c r="J309" s="517" t="n">
        <v>-0.00555152595192853</v>
      </c>
      <c r="K309" s="503" t="n">
        <f aca="false">IF(shiftswitch2=1,K308+$D$9*(I309-K308)+($E$9*(K308^$F$9)*J309)+(1-$D$9)*(I309-I308),K308+$D$11*(H309-K308)+($E$11*(K308^$F$11)*J309)+(1-$D$11)*(H309-H308))</f>
        <v>21.0846878264616</v>
      </c>
      <c r="AP309" s="454"/>
      <c r="AQ309" s="454"/>
      <c r="AR309" s="454"/>
      <c r="AS309" s="454"/>
    </row>
    <row r="310" customFormat="false" ht="10.5" hidden="false" customHeight="false" outlineLevel="0" collapsed="false">
      <c r="A310" s="498" t="n">
        <v>43800</v>
      </c>
      <c r="B310" s="519" t="n">
        <f aca="false">YEAR(A310)</f>
        <v>2019</v>
      </c>
      <c r="C310" s="500" t="n">
        <v>4.2915</v>
      </c>
      <c r="D310" s="501" t="n">
        <f aca="false">IF(GasSwitch=0,VLOOKUP($A310,[1]!GasCurve,4),VLOOKUP($A310,[1]!AecoCurve,5))</f>
        <v>3.8635</v>
      </c>
      <c r="E310" s="517" t="n">
        <v>-0.0249839796741215</v>
      </c>
      <c r="F310" s="503" t="n">
        <f aca="false">IF(shiftswitch2=1,IF(F309+$D$8*(D310-F309)+($E$8*(F309^$F$8)*E310)+(1-$D$8)*(D310-D309)&lt;0,0.01,F309+$D$8*(D310-F309)+($E$8*(F309^$F$8)*E310)+(1-$D$8)*(D310-D309)),IF(F309+$D$10*(C310-F309)+($E$10*(F309^$F$10)*E310)+(1-$D$10)*(C310-C309)&lt;0,0.01,F309+$D$10*(C310-F309)+($E$10*(F309^$F$10)*E310)+(1-$D$10)*(C310-C309)))</f>
        <v>4.27606239139436</v>
      </c>
      <c r="H310" s="504" t="n">
        <v>21.168</v>
      </c>
      <c r="I310" s="501" t="n">
        <v>21.168</v>
      </c>
      <c r="J310" s="517" t="n">
        <v>0.0408467654098495</v>
      </c>
      <c r="K310" s="503" t="n">
        <f aca="false">IF(shiftswitch2=1,K309+$D$9*(I310-K309)+($E$9*(K309^$F$9)*J310)+(1-$D$9)*(I310-I309),K309+$D$11*(H310-K309)+($E$11*(K309^$F$11)*J310)+(1-$D$11)*(H310-H309))</f>
        <v>21.1609047492839</v>
      </c>
      <c r="AP310" s="454"/>
      <c r="AQ310" s="454"/>
      <c r="AR310" s="454"/>
      <c r="AS310" s="454"/>
    </row>
    <row r="311" customFormat="false" ht="10.5" hidden="false" customHeight="false" outlineLevel="0" collapsed="false">
      <c r="A311" s="498" t="n">
        <v>43831</v>
      </c>
      <c r="B311" s="519" t="n">
        <f aca="false">YEAR(A311)</f>
        <v>2020</v>
      </c>
      <c r="C311" s="500" t="n">
        <v>4.415</v>
      </c>
      <c r="D311" s="501" t="n">
        <f aca="false">IF(GasSwitch=0,VLOOKUP($A311,[1]!GasCurve,4),VLOOKUP($A311,[1]!AecoCurve,5))</f>
        <v>3.894</v>
      </c>
      <c r="E311" s="517" t="n">
        <v>0.0105547804700573</v>
      </c>
      <c r="F311" s="503" t="n">
        <f aca="false">IF(shiftswitch2=1,IF(F310+$D$8*(D311-F310)+($E$8*(F310^$F$8)*E311)+(1-$D$8)*(D311-D310)&lt;0,0.01,F310+$D$8*(D311-F310)+($E$8*(F310^$F$8)*E311)+(1-$D$8)*(D311-D310)),IF(F310+$D$10*(C311-F310)+($E$10*(F310^$F$10)*E311)+(1-$D$10)*(C311-C310)&lt;0,0.01,F310+$D$10*(C311-F310)+($E$10*(F310^$F$10)*E311)+(1-$D$10)*(C311-C310)))</f>
        <v>4.41255205198748</v>
      </c>
      <c r="H311" s="504" t="n">
        <v>21.168</v>
      </c>
      <c r="I311" s="501" t="n">
        <v>21.168</v>
      </c>
      <c r="J311" s="517" t="n">
        <v>0.0338732648315252</v>
      </c>
      <c r="K311" s="503" t="n">
        <f aca="false">IF(shiftswitch2=1,K310+$D$9*(I311-K310)+($E$9*(K310^$F$9)*J311)+(1-$D$9)*(I311-I310),K310+$D$11*(H311-K310)+($E$11*(K310^$F$11)*J311)+(1-$D$11)*(H311-H310))</f>
        <v>21.2179722917845</v>
      </c>
      <c r="AP311" s="454"/>
      <c r="AQ311" s="454"/>
      <c r="AR311" s="454"/>
      <c r="AS311" s="454"/>
    </row>
    <row r="312" customFormat="false" ht="10.5" hidden="false" customHeight="false" outlineLevel="0" collapsed="false">
      <c r="A312" s="498" t="n">
        <v>43862</v>
      </c>
      <c r="B312" s="519" t="n">
        <f aca="false">YEAR(A312)</f>
        <v>2020</v>
      </c>
      <c r="C312" s="500" t="n">
        <v>4.297</v>
      </c>
      <c r="D312" s="501" t="n">
        <f aca="false">IF(GasSwitch=0,VLOOKUP($A312,[1]!GasCurve,4),VLOOKUP($A312,[1]!AecoCurve,5))</f>
        <v>3.849</v>
      </c>
      <c r="E312" s="517" t="n">
        <v>0.0309549127397884</v>
      </c>
      <c r="F312" s="503" t="n">
        <f aca="false">IF(shiftswitch2=1,IF(F311+$D$8*(D312-F311)+($E$8*(F311^$F$8)*E312)+(1-$D$8)*(D312-D311)&lt;0,0.01,F311+$D$8*(D312-F311)+($E$8*(F311^$F$8)*E312)+(1-$D$8)*(D312-D311)),IF(F311+$D$10*(C312-F311)+($E$10*(F311^$F$10)*E312)+(1-$D$10)*(C312-C311)&lt;0,0.01,F311+$D$10*(C312-F311)+($E$10*(F311^$F$10)*E312)+(1-$D$10)*(C312-C311)))</f>
        <v>4.31591188751268</v>
      </c>
      <c r="H312" s="504" t="n">
        <v>21.168</v>
      </c>
      <c r="I312" s="501" t="n">
        <v>21.168</v>
      </c>
      <c r="J312" s="517" t="n">
        <v>0.00313027527183861</v>
      </c>
      <c r="K312" s="503" t="n">
        <f aca="false">IF(shiftswitch2=1,K311+$D$9*(I312-K311)+($E$9*(K311^$F$9)*J312)+(1-$D$9)*(I312-I311),K311+$D$11*(H312-K311)+($E$11*(K311^$F$11)*J312)+(1-$D$11)*(H312-H311))</f>
        <v>21.2182338129501</v>
      </c>
      <c r="AP312" s="454"/>
      <c r="AQ312" s="454"/>
      <c r="AR312" s="454"/>
      <c r="AS312" s="454"/>
    </row>
    <row r="313" customFormat="false" ht="10.5" hidden="false" customHeight="false" outlineLevel="0" collapsed="false">
      <c r="A313" s="498" t="n">
        <v>43891</v>
      </c>
      <c r="B313" s="519" t="n">
        <f aca="false">YEAR(A313)</f>
        <v>2020</v>
      </c>
      <c r="C313" s="500" t="n">
        <v>4.177</v>
      </c>
      <c r="D313" s="501" t="n">
        <f aca="false">IF(GasSwitch=0,VLOOKUP($A313,[1]!GasCurve,4),VLOOKUP($A313,[1]!AecoCurve,5))</f>
        <v>3.785</v>
      </c>
      <c r="E313" s="517" t="n">
        <v>0.0249037708432894</v>
      </c>
      <c r="F313" s="503" t="n">
        <f aca="false">IF(shiftswitch2=1,IF(F312+$D$8*(D313-F312)+($E$8*(F312^$F$8)*E313)+(1-$D$8)*(D313-D312)&lt;0,0.01,F312+$D$8*(D313-F312)+($E$8*(F312^$F$8)*E313)+(1-$D$8)*(D313-D312)),IF(F312+$D$10*(C313-F312)+($E$10*(F312^$F$10)*E313)+(1-$D$10)*(C313-C312)&lt;0,0.01,F312+$D$10*(C313-F312)+($E$10*(F312^$F$10)*E313)+(1-$D$10)*(C313-C312)))</f>
        <v>4.20460072915616</v>
      </c>
      <c r="H313" s="504" t="n">
        <v>21.168</v>
      </c>
      <c r="I313" s="501" t="n">
        <v>21.168</v>
      </c>
      <c r="J313" s="517" t="n">
        <v>-0.00593738320201366</v>
      </c>
      <c r="K313" s="503" t="n">
        <f aca="false">IF(shiftswitch2=1,K312+$D$9*(I313-K312)+($E$9*(K312^$F$9)*J313)+(1-$D$9)*(I313-I312),K312+$D$11*(H313-K312)+($E$11*(K312^$F$11)*J313)+(1-$D$11)*(H313-H312))</f>
        <v>21.2033808598199</v>
      </c>
      <c r="AP313" s="454"/>
      <c r="AQ313" s="454"/>
      <c r="AR313" s="454"/>
      <c r="AS313" s="454"/>
    </row>
    <row r="314" customFormat="false" ht="10.5" hidden="false" customHeight="false" outlineLevel="0" collapsed="false">
      <c r="A314" s="498" t="n">
        <v>43922</v>
      </c>
      <c r="B314" s="519" t="n">
        <f aca="false">YEAR(A314)</f>
        <v>2020</v>
      </c>
      <c r="C314" s="500" t="n">
        <v>4.1275</v>
      </c>
      <c r="D314" s="501" t="n">
        <f aca="false">IF(GasSwitch=0,VLOOKUP($A314,[1]!GasCurve,4),VLOOKUP($A314,[1]!AecoCurve,5))</f>
        <v>3.736</v>
      </c>
      <c r="E314" s="517" t="n">
        <v>-0.0188702769846264</v>
      </c>
      <c r="F314" s="503" t="n">
        <f aca="false">IF(shiftswitch2=1,IF(F313+$D$8*(D314-F313)+($E$8*(F313^$F$8)*E314)+(1-$D$8)*(D314-D313)&lt;0,0.01,F313+$D$8*(D314-F313)+($E$8*(F313^$F$8)*E314)+(1-$D$8)*(D314-D313)),IF(F313+$D$10*(C314-F313)+($E$10*(F313^$F$10)*E314)+(1-$D$10)*(C314-C313)&lt;0,0.01,F313+$D$10*(C314-F313)+($E$10*(F313^$F$10)*E314)+(1-$D$10)*(C314-C313)))</f>
        <v>4.13197963281149</v>
      </c>
      <c r="H314" s="504" t="n">
        <v>21.168</v>
      </c>
      <c r="I314" s="501" t="n">
        <v>21.168</v>
      </c>
      <c r="J314" s="517" t="n">
        <v>-0.00868436594241983</v>
      </c>
      <c r="K314" s="503" t="n">
        <f aca="false">IF(shiftswitch2=1,K313+$D$9*(I314-K313)+($E$9*(K313^$F$9)*J314)+(1-$D$9)*(I314-I313),K313+$D$11*(H314-K313)+($E$11*(K313^$F$11)*J314)+(1-$D$11)*(H314-H313))</f>
        <v>21.1854273697696</v>
      </c>
      <c r="AP314" s="454"/>
      <c r="AQ314" s="454"/>
      <c r="AR314" s="454"/>
      <c r="AS314" s="454"/>
    </row>
    <row r="315" customFormat="false" ht="10.5" hidden="false" customHeight="false" outlineLevel="0" collapsed="false">
      <c r="A315" s="498" t="n">
        <v>43952</v>
      </c>
      <c r="B315" s="519" t="n">
        <f aca="false">YEAR(A315)</f>
        <v>2020</v>
      </c>
      <c r="C315" s="500" t="n">
        <v>4.1015</v>
      </c>
      <c r="D315" s="501" t="n">
        <f aca="false">IF(GasSwitch=0,VLOOKUP($A315,[1]!GasCurve,4),VLOOKUP($A315,[1]!AecoCurve,5))</f>
        <v>3.753</v>
      </c>
      <c r="E315" s="517" t="n">
        <v>-0.00290991218926879</v>
      </c>
      <c r="F315" s="503" t="n">
        <f aca="false">IF(shiftswitch2=1,IF(F314+$D$8*(D315-F314)+($E$8*(F314^$F$8)*E315)+(1-$D$8)*(D315-D314)&lt;0,0.01,F314+$D$8*(D315-F314)+($E$8*(F314^$F$8)*E315)+(1-$D$8)*(D315-D314)),IF(F314+$D$10*(C315-F314)+($E$10*(F314^$F$10)*E315)+(1-$D$10)*(C315-C314)&lt;0,0.01,F314+$D$10*(C315-F314)+($E$10*(F314^$F$10)*E315)+(1-$D$10)*(C315-C314)))</f>
        <v>4.10234147250371</v>
      </c>
      <c r="H315" s="504" t="n">
        <v>21.168</v>
      </c>
      <c r="I315" s="501" t="n">
        <v>21.168</v>
      </c>
      <c r="J315" s="517" t="n">
        <v>-0.0588353050558086</v>
      </c>
      <c r="K315" s="503" t="n">
        <f aca="false">IF(shiftswitch2=1,K314+$D$9*(I315-K314)+($E$9*(K314^$F$9)*J315)+(1-$D$9)*(I315-I314),K314+$D$11*(H315-K314)+($E$11*(K314^$F$11)*J315)+(1-$D$11)*(H315-H314))</f>
        <v>21.0858001125495</v>
      </c>
      <c r="AP315" s="454"/>
      <c r="AQ315" s="454"/>
      <c r="AR315" s="454"/>
      <c r="AS315" s="454"/>
    </row>
    <row r="316" customFormat="false" ht="10.5" hidden="false" customHeight="false" outlineLevel="0" collapsed="false">
      <c r="A316" s="498" t="n">
        <v>43983</v>
      </c>
      <c r="B316" s="519" t="n">
        <f aca="false">YEAR(A316)</f>
        <v>2020</v>
      </c>
      <c r="C316" s="500" t="n">
        <v>4.1075</v>
      </c>
      <c r="D316" s="501" t="n">
        <f aca="false">IF(GasSwitch=0,VLOOKUP($A316,[1]!GasCurve,4),VLOOKUP($A316,[1]!AecoCurve,5))</f>
        <v>3.779</v>
      </c>
      <c r="E316" s="517" t="n">
        <v>0.0500738984962511</v>
      </c>
      <c r="F316" s="503" t="n">
        <f aca="false">IF(shiftswitch2=1,IF(F315+$D$8*(D316-F315)+($E$8*(F315^$F$8)*E316)+(1-$D$8)*(D316-D315)&lt;0,0.01,F315+$D$8*(D316-F315)+($E$8*(F315^$F$8)*E316)+(1-$D$8)*(D316-D315)),IF(F315+$D$10*(C316-F315)+($E$10*(F315^$F$10)*E316)+(1-$D$10)*(C316-C315)&lt;0,0.01,F315+$D$10*(C316-F315)+($E$10*(F315^$F$10)*E316)+(1-$D$10)*(C316-C315)))</f>
        <v>4.13980183919629</v>
      </c>
      <c r="H316" s="504" t="n">
        <v>21.168</v>
      </c>
      <c r="I316" s="501" t="n">
        <v>21.168</v>
      </c>
      <c r="J316" s="517" t="n">
        <v>-0.00475848617309411</v>
      </c>
      <c r="K316" s="503" t="n">
        <f aca="false">IF(shiftswitch2=1,K315+$D$9*(I316-K315)+($E$9*(K315^$F$9)*J316)+(1-$D$9)*(I316-I315),K315+$D$11*(H316-K315)+($E$11*(K315^$F$11)*J316)+(1-$D$11)*(H316-H315))</f>
        <v>21.0860197804151</v>
      </c>
      <c r="AP316" s="454"/>
      <c r="AQ316" s="454"/>
      <c r="AR316" s="454"/>
      <c r="AS316" s="454"/>
    </row>
    <row r="317" customFormat="false" ht="10.5" hidden="false" customHeight="false" outlineLevel="0" collapsed="false">
      <c r="A317" s="498" t="n">
        <v>44013</v>
      </c>
      <c r="B317" s="519" t="n">
        <f aca="false">YEAR(A317)</f>
        <v>2020</v>
      </c>
      <c r="C317" s="500" t="n">
        <v>4.1175</v>
      </c>
      <c r="D317" s="501" t="n">
        <f aca="false">IF(GasSwitch=0,VLOOKUP($A317,[1]!GasCurve,4),VLOOKUP($A317,[1]!AecoCurve,5))</f>
        <v>3.79</v>
      </c>
      <c r="E317" s="517" t="n">
        <v>-0.0158413652545241</v>
      </c>
      <c r="F317" s="503" t="n">
        <f aca="false">IF(shiftswitch2=1,IF(F316+$D$8*(D317-F316)+($E$8*(F316^$F$8)*E317)+(1-$D$8)*(D317-D316)&lt;0,0.01,F316+$D$8*(D317-F316)+($E$8*(F316^$F$8)*E317)+(1-$D$8)*(D317-D316)),IF(F316+$D$10*(C317-F316)+($E$10*(F316^$F$10)*E317)+(1-$D$10)*(C317-C316)&lt;0,0.01,F316+$D$10*(C317-F316)+($E$10*(F316^$F$10)*E317)+(1-$D$10)*(C317-C316)))</f>
        <v>4.12683462814241</v>
      </c>
      <c r="H317" s="504" t="n">
        <v>21.168</v>
      </c>
      <c r="I317" s="501" t="n">
        <v>21.168</v>
      </c>
      <c r="J317" s="517" t="n">
        <v>-0.0023592394957088</v>
      </c>
      <c r="K317" s="503" t="n">
        <f aca="false">IF(shiftswitch2=1,K316+$D$9*(I317-K316)+($E$9*(K316^$F$9)*J317)+(1-$D$9)*(I317-I316),K316+$D$11*(H317-K316)+($E$11*(K316^$F$11)*J317)+(1-$D$11)*(H317-H316))</f>
        <v>21.0902100476331</v>
      </c>
      <c r="AP317" s="454"/>
      <c r="AQ317" s="454"/>
      <c r="AR317" s="454"/>
      <c r="AS317" s="454"/>
    </row>
    <row r="318" customFormat="false" ht="10.5" hidden="false" customHeight="false" outlineLevel="0" collapsed="false">
      <c r="A318" s="498" t="n">
        <v>44044</v>
      </c>
      <c r="B318" s="519" t="n">
        <f aca="false">YEAR(A318)</f>
        <v>2020</v>
      </c>
      <c r="C318" s="500" t="n">
        <v>4.1245</v>
      </c>
      <c r="D318" s="501" t="n">
        <f aca="false">IF(GasSwitch=0,VLOOKUP($A318,[1]!GasCurve,4),VLOOKUP($A318,[1]!AecoCurve,5))</f>
        <v>3.799</v>
      </c>
      <c r="E318" s="517" t="n">
        <v>0.00107754208069306</v>
      </c>
      <c r="F318" s="503" t="n">
        <f aca="false">IF(shiftswitch2=1,IF(F317+$D$8*(D318-F317)+($E$8*(F317^$F$8)*E318)+(1-$D$8)*(D318-D317)&lt;0,0.01,F317+$D$8*(D318-F317)+($E$8*(F317^$F$8)*E318)+(1-$D$8)*(D318-D317)),IF(F317+$D$10*(C318-F317)+($E$10*(F317^$F$10)*E318)+(1-$D$10)*(C318-C317)&lt;0,0.01,F317+$D$10*(C318-F317)+($E$10*(F317^$F$10)*E318)+(1-$D$10)*(C318-C317)))</f>
        <v>4.13080382599287</v>
      </c>
      <c r="H318" s="504" t="n">
        <v>21.168</v>
      </c>
      <c r="I318" s="501" t="n">
        <v>21.168</v>
      </c>
      <c r="J318" s="517" t="n">
        <v>-0.00697212477701274</v>
      </c>
      <c r="K318" s="503" t="n">
        <f aca="false">IF(shiftswitch2=1,K317+$D$9*(I318-K317)+($E$9*(K317^$F$9)*J318)+(1-$D$9)*(I318-I317),K317+$D$11*(H318-K317)+($E$11*(K317^$F$11)*J318)+(1-$D$11)*(H318-H317))</f>
        <v>21.0863096372885</v>
      </c>
      <c r="AP318" s="454"/>
      <c r="AQ318" s="454"/>
      <c r="AR318" s="454"/>
      <c r="AS318" s="454"/>
    </row>
    <row r="319" customFormat="false" ht="10.5" hidden="false" customHeight="false" outlineLevel="0" collapsed="false">
      <c r="A319" s="498" t="n">
        <v>44075</v>
      </c>
      <c r="B319" s="519" t="n">
        <f aca="false">YEAR(A319)</f>
        <v>2020</v>
      </c>
      <c r="C319" s="500" t="n">
        <v>4.1315</v>
      </c>
      <c r="D319" s="501" t="n">
        <f aca="false">IF(GasSwitch=0,VLOOKUP($A319,[1]!GasCurve,4),VLOOKUP($A319,[1]!AecoCurve,5))</f>
        <v>3.789</v>
      </c>
      <c r="E319" s="517" t="n">
        <v>-0.0721060402228141</v>
      </c>
      <c r="F319" s="503" t="n">
        <f aca="false">IF(shiftswitch2=1,IF(F318+$D$8*(D319-F318)+($E$8*(F318^$F$8)*E319)+(1-$D$8)*(D319-D318)&lt;0,0.01,F318+$D$8*(D319-F318)+($E$8*(F318^$F$8)*E319)+(1-$D$8)*(D319-D318)),IF(F318+$D$10*(C319-F318)+($E$10*(F318^$F$10)*E319)+(1-$D$10)*(C319-C318)&lt;0,0.01,F318+$D$10*(C319-F318)+($E$10*(F318^$F$10)*E319)+(1-$D$10)*(C319-C318)))</f>
        <v>4.08934988858309</v>
      </c>
      <c r="H319" s="504" t="n">
        <v>21.168</v>
      </c>
      <c r="I319" s="501" t="n">
        <v>21.168</v>
      </c>
      <c r="J319" s="517" t="n">
        <v>-0.0165182766892205</v>
      </c>
      <c r="K319" s="503" t="n">
        <f aca="false">IF(shiftswitch2=1,K318+$D$9*(I319-K318)+($E$9*(K318^$F$9)*J319)+(1-$D$9)*(I319-I318),K318+$D$11*(H319-K318)+($E$11*(K318^$F$11)*J319)+(1-$D$11)*(H319-H318))</f>
        <v>21.0669105707861</v>
      </c>
      <c r="AP319" s="454"/>
      <c r="AQ319" s="454"/>
      <c r="AR319" s="454"/>
      <c r="AS319" s="454"/>
    </row>
    <row r="320" customFormat="false" ht="10.5" hidden="false" customHeight="false" outlineLevel="0" collapsed="false">
      <c r="A320" s="498" t="n">
        <v>44105</v>
      </c>
      <c r="B320" s="519" t="n">
        <f aca="false">YEAR(A320)</f>
        <v>2020</v>
      </c>
      <c r="C320" s="500" t="n">
        <v>4.1575</v>
      </c>
      <c r="D320" s="501" t="n">
        <f aca="false">IF(GasSwitch=0,VLOOKUP($A320,[1]!GasCurve,4),VLOOKUP($A320,[1]!AecoCurve,5))</f>
        <v>3.799</v>
      </c>
      <c r="E320" s="517" t="n">
        <v>0.0269070463218342</v>
      </c>
      <c r="F320" s="503" t="n">
        <f aca="false">IF(shiftswitch2=1,IF(F319+$D$8*(D320-F319)+($E$8*(F319^$F$8)*E320)+(1-$D$8)*(D320-D319)&lt;0,0.01,F319+$D$8*(D320-F319)+($E$8*(F319^$F$8)*E320)+(1-$D$8)*(D320-D319)),IF(F319+$D$10*(C320-F319)+($E$10*(F319^$F$10)*E320)+(1-$D$10)*(C320-C319)&lt;0,0.01,F319+$D$10*(C320-F319)+($E$10*(F319^$F$10)*E320)+(1-$D$10)*(C320-C319)))</f>
        <v>4.14919216494854</v>
      </c>
      <c r="H320" s="504" t="n">
        <v>21.168</v>
      </c>
      <c r="I320" s="501" t="n">
        <v>21.168</v>
      </c>
      <c r="J320" s="517" t="n">
        <v>0.0539234831622738</v>
      </c>
      <c r="K320" s="503" t="n">
        <f aca="false">IF(shiftswitch2=1,K319+$D$9*(I320-K319)+($E$9*(K319^$F$9)*J320)+(1-$D$9)*(I320-I319),K319+$D$11*(H320-K319)+($E$11*(K319^$F$11)*J320)+(1-$D$11)*(H320-H319))</f>
        <v>21.1666471002603</v>
      </c>
      <c r="AP320" s="454"/>
      <c r="AQ320" s="454"/>
      <c r="AR320" s="454"/>
      <c r="AS320" s="454"/>
    </row>
    <row r="321" customFormat="false" ht="10.5" hidden="false" customHeight="false" outlineLevel="0" collapsed="false">
      <c r="A321" s="498" t="n">
        <v>44136</v>
      </c>
      <c r="B321" s="519" t="n">
        <f aca="false">YEAR(A321)</f>
        <v>2020</v>
      </c>
      <c r="C321" s="500" t="n">
        <v>4.2925</v>
      </c>
      <c r="D321" s="501" t="n">
        <f aca="false">IF(GasSwitch=0,VLOOKUP($A321,[1]!GasCurve,4),VLOOKUP($A321,[1]!AecoCurve,5))</f>
        <v>3.85</v>
      </c>
      <c r="E321" s="517" t="n">
        <v>-0.00582172430809983</v>
      </c>
      <c r="F321" s="503" t="n">
        <f aca="false">IF(shiftswitch2=1,IF(F320+$D$8*(D321-F320)+($E$8*(F320^$F$8)*E321)+(1-$D$8)*(D321-D320)&lt;0,0.01,F320+$D$8*(D321-F320)+($E$8*(F320^$F$8)*E321)+(1-$D$8)*(D321-D320)),IF(F320+$D$10*(C321-F320)+($E$10*(F320^$F$10)*E321)+(1-$D$10)*(C321-C320)&lt;0,0.01,F320+$D$10*(C321-F320)+($E$10*(F320^$F$10)*E321)+(1-$D$10)*(C321-C320)))</f>
        <v>4.28378267385489</v>
      </c>
      <c r="H321" s="504" t="n">
        <v>21.168</v>
      </c>
      <c r="I321" s="501" t="n">
        <v>21.168</v>
      </c>
      <c r="J321" s="517" t="n">
        <v>-0.00708657850057546</v>
      </c>
      <c r="K321" s="503" t="n">
        <f aca="false">IF(shiftswitch2=1,K320+$D$9*(I321-K320)+($E$9*(K320^$F$9)*J321)+(1-$D$9)*(I321-I320),K320+$D$11*(H321-K320)+($E$11*(K320^$F$11)*J321)+(1-$D$11)*(H321-H320))</f>
        <v>21.1549889707096</v>
      </c>
      <c r="AP321" s="454"/>
      <c r="AQ321" s="454"/>
      <c r="AR321" s="454"/>
      <c r="AS321" s="454"/>
    </row>
    <row r="322" customFormat="false" ht="10.5" hidden="false" customHeight="false" outlineLevel="0" collapsed="false">
      <c r="A322" s="498" t="n">
        <v>44166</v>
      </c>
      <c r="B322" s="519" t="n">
        <f aca="false">YEAR(A322)</f>
        <v>2020</v>
      </c>
      <c r="C322" s="500" t="n">
        <v>4.4165</v>
      </c>
      <c r="D322" s="501" t="n">
        <f aca="false">IF(GasSwitch=0,VLOOKUP($A322,[1]!GasCurve,4),VLOOKUP($A322,[1]!AecoCurve,5))</f>
        <v>3.925</v>
      </c>
      <c r="E322" s="517" t="n">
        <v>-0.0098067356602933</v>
      </c>
      <c r="F322" s="503" t="n">
        <f aca="false">IF(shiftswitch2=1,IF(F321+$D$8*(D322-F321)+($E$8*(F321^$F$8)*E322)+(1-$D$8)*(D322-D321)&lt;0,0.01,F321+$D$8*(D322-F321)+($E$8*(F321^$F$8)*E322)+(1-$D$8)*(D322-D321)),IF(F321+$D$10*(C322-F321)+($E$10*(F321^$F$10)*E322)+(1-$D$10)*(C322-C321)&lt;0,0.01,F321+$D$10*(C322-F321)+($E$10*(F321^$F$10)*E322)+(1-$D$10)*(C322-C321)))</f>
        <v>4.40489071084615</v>
      </c>
      <c r="H322" s="504" t="n">
        <v>21.168</v>
      </c>
      <c r="I322" s="501" t="n">
        <v>21.168</v>
      </c>
      <c r="J322" s="517" t="n">
        <v>0.00544179656724971</v>
      </c>
      <c r="K322" s="503" t="n">
        <f aca="false">IF(shiftswitch2=1,K321+$D$9*(I322-K321)+($E$9*(K321^$F$9)*J322)+(1-$D$9)*(I322-I321),K321+$D$11*(H322-K321)+($E$11*(K321^$F$11)*J322)+(1-$D$11)*(H322-H321))</f>
        <v>21.1653322120972</v>
      </c>
      <c r="AP322" s="454"/>
      <c r="AQ322" s="454"/>
      <c r="AR322" s="454"/>
      <c r="AS322" s="454"/>
    </row>
    <row r="323" customFormat="false" ht="10.5" hidden="false" customHeight="false" outlineLevel="0" collapsed="false">
      <c r="A323" s="498" t="n">
        <v>44197</v>
      </c>
      <c r="B323" s="519" t="n">
        <f aca="false">YEAR(A323)</f>
        <v>2021</v>
      </c>
      <c r="C323" s="500" t="n">
        <v>4.545</v>
      </c>
      <c r="D323" s="501" t="n">
        <f aca="false">IF(GasSwitch=0,VLOOKUP($A323,[1]!GasCurve,4),VLOOKUP($A323,[1]!AecoCurve,5))</f>
        <v>3.9535</v>
      </c>
      <c r="E323" s="517" t="n">
        <v>0.0307662692070164</v>
      </c>
      <c r="F323" s="503" t="n">
        <f aca="false">IF(shiftswitch2=1,IF(F322+$D$8*(D323-F322)+($E$8*(F322^$F$8)*E323)+(1-$D$8)*(D323-D322)&lt;0,0.01,F322+$D$8*(D323-F322)+($E$8*(F322^$F$8)*E323)+(1-$D$8)*(D323-D322)),IF(F322+$D$10*(C323-F322)+($E$10*(F322^$F$10)*E323)+(1-$D$10)*(C323-C322)&lt;0,0.01,F322+$D$10*(C323-F322)+($E$10*(F322^$F$10)*E323)+(1-$D$10)*(C323-C322)))</f>
        <v>4.55825676632741</v>
      </c>
      <c r="H323" s="504" t="n">
        <v>21.168</v>
      </c>
      <c r="I323" s="501" t="n">
        <v>21.168</v>
      </c>
      <c r="J323" s="517" t="n">
        <v>0.0147211830638592</v>
      </c>
      <c r="K323" s="503" t="n">
        <f aca="false">IF(shiftswitch2=1,K322+$D$9*(I323-K322)+($E$9*(K322^$F$9)*J323)+(1-$D$9)*(I323-I322),K322+$D$11*(H323-K322)+($E$11*(K322^$F$11)*J323)+(1-$D$11)*(H323-H322))</f>
        <v>21.1900923717179</v>
      </c>
      <c r="AP323" s="454"/>
      <c r="AQ323" s="454"/>
      <c r="AR323" s="454"/>
      <c r="AS323" s="454"/>
    </row>
    <row r="324" customFormat="false" ht="10.5" hidden="false" customHeight="false" outlineLevel="0" collapsed="false">
      <c r="A324" s="498" t="n">
        <v>44228</v>
      </c>
      <c r="B324" s="519" t="n">
        <f aca="false">YEAR(A324)</f>
        <v>2021</v>
      </c>
      <c r="C324" s="500" t="n">
        <v>4.427</v>
      </c>
      <c r="D324" s="501" t="n">
        <f aca="false">IF(GasSwitch=0,VLOOKUP($A324,[1]!GasCurve,4),VLOOKUP($A324,[1]!AecoCurve,5))</f>
        <v>3.9125</v>
      </c>
      <c r="E324" s="517" t="n">
        <v>-0.0473964091617106</v>
      </c>
      <c r="F324" s="503" t="n">
        <f aca="false">IF(shiftswitch2=1,IF(F323+$D$8*(D324-F323)+($E$8*(F323^$F$8)*E324)+(1-$D$8)*(D324-D323)&lt;0,0.01,F323+$D$8*(D324-F323)+($E$8*(F323^$F$8)*E324)+(1-$D$8)*(D324-D323)),IF(F323+$D$10*(C324-F323)+($E$10*(F323^$F$10)*E324)+(1-$D$10)*(C324-C323)&lt;0,0.01,F323+$D$10*(C324-F323)+($E$10*(F323^$F$10)*E324)+(1-$D$10)*(C324-C323)))</f>
        <v>4.40325432836421</v>
      </c>
      <c r="H324" s="504" t="n">
        <v>21.168</v>
      </c>
      <c r="I324" s="501" t="n">
        <v>21.168</v>
      </c>
      <c r="J324" s="517" t="n">
        <v>-0.0514703983421302</v>
      </c>
      <c r="K324" s="503" t="n">
        <f aca="false">IF(shiftswitch2=1,K323+$D$9*(I324-K323)+($E$9*(K323^$F$9)*J324)+(1-$D$9)*(I324-I323),K323+$D$11*(H324-K323)+($E$11*(K323^$F$11)*J324)+(1-$D$11)*(H324-H323))</f>
        <v>21.1022584840765</v>
      </c>
      <c r="AP324" s="454"/>
      <c r="AQ324" s="454"/>
      <c r="AR324" s="454"/>
      <c r="AS324" s="454"/>
    </row>
    <row r="325" customFormat="false" ht="10.5" hidden="false" customHeight="false" outlineLevel="0" collapsed="false">
      <c r="A325" s="498" t="n">
        <v>44256</v>
      </c>
      <c r="B325" s="519" t="n">
        <f aca="false">YEAR(A325)</f>
        <v>2021</v>
      </c>
      <c r="C325" s="500" t="n">
        <v>4.307</v>
      </c>
      <c r="D325" s="501" t="n">
        <f aca="false">IF(GasSwitch=0,VLOOKUP($A325,[1]!GasCurve,4),VLOOKUP($A325,[1]!AecoCurve,5))</f>
        <v>3.8515</v>
      </c>
      <c r="E325" s="517" t="n">
        <v>-0.0304104336887608</v>
      </c>
      <c r="F325" s="503" t="n">
        <f aca="false">IF(shiftswitch2=1,IF(F324+$D$8*(D325-F324)+($E$8*(F324^$F$8)*E325)+(1-$D$8)*(D325-D324)&lt;0,0.01,F324+$D$8*(D325-F324)+($E$8*(F324^$F$8)*E325)+(1-$D$8)*(D325-D324)),IF(F324+$D$10*(C325-F324)+($E$10*(F324^$F$10)*E325)+(1-$D$10)*(C325-C324)&lt;0,0.01,F324+$D$10*(C325-F324)+($E$10*(F324^$F$10)*E325)+(1-$D$10)*(C325-C324)))</f>
        <v>4.27270446379669</v>
      </c>
      <c r="H325" s="504" t="n">
        <v>21.168</v>
      </c>
      <c r="I325" s="501" t="n">
        <v>21.168</v>
      </c>
      <c r="J325" s="517" t="n">
        <v>0.00782422378764948</v>
      </c>
      <c r="K325" s="503" t="n">
        <f aca="false">IF(shiftswitch2=1,K324+$D$9*(I325-K324)+($E$9*(K324^$F$9)*J325)+(1-$D$9)*(I325-I324),K324+$D$11*(H325-K324)+($E$11*(K324^$F$11)*J325)+(1-$D$11)*(H325-H324))</f>
        <v>21.1217864025356</v>
      </c>
      <c r="AP325" s="454"/>
      <c r="AQ325" s="454"/>
      <c r="AR325" s="454"/>
      <c r="AS325" s="454"/>
    </row>
    <row r="326" customFormat="false" ht="10.5" hidden="false" customHeight="false" outlineLevel="0" collapsed="false">
      <c r="A326" s="498" t="n">
        <v>44287</v>
      </c>
      <c r="B326" s="519" t="n">
        <f aca="false">YEAR(A326)</f>
        <v>2021</v>
      </c>
      <c r="C326" s="500" t="n">
        <v>4.2575</v>
      </c>
      <c r="D326" s="501" t="n">
        <f aca="false">IF(GasSwitch=0,VLOOKUP($A326,[1]!GasCurve,4),VLOOKUP($A326,[1]!AecoCurve,5))</f>
        <v>3.8055</v>
      </c>
      <c r="E326" s="517" t="n">
        <v>-0.0064073859674749</v>
      </c>
      <c r="F326" s="503" t="n">
        <f aca="false">IF(shiftswitch2=1,IF(F325+$D$8*(D326-F325)+($E$8*(F325^$F$8)*E326)+(1-$D$8)*(D326-D325)&lt;0,0.01,F325+$D$8*(D326-F325)+($E$8*(F325^$F$8)*E326)+(1-$D$8)*(D326-D325)),IF(F325+$D$10*(C326-F325)+($E$10*(F325^$F$10)*E326)+(1-$D$10)*(C326-C325)&lt;0,0.01,F325+$D$10*(C326-F325)+($E$10*(F325^$F$10)*E326)+(1-$D$10)*(C326-C325)))</f>
        <v>4.2327088266799</v>
      </c>
      <c r="H326" s="504" t="n">
        <v>21.168</v>
      </c>
      <c r="I326" s="501" t="n">
        <v>21.168</v>
      </c>
      <c r="J326" s="517" t="n">
        <v>-0.0381510789731799</v>
      </c>
      <c r="K326" s="503" t="n">
        <f aca="false">IF(shiftswitch2=1,K325+$D$9*(I326-K325)+($E$9*(K325^$F$9)*J326)+(1-$D$9)*(I326-I325),K325+$D$11*(H326-K325)+($E$11*(K325^$F$11)*J326)+(1-$D$11)*(H326-H325))</f>
        <v>21.0628781532732</v>
      </c>
      <c r="AP326" s="454"/>
      <c r="AQ326" s="454"/>
      <c r="AR326" s="454"/>
      <c r="AS326" s="454"/>
    </row>
    <row r="327" customFormat="false" ht="10.5" hidden="false" customHeight="false" outlineLevel="0" collapsed="false">
      <c r="A327" s="498" t="n">
        <v>44317</v>
      </c>
      <c r="B327" s="519" t="n">
        <f aca="false">YEAR(A327)</f>
        <v>2021</v>
      </c>
      <c r="C327" s="500" t="n">
        <v>4.2315</v>
      </c>
      <c r="D327" s="501" t="n">
        <f aca="false">IF(GasSwitch=0,VLOOKUP($A327,[1]!GasCurve,4),VLOOKUP($A327,[1]!AecoCurve,5))</f>
        <v>3.8235</v>
      </c>
      <c r="E327" s="517" t="n">
        <v>-0.00400524113927954</v>
      </c>
      <c r="F327" s="503" t="n">
        <f aca="false">IF(shiftswitch2=1,IF(F326+$D$8*(D327-F326)+($E$8*(F326^$F$8)*E327)+(1-$D$8)*(D327-D326)&lt;0,0.01,F326+$D$8*(D327-F326)+($E$8*(F326^$F$8)*E327)+(1-$D$8)*(D327-D326)),IF(F326+$D$10*(C327-F326)+($E$10*(F326^$F$10)*E327)+(1-$D$10)*(C327-C326)&lt;0,0.01,F326+$D$10*(C327-F326)+($E$10*(F326^$F$10)*E327)+(1-$D$10)*(C327-C326)))</f>
        <v>4.21399736852657</v>
      </c>
      <c r="H327" s="504" t="n">
        <v>21.168</v>
      </c>
      <c r="I327" s="501" t="n">
        <v>21.168</v>
      </c>
      <c r="J327" s="517" t="n">
        <v>-0.0255910697211469</v>
      </c>
      <c r="K327" s="503" t="n">
        <f aca="false">IF(shiftswitch2=1,K326+$D$9*(I327-K326)+($E$9*(K326^$F$9)*J327)+(1-$D$9)*(I327-I326),K326+$D$11*(H327-K326)+($E$11*(K326^$F$11)*J327)+(1-$D$11)*(H327-H326))</f>
        <v>21.0307016760831</v>
      </c>
      <c r="AP327" s="454"/>
      <c r="AQ327" s="454"/>
      <c r="AR327" s="454"/>
      <c r="AS327" s="454"/>
    </row>
    <row r="328" customFormat="false" ht="10.5" hidden="false" customHeight="false" outlineLevel="0" collapsed="false">
      <c r="A328" s="498" t="n">
        <v>44348</v>
      </c>
      <c r="B328" s="519" t="n">
        <f aca="false">YEAR(A328)</f>
        <v>2021</v>
      </c>
      <c r="C328" s="500" t="n">
        <v>4.2375</v>
      </c>
      <c r="D328" s="501" t="n">
        <f aca="false">IF(GasSwitch=0,VLOOKUP($A328,[1]!GasCurve,4),VLOOKUP($A328,[1]!AecoCurve,5))</f>
        <v>3.8505</v>
      </c>
      <c r="E328" s="517" t="n">
        <v>0.0335921546728704</v>
      </c>
      <c r="F328" s="503" t="n">
        <f aca="false">IF(shiftswitch2=1,IF(F327+$D$8*(D328-F327)+($E$8*(F327^$F$8)*E328)+(1-$D$8)*(D328-D327)&lt;0,0.01,F327+$D$8*(D328-F327)+($E$8*(F327^$F$8)*E328)+(1-$D$8)*(D328-D327)),IF(F327+$D$10*(C328-F327)+($E$10*(F327^$F$10)*E328)+(1-$D$10)*(C328-C327)&lt;0,0.01,F327+$D$10*(C328-F327)+($E$10*(F327^$F$10)*E328)+(1-$D$10)*(C328-C327)))</f>
        <v>4.24858526601835</v>
      </c>
      <c r="H328" s="504" t="n">
        <v>21.168</v>
      </c>
      <c r="I328" s="501" t="n">
        <v>21.168</v>
      </c>
      <c r="J328" s="517" t="n">
        <v>-0.00563265751973448</v>
      </c>
      <c r="K328" s="503" t="n">
        <f aca="false">IF(shiftswitch2=1,K327+$D$9*(I328-K327)+($E$9*(K327^$F$9)*J328)+(1-$D$9)*(I328-I327),K327+$D$11*(H328-K327)+($E$11*(K327^$F$11)*J328)+(1-$D$11)*(H328-H327))</f>
        <v>21.0349214680381</v>
      </c>
      <c r="AP328" s="454"/>
      <c r="AQ328" s="454"/>
      <c r="AR328" s="454"/>
      <c r="AS328" s="454"/>
    </row>
    <row r="329" customFormat="false" ht="10.5" hidden="false" customHeight="false" outlineLevel="0" collapsed="false">
      <c r="A329" s="498" t="n">
        <v>44378</v>
      </c>
      <c r="B329" s="519" t="n">
        <f aca="false">YEAR(A329)</f>
        <v>2021</v>
      </c>
      <c r="C329" s="500" t="n">
        <v>4.2475</v>
      </c>
      <c r="D329" s="501" t="n">
        <f aca="false">IF(GasSwitch=0,VLOOKUP($A329,[1]!GasCurve,4),VLOOKUP($A329,[1]!AecoCurve,5))</f>
        <v>3.8615</v>
      </c>
      <c r="E329" s="517" t="n">
        <v>-0.0136347400370629</v>
      </c>
      <c r="F329" s="503" t="n">
        <f aca="false">IF(shiftswitch2=1,IF(F328+$D$8*(D329-F328)+($E$8*(F328^$F$8)*E329)+(1-$D$8)*(D329-D328)&lt;0,0.01,F328+$D$8*(D329-F328)+($E$8*(F328^$F$8)*E329)+(1-$D$8)*(D329-D328)),IF(F328+$D$10*(C329-F328)+($E$10*(F328^$F$10)*E329)+(1-$D$10)*(C329-C328)&lt;0,0.01,F328+$D$10*(C329-F328)+($E$10*(F328^$F$10)*E329)+(1-$D$10)*(C329-C328)))</f>
        <v>4.24536049094205</v>
      </c>
      <c r="H329" s="504" t="n">
        <v>21.168</v>
      </c>
      <c r="I329" s="501" t="n">
        <v>21.168</v>
      </c>
      <c r="J329" s="517" t="n">
        <v>-0.00169979276554436</v>
      </c>
      <c r="K329" s="503" t="n">
        <f aca="false">IF(shiftswitch2=1,K328+$D$9*(I329-K328)+($E$9*(K328^$F$9)*J329)+(1-$D$9)*(I329-I328),K328+$D$11*(H329-K328)+($E$11*(K328^$F$11)*J329)+(1-$D$11)*(H329-H328))</f>
        <v>21.0452677875404</v>
      </c>
      <c r="AP329" s="454"/>
      <c r="AQ329" s="454"/>
      <c r="AR329" s="454"/>
      <c r="AS329" s="454"/>
    </row>
    <row r="330" customFormat="false" ht="10.5" hidden="false" customHeight="false" outlineLevel="0" collapsed="false">
      <c r="A330" s="498" t="n">
        <v>44409</v>
      </c>
      <c r="B330" s="519" t="n">
        <f aca="false">YEAR(A330)</f>
        <v>2021</v>
      </c>
      <c r="C330" s="500" t="n">
        <v>4.2545</v>
      </c>
      <c r="D330" s="501" t="n">
        <f aca="false">IF(GasSwitch=0,VLOOKUP($A330,[1]!GasCurve,4),VLOOKUP($A330,[1]!AecoCurve,5))</f>
        <v>3.8705</v>
      </c>
      <c r="E330" s="517" t="n">
        <v>0.0136969436164862</v>
      </c>
      <c r="F330" s="503" t="n">
        <f aca="false">IF(shiftswitch2=1,IF(F329+$D$8*(D330-F329)+($E$8*(F329^$F$8)*E330)+(1-$D$8)*(D330-D329)&lt;0,0.01,F329+$D$8*(D330-F329)+($E$8*(F329^$F$8)*E330)+(1-$D$8)*(D330-D329)),IF(F329+$D$10*(C330-F329)+($E$10*(F329^$F$10)*E330)+(1-$D$10)*(C330-C329)&lt;0,0.01,F329+$D$10*(C330-F329)+($E$10*(F329^$F$10)*E330)+(1-$D$10)*(C330-C329)))</f>
        <v>4.26205990125391</v>
      </c>
      <c r="H330" s="504" t="n">
        <v>21.168</v>
      </c>
      <c r="I330" s="501" t="n">
        <v>21.168</v>
      </c>
      <c r="J330" s="517" t="n">
        <v>0.0396248934207285</v>
      </c>
      <c r="K330" s="503" t="n">
        <f aca="false">IF(shiftswitch2=1,K329+$D$9*(I330-K329)+($E$9*(K329^$F$9)*J330)+(1-$D$9)*(I330-I329),K329+$D$11*(H330-K329)+($E$11*(K329^$F$11)*J330)+(1-$D$11)*(H330-H329))</f>
        <v>21.123354099226</v>
      </c>
      <c r="AP330" s="454"/>
      <c r="AQ330" s="454"/>
      <c r="AR330" s="454"/>
      <c r="AS330" s="454"/>
    </row>
    <row r="331" customFormat="false" ht="10.5" hidden="false" customHeight="false" outlineLevel="0" collapsed="false">
      <c r="A331" s="498" t="n">
        <v>44440</v>
      </c>
      <c r="B331" s="519" t="n">
        <f aca="false">YEAR(A331)</f>
        <v>2021</v>
      </c>
      <c r="C331" s="500" t="n">
        <v>4.2615</v>
      </c>
      <c r="D331" s="501" t="n">
        <f aca="false">IF(GasSwitch=0,VLOOKUP($A331,[1]!GasCurve,4),VLOOKUP($A331,[1]!AecoCurve,5))</f>
        <v>3.8595</v>
      </c>
      <c r="E331" s="517" t="n">
        <v>0.0215947540654292</v>
      </c>
      <c r="F331" s="503" t="n">
        <f aca="false">IF(shiftswitch2=1,IF(F330+$D$8*(D331-F330)+($E$8*(F330^$F$8)*E331)+(1-$D$8)*(D331-D330)&lt;0,0.01,F330+$D$8*(D331-F330)+($E$8*(F330^$F$8)*E331)+(1-$D$8)*(D331-D330)),IF(F330+$D$10*(C331-F330)+($E$10*(F330^$F$10)*E331)+(1-$D$10)*(C331-C330)&lt;0,0.01,F330+$D$10*(C331-F330)+($E$10*(F330^$F$10)*E331)+(1-$D$10)*(C331-C330)))</f>
        <v>4.28002595696298</v>
      </c>
      <c r="H331" s="504" t="n">
        <v>21.168</v>
      </c>
      <c r="I331" s="501" t="n">
        <v>21.168</v>
      </c>
      <c r="J331" s="517" t="n">
        <v>0.0220053470184253</v>
      </c>
      <c r="K331" s="503" t="n">
        <f aca="false">IF(shiftswitch2=1,K330+$D$9*(I331-K330)+($E$9*(K330^$F$9)*J331)+(1-$D$9)*(I331-I330),K330+$D$11*(H331-K330)+($E$11*(K330^$F$11)*J331)+(1-$D$11)*(H331-H330))</f>
        <v>21.1643909408413</v>
      </c>
      <c r="AP331" s="454"/>
      <c r="AQ331" s="454"/>
      <c r="AR331" s="454"/>
      <c r="AS331" s="454"/>
    </row>
    <row r="332" customFormat="false" ht="10.5" hidden="false" customHeight="false" outlineLevel="0" collapsed="false">
      <c r="A332" s="498" t="n">
        <v>44470</v>
      </c>
      <c r="B332" s="519" t="n">
        <f aca="false">YEAR(A332)</f>
        <v>2021</v>
      </c>
      <c r="C332" s="500" t="n">
        <v>4.2875</v>
      </c>
      <c r="D332" s="501" t="n">
        <f aca="false">IF(GasSwitch=0,VLOOKUP($A332,[1]!GasCurve,4),VLOOKUP($A332,[1]!AecoCurve,5))</f>
        <v>3.8685</v>
      </c>
      <c r="E332" s="517" t="n">
        <v>0.0133221185620844</v>
      </c>
      <c r="F332" s="503" t="n">
        <f aca="false">IF(shiftswitch2=1,IF(F331+$D$8*(D332-F331)+($E$8*(F331^$F$8)*E332)+(1-$D$8)*(D332-D331)&lt;0,0.01,F331+$D$8*(D332-F331)+($E$8*(F331^$F$8)*E332)+(1-$D$8)*(D332-D331)),IF(F331+$D$10*(C332-F331)+($E$10*(F331^$F$10)*E332)+(1-$D$10)*(C332-C331)&lt;0,0.01,F331+$D$10*(C332-F331)+($E$10*(F331^$F$10)*E332)+(1-$D$10)*(C332-C331)))</f>
        <v>4.3072893247355</v>
      </c>
      <c r="H332" s="504" t="n">
        <v>21.168</v>
      </c>
      <c r="I332" s="501" t="n">
        <v>21.168</v>
      </c>
      <c r="J332" s="517" t="n">
        <v>0.0142238168297905</v>
      </c>
      <c r="K332" s="503" t="n">
        <f aca="false">IF(shiftswitch2=1,K331+$D$9*(I332-K331)+($E$9*(K331^$F$9)*J332)+(1-$D$9)*(I332-I331),K331+$D$11*(H332-K331)+($E$11*(K331^$F$11)*J332)+(1-$D$11)*(H332-H331))</f>
        <v>21.1884166689028</v>
      </c>
      <c r="AP332" s="454"/>
      <c r="AQ332" s="454"/>
      <c r="AR332" s="454"/>
      <c r="AS332" s="454"/>
    </row>
    <row r="333" customFormat="false" ht="10.5" hidden="false" customHeight="false" outlineLevel="0" collapsed="false">
      <c r="A333" s="498" t="n">
        <v>44501</v>
      </c>
      <c r="B333" s="519" t="n">
        <f aca="false">YEAR(A333)</f>
        <v>2021</v>
      </c>
      <c r="C333" s="500" t="n">
        <v>4.4225</v>
      </c>
      <c r="D333" s="501" t="n">
        <f aca="false">IF(GasSwitch=0,VLOOKUP($A333,[1]!GasCurve,4),VLOOKUP($A333,[1]!AecoCurve,5))</f>
        <v>3.9145</v>
      </c>
      <c r="E333" s="517" t="n">
        <v>0.0113102970671514</v>
      </c>
      <c r="F333" s="503" t="n">
        <f aca="false">IF(shiftswitch2=1,IF(F332+$D$8*(D333-F332)+($E$8*(F332^$F$8)*E333)+(1-$D$8)*(D333-D332)&lt;0,0.01,F332+$D$8*(D333-F332)+($E$8*(F332^$F$8)*E333)+(1-$D$8)*(D333-D332)),IF(F332+$D$10*(C333-F332)+($E$10*(F332^$F$10)*E333)+(1-$D$10)*(C333-C332)&lt;0,0.01,F332+$D$10*(C333-F332)+($E$10*(F332^$F$10)*E333)+(1-$D$10)*(C333-C332)))</f>
        <v>4.44176812711565</v>
      </c>
      <c r="H333" s="504" t="n">
        <v>21.168</v>
      </c>
      <c r="I333" s="501" t="n">
        <v>21.168</v>
      </c>
      <c r="J333" s="517" t="n">
        <v>-0.0714944727595789</v>
      </c>
      <c r="K333" s="503" t="n">
        <f aca="false">IF(shiftswitch2=1,K332+$D$9*(I333-K332)+($E$9*(K332^$F$9)*J333)+(1-$D$9)*(I333-I332),K332+$D$11*(H333-K332)+($E$11*(K332^$F$11)*J333)+(1-$D$11)*(H333-H332))</f>
        <v>21.0674286160095</v>
      </c>
      <c r="AP333" s="454"/>
      <c r="AQ333" s="454"/>
      <c r="AR333" s="454"/>
      <c r="AS333" s="454"/>
    </row>
    <row r="334" customFormat="false" ht="10.5" hidden="false" customHeight="false" outlineLevel="0" collapsed="false">
      <c r="A334" s="498" t="n">
        <v>44531</v>
      </c>
      <c r="B334" s="519" t="n">
        <f aca="false">YEAR(A334)</f>
        <v>2021</v>
      </c>
      <c r="C334" s="500" t="n">
        <v>4.5465</v>
      </c>
      <c r="D334" s="501" t="n">
        <f aca="false">IF(GasSwitch=0,VLOOKUP($A334,[1]!GasCurve,4),VLOOKUP($A334,[1]!AecoCurve,5))</f>
        <v>3.9865</v>
      </c>
      <c r="E334" s="517" t="n">
        <v>0.0445349271196002</v>
      </c>
      <c r="F334" s="503" t="n">
        <f aca="false">IF(shiftswitch2=1,IF(F333+$D$8*(D334-F333)+($E$8*(F333^$F$8)*E334)+(1-$D$8)*(D334-D333)&lt;0,0.01,F333+$D$8*(D334-F333)+($E$8*(F333^$F$8)*E334)+(1-$D$8)*(D334-D333)),IF(F333+$D$10*(C334-F333)+($E$10*(F333^$F$10)*E334)+(1-$D$10)*(C334-C333)&lt;0,0.01,F333+$D$10*(C334-F333)+($E$10*(F333^$F$10)*E334)+(1-$D$10)*(C334-C333)))</f>
        <v>4.58752054272483</v>
      </c>
      <c r="H334" s="504" t="n">
        <v>21.168</v>
      </c>
      <c r="I334" s="501" t="n">
        <v>21.168</v>
      </c>
      <c r="J334" s="517" t="n">
        <v>-0.0405903603145622</v>
      </c>
      <c r="K334" s="503" t="n">
        <f aca="false">IF(shiftswitch2=1,K333+$D$9*(I334-K333)+($E$9*(K333^$F$9)*J334)+(1-$D$9)*(I334-I333),K333+$D$11*(H334-K333)+($E$11*(K333^$F$11)*J334)+(1-$D$11)*(H334-H333))</f>
        <v>21.0098428234611</v>
      </c>
      <c r="AP334" s="454"/>
      <c r="AQ334" s="454"/>
      <c r="AR334" s="454"/>
      <c r="AS334" s="454"/>
    </row>
    <row r="335" customFormat="false" ht="10.5" hidden="false" customHeight="false" outlineLevel="0" collapsed="false">
      <c r="A335" s="498" t="n">
        <v>44562</v>
      </c>
      <c r="B335" s="519" t="n">
        <f aca="false">YEAR(A335)</f>
        <v>2022</v>
      </c>
      <c r="C335" s="500" t="n">
        <v>4.68</v>
      </c>
      <c r="D335" s="501" t="n">
        <f aca="false">IF(GasSwitch=0,VLOOKUP($A335,[1]!GasCurve,4),VLOOKUP($A335,[1]!AecoCurve,5))</f>
        <v>4.013</v>
      </c>
      <c r="E335" s="517" t="n">
        <v>0.0246656253677863</v>
      </c>
      <c r="F335" s="503" t="n">
        <f aca="false">IF(shiftswitch2=1,IF(F334+$D$8*(D335-F334)+($E$8*(F334^$F$8)*E335)+(1-$D$8)*(D335-D334)&lt;0,0.01,F334+$D$8*(D335-F334)+($E$8*(F334^$F$8)*E335)+(1-$D$8)*(D335-D334)),IF(F334+$D$10*(C335-F334)+($E$10*(F334^$F$10)*E335)+(1-$D$10)*(C335-C334)&lt;0,0.01,F334+$D$10*(C335-F334)+($E$10*(F334^$F$10)*E335)+(1-$D$10)*(C335-C334)))</f>
        <v>4.72124838787276</v>
      </c>
      <c r="H335" s="504" t="n">
        <v>21.168</v>
      </c>
      <c r="I335" s="501" t="n">
        <v>21.168</v>
      </c>
      <c r="J335" s="517" t="n">
        <v>0.00810755260176935</v>
      </c>
      <c r="K335" s="503" t="n">
        <f aca="false">IF(shiftswitch2=1,K334+$D$9*(I335-K334)+($E$9*(K334^$F$9)*J335)+(1-$D$9)*(I335-I334),K334+$D$11*(H335-K334)+($E$11*(K334^$F$11)*J335)+(1-$D$11)*(H335-H334))</f>
        <v>21.0389913514678</v>
      </c>
      <c r="AP335" s="454"/>
      <c r="AQ335" s="454"/>
      <c r="AR335" s="454"/>
      <c r="AS335" s="454"/>
    </row>
    <row r="336" customFormat="false" ht="10.5" hidden="false" customHeight="false" outlineLevel="0" collapsed="false">
      <c r="A336" s="498" t="n">
        <v>44593</v>
      </c>
      <c r="B336" s="519" t="n">
        <f aca="false">YEAR(A336)</f>
        <v>2022</v>
      </c>
      <c r="C336" s="500" t="n">
        <v>4.562</v>
      </c>
      <c r="D336" s="501" t="n">
        <f aca="false">IF(GasSwitch=0,VLOOKUP($A336,[1]!GasCurve,4),VLOOKUP($A336,[1]!AecoCurve,5))</f>
        <v>3.976</v>
      </c>
      <c r="E336" s="517" t="n">
        <v>0.0114057806814387</v>
      </c>
      <c r="F336" s="503" t="n">
        <f aca="false">IF(shiftswitch2=1,IF(F335+$D$8*(D336-F335)+($E$8*(F335^$F$8)*E336)+(1-$D$8)*(D336-D335)&lt;0,0.01,F335+$D$8*(D336-F335)+($E$8*(F335^$F$8)*E336)+(1-$D$8)*(D336-D335)),IF(F335+$D$10*(C336-F335)+($E$10*(F335^$F$10)*E336)+(1-$D$10)*(C336-C335)&lt;0,0.01,F335+$D$10*(C336-F335)+($E$10*(F335^$F$10)*E336)+(1-$D$10)*(C336-C335)))</f>
        <v>4.59459274252705</v>
      </c>
      <c r="H336" s="504" t="n">
        <v>21.168</v>
      </c>
      <c r="I336" s="501" t="n">
        <v>21.168</v>
      </c>
      <c r="J336" s="517" t="n">
        <v>-0.00755681783331173</v>
      </c>
      <c r="K336" s="503" t="n">
        <f aca="false">IF(shiftswitch2=1,K335+$D$9*(I336-K335)+($E$9*(K335^$F$9)*J336)+(1-$D$9)*(I336-I335),K335+$D$11*(H336-K335)+($E$11*(K335^$F$11)*J336)+(1-$D$11)*(H336-H335))</f>
        <v>21.0391886627979</v>
      </c>
      <c r="AP336" s="454"/>
      <c r="AQ336" s="454"/>
      <c r="AR336" s="454"/>
      <c r="AS336" s="454"/>
    </row>
    <row r="337" customFormat="false" ht="10.5" hidden="false" customHeight="false" outlineLevel="0" collapsed="false">
      <c r="A337" s="498" t="n">
        <v>44621</v>
      </c>
      <c r="B337" s="519" t="n">
        <f aca="false">YEAR(A337)</f>
        <v>2022</v>
      </c>
      <c r="C337" s="500" t="n">
        <v>4.442</v>
      </c>
      <c r="D337" s="501" t="n">
        <f aca="false">IF(GasSwitch=0,VLOOKUP($A337,[1]!GasCurve,4),VLOOKUP($A337,[1]!AecoCurve,5))</f>
        <v>3.918</v>
      </c>
      <c r="E337" s="517" t="n">
        <v>0.0162819507481037</v>
      </c>
      <c r="F337" s="503" t="n">
        <f aca="false">IF(shiftswitch2=1,IF(F336+$D$8*(D337-F336)+($E$8*(F336^$F$8)*E337)+(1-$D$8)*(D337-D336)&lt;0,0.01,F336+$D$8*(D337-F336)+($E$8*(F336^$F$8)*E337)+(1-$D$8)*(D337-D336)),IF(F336+$D$10*(C337-F336)+($E$10*(F336^$F$10)*E337)+(1-$D$10)*(C337-C336)&lt;0,0.01,F336+$D$10*(C337-F336)+($E$10*(F336^$F$10)*E337)+(1-$D$10)*(C337-C336)))</f>
        <v>4.47255557634707</v>
      </c>
      <c r="H337" s="504" t="n">
        <v>21.168</v>
      </c>
      <c r="I337" s="501" t="n">
        <v>21.168</v>
      </c>
      <c r="J337" s="517" t="n">
        <v>-0.00768937188721301</v>
      </c>
      <c r="K337" s="503" t="n">
        <f aca="false">IF(shiftswitch2=1,K336+$D$9*(I337-K336)+($E$9*(K336^$F$9)*J337)+(1-$D$9)*(I337-I336),K336+$D$11*(H337-K336)+($E$11*(K336^$F$11)*J337)+(1-$D$11)*(H337-H336))</f>
        <v>21.0391458703605</v>
      </c>
      <c r="AP337" s="454"/>
      <c r="AQ337" s="454"/>
      <c r="AR337" s="454"/>
      <c r="AS337" s="454"/>
    </row>
    <row r="338" customFormat="false" ht="10.5" hidden="false" customHeight="false" outlineLevel="0" collapsed="false">
      <c r="A338" s="498" t="n">
        <v>44652</v>
      </c>
      <c r="B338" s="519" t="n">
        <f aca="false">YEAR(A338)</f>
        <v>2022</v>
      </c>
      <c r="C338" s="500" t="n">
        <v>4.3925</v>
      </c>
      <c r="D338" s="501" t="n">
        <f aca="false">IF(GasSwitch=0,VLOOKUP($A338,[1]!GasCurve,4),VLOOKUP($A338,[1]!AecoCurve,5))</f>
        <v>3.875</v>
      </c>
      <c r="E338" s="517" t="n">
        <v>-0.000363366598311164</v>
      </c>
      <c r="F338" s="503" t="n">
        <f aca="false">IF(shiftswitch2=1,IF(F337+$D$8*(D338-F337)+($E$8*(F337^$F$8)*E338)+(1-$D$8)*(D338-D337)&lt;0,0.01,F337+$D$8*(D338-F337)+($E$8*(F337^$F$8)*E338)+(1-$D$8)*(D338-D337)),IF(F337+$D$10*(C338-F337)+($E$10*(F337^$F$10)*E338)+(1-$D$10)*(C338-C337)&lt;0,0.01,F337+$D$10*(C338-F337)+($E$10*(F337^$F$10)*E338)+(1-$D$10)*(C338-C337)))</f>
        <v>4.41064743274273</v>
      </c>
      <c r="H338" s="504" t="n">
        <v>21.168</v>
      </c>
      <c r="I338" s="501" t="n">
        <v>21.168</v>
      </c>
      <c r="J338" s="517" t="n">
        <v>-0.0235578668861346</v>
      </c>
      <c r="K338" s="503" t="n">
        <f aca="false">IF(shiftswitch2=1,K337+$D$9*(I338-K337)+($E$9*(K337^$F$9)*J338)+(1-$D$9)*(I338-I337),K337+$D$11*(H338-K337)+($E$11*(K337^$F$11)*J338)+(1-$D$11)*(H338-H337))</f>
        <v>21.0127021386963</v>
      </c>
      <c r="AP338" s="454"/>
      <c r="AQ338" s="454"/>
      <c r="AR338" s="454"/>
      <c r="AS338" s="454"/>
    </row>
    <row r="339" customFormat="false" ht="10.5" hidden="false" customHeight="false" outlineLevel="0" collapsed="false">
      <c r="A339" s="498" t="n">
        <v>44682</v>
      </c>
      <c r="B339" s="519" t="n">
        <f aca="false">YEAR(A339)</f>
        <v>2022</v>
      </c>
      <c r="C339" s="500" t="n">
        <v>4.3665</v>
      </c>
      <c r="D339" s="501" t="n">
        <f aca="false">IF(GasSwitch=0,VLOOKUP($A339,[1]!GasCurve,4),VLOOKUP($A339,[1]!AecoCurve,5))</f>
        <v>3.894</v>
      </c>
      <c r="E339" s="517" t="n">
        <v>-0.0149440638144142</v>
      </c>
      <c r="F339" s="503" t="n">
        <f aca="false">IF(shiftswitch2=1,IF(F338+$D$8*(D339-F338)+($E$8*(F338^$F$8)*E339)+(1-$D$8)*(D339-D338)&lt;0,0.01,F338+$D$8*(D339-F338)+($E$8*(F338^$F$8)*E339)+(1-$D$8)*(D339-D338)),IF(F338+$D$10*(C339-F338)+($E$10*(F338^$F$10)*E339)+(1-$D$10)*(C339-C338)&lt;0,0.01,F338+$D$10*(C339-F338)+($E$10*(F338^$F$10)*E339)+(1-$D$10)*(C339-C338)))</f>
        <v>4.3675819784486</v>
      </c>
      <c r="H339" s="504" t="n">
        <v>21.168</v>
      </c>
      <c r="I339" s="501" t="n">
        <v>21.168</v>
      </c>
      <c r="J339" s="517" t="n">
        <v>0.0184611533272001</v>
      </c>
      <c r="K339" s="503" t="n">
        <f aca="false">IF(shiftswitch2=1,K338+$D$9*(I339-K338)+($E$9*(K338^$F$9)*J339)+(1-$D$9)*(I339-I338),K338+$D$11*(H339-K338)+($E$11*(K338^$F$11)*J339)+(1-$D$11)*(H339-H338))</f>
        <v>21.0587959861018</v>
      </c>
      <c r="AP339" s="454"/>
      <c r="AQ339" s="454"/>
      <c r="AR339" s="454"/>
      <c r="AS339" s="454"/>
    </row>
    <row r="340" customFormat="false" ht="10.5" hidden="false" customHeight="false" outlineLevel="0" collapsed="false">
      <c r="A340" s="498" t="n">
        <v>44713</v>
      </c>
      <c r="B340" s="519" t="n">
        <f aca="false">YEAR(A340)</f>
        <v>2022</v>
      </c>
      <c r="C340" s="500" t="n">
        <v>4.3725</v>
      </c>
      <c r="D340" s="501" t="n">
        <f aca="false">IF(GasSwitch=0,VLOOKUP($A340,[1]!GasCurve,4),VLOOKUP($A340,[1]!AecoCurve,5))</f>
        <v>3.922</v>
      </c>
      <c r="E340" s="517" t="n">
        <v>0.0231671888469002</v>
      </c>
      <c r="F340" s="503" t="n">
        <f aca="false">IF(shiftswitch2=1,IF(F339+$D$8*(D340-F339)+($E$8*(F339^$F$8)*E340)+(1-$D$8)*(D340-D339)&lt;0,0.01,F339+$D$8*(D340-F339)+($E$8*(F339^$F$8)*E340)+(1-$D$8)*(D340-D339)),IF(F339+$D$10*(C340-F339)+($E$10*(F339^$F$10)*E340)+(1-$D$10)*(C340-C339)&lt;0,0.01,F339+$D$10*(C340-F339)+($E$10*(F339^$F$10)*E340)+(1-$D$10)*(C340-C339)))</f>
        <v>4.38832972416127</v>
      </c>
      <c r="H340" s="504" t="n">
        <v>21.168</v>
      </c>
      <c r="I340" s="501" t="n">
        <v>21.168</v>
      </c>
      <c r="J340" s="517" t="n">
        <v>0.030099658399454</v>
      </c>
      <c r="K340" s="503" t="n">
        <f aca="false">IF(shiftswitch2=1,K339+$D$9*(I340-K339)+($E$9*(K339^$F$9)*J340)+(1-$D$9)*(I340-I339),K339+$D$11*(H340-K339)+($E$11*(K339^$F$11)*J340)+(1-$D$11)*(H340-H339))</f>
        <v>21.1196930150545</v>
      </c>
      <c r="AP340" s="454"/>
      <c r="AQ340" s="454"/>
      <c r="AR340" s="454"/>
      <c r="AS340" s="454"/>
    </row>
    <row r="341" customFormat="false" ht="10.5" hidden="false" customHeight="false" outlineLevel="0" collapsed="false">
      <c r="A341" s="498" t="n">
        <v>44743</v>
      </c>
      <c r="B341" s="519" t="n">
        <f aca="false">YEAR(A341)</f>
        <v>2022</v>
      </c>
      <c r="C341" s="500" t="n">
        <v>4.3825</v>
      </c>
      <c r="D341" s="501" t="n">
        <f aca="false">IF(GasSwitch=0,VLOOKUP($A341,[1]!GasCurve,4),VLOOKUP($A341,[1]!AecoCurve,5))</f>
        <v>3.933</v>
      </c>
      <c r="E341" s="517" t="n">
        <v>0.0280264180307445</v>
      </c>
      <c r="F341" s="503" t="n">
        <f aca="false">IF(shiftswitch2=1,IF(F340+$D$8*(D341-F340)+($E$8*(F340^$F$8)*E341)+(1-$D$8)*(D341-D340)&lt;0,0.01,F340+$D$8*(D341-F340)+($E$8*(F340^$F$8)*E341)+(1-$D$8)*(D341-D340)),IF(F340+$D$10*(C341-F340)+($E$10*(F340^$F$10)*E341)+(1-$D$10)*(C341-C340)&lt;0,0.01,F340+$D$10*(C341-F340)+($E$10*(F340^$F$10)*E341)+(1-$D$10)*(C341-C340)))</f>
        <v>4.4104321308739</v>
      </c>
      <c r="H341" s="504" t="n">
        <v>21.168</v>
      </c>
      <c r="I341" s="501" t="n">
        <v>21.168</v>
      </c>
      <c r="J341" s="517" t="n">
        <v>-0.00516291676172027</v>
      </c>
      <c r="K341" s="503" t="n">
        <f aca="false">IF(shiftswitch2=1,K340+$D$9*(I341-K340)+($E$9*(K340^$F$9)*J341)+(1-$D$9)*(I341-I340),K340+$D$11*(H341-K340)+($E$11*(K340^$F$11)*J341)+(1-$D$11)*(H341-H340))</f>
        <v>21.1158843130726</v>
      </c>
      <c r="AP341" s="454"/>
      <c r="AQ341" s="454"/>
      <c r="AR341" s="454"/>
      <c r="AS341" s="454"/>
    </row>
    <row r="342" customFormat="false" ht="10.5" hidden="false" customHeight="false" outlineLevel="0" collapsed="false">
      <c r="A342" s="498" t="n">
        <v>44774</v>
      </c>
      <c r="B342" s="519" t="n">
        <f aca="false">YEAR(A342)</f>
        <v>2022</v>
      </c>
      <c r="C342" s="500" t="n">
        <v>4.3895</v>
      </c>
      <c r="D342" s="501" t="n">
        <f aca="false">IF(GasSwitch=0,VLOOKUP($A342,[1]!GasCurve,4),VLOOKUP($A342,[1]!AecoCurve,5))</f>
        <v>3.942</v>
      </c>
      <c r="E342" s="517" t="n">
        <v>-0.0187691190252299</v>
      </c>
      <c r="F342" s="503" t="n">
        <f aca="false">IF(shiftswitch2=1,IF(F341+$D$8*(D342-F341)+($E$8*(F341^$F$8)*E342)+(1-$D$8)*(D342-D341)&lt;0,0.01,F341+$D$8*(D342-F341)+($E$8*(F341^$F$8)*E342)+(1-$D$8)*(D342-D341)),IF(F341+$D$10*(C342-F341)+($E$10*(F341^$F$10)*E342)+(1-$D$10)*(C342-C341)&lt;0,0.01,F341+$D$10*(C342-F341)+($E$10*(F341^$F$10)*E342)+(1-$D$10)*(C342-C341)))</f>
        <v>4.39395230145748</v>
      </c>
      <c r="H342" s="504" t="n">
        <v>21.168</v>
      </c>
      <c r="I342" s="501" t="n">
        <v>21.168</v>
      </c>
      <c r="J342" s="517" t="n">
        <v>0.0536891725114085</v>
      </c>
      <c r="K342" s="503" t="n">
        <f aca="false">IF(shiftswitch2=1,K341+$D$9*(I342-K341)+($E$9*(K341^$F$9)*J342)+(1-$D$9)*(I342-I341),K341+$D$11*(H342-K341)+($E$11*(K341^$F$11)*J342)+(1-$D$11)*(H342-H341))</f>
        <v>21.2103825491374</v>
      </c>
      <c r="AP342" s="454"/>
      <c r="AQ342" s="454"/>
      <c r="AR342" s="454"/>
      <c r="AS342" s="454"/>
    </row>
    <row r="343" customFormat="false" ht="10.5" hidden="false" customHeight="false" outlineLevel="0" collapsed="false">
      <c r="A343" s="498" t="n">
        <v>44805</v>
      </c>
      <c r="B343" s="519" t="n">
        <f aca="false">YEAR(A343)</f>
        <v>2022</v>
      </c>
      <c r="C343" s="500" t="n">
        <v>4.3965</v>
      </c>
      <c r="D343" s="501" t="n">
        <f aca="false">IF(GasSwitch=0,VLOOKUP($A343,[1]!GasCurve,4),VLOOKUP($A343,[1]!AecoCurve,5))</f>
        <v>3.93</v>
      </c>
      <c r="E343" s="517" t="n">
        <v>0.0340891264477912</v>
      </c>
      <c r="F343" s="503" t="n">
        <f aca="false">IF(shiftswitch2=1,IF(F342+$D$8*(D343-F342)+($E$8*(F342^$F$8)*E343)+(1-$D$8)*(D343-D342)&lt;0,0.01,F342+$D$8*(D343-F342)+($E$8*(F342^$F$8)*E343)+(1-$D$8)*(D343-D342)),IF(F342+$D$10*(C343-F342)+($E$10*(F342^$F$10)*E343)+(1-$D$10)*(C343-C342)&lt;0,0.01,F342+$D$10*(C343-F342)+($E$10*(F342^$F$10)*E343)+(1-$D$10)*(C343-C342)))</f>
        <v>4.42158110067251</v>
      </c>
      <c r="H343" s="504" t="n">
        <v>21.168</v>
      </c>
      <c r="I343" s="501" t="n">
        <v>21.168</v>
      </c>
      <c r="J343" s="517" t="n">
        <v>-0.0385486110052393</v>
      </c>
      <c r="K343" s="503" t="n">
        <f aca="false">IF(shiftswitch2=1,K342+$D$9*(I343-K342)+($E$9*(K342^$F$9)*J343)+(1-$D$9)*(I343-I342),K342+$D$11*(H343-K342)+($E$11*(K342^$F$11)*J343)+(1-$D$11)*(H343-H342))</f>
        <v>21.14204178806</v>
      </c>
      <c r="AP343" s="454"/>
      <c r="AQ343" s="454"/>
      <c r="AR343" s="454"/>
      <c r="AS343" s="454"/>
    </row>
    <row r="344" customFormat="false" ht="10.5" hidden="false" customHeight="false" outlineLevel="0" collapsed="false">
      <c r="A344" s="498" t="n">
        <v>44835</v>
      </c>
      <c r="B344" s="519" t="n">
        <f aca="false">YEAR(A344)</f>
        <v>2022</v>
      </c>
      <c r="C344" s="500" t="n">
        <v>4.4225</v>
      </c>
      <c r="D344" s="501" t="n">
        <f aca="false">IF(GasSwitch=0,VLOOKUP($A344,[1]!GasCurve,4),VLOOKUP($A344,[1]!AecoCurve,5))</f>
        <v>3.938</v>
      </c>
      <c r="E344" s="517" t="n">
        <v>0.000506134354951252</v>
      </c>
      <c r="F344" s="503" t="n">
        <f aca="false">IF(shiftswitch2=1,IF(F343+$D$8*(D344-F343)+($E$8*(F343^$F$8)*E344)+(1-$D$8)*(D344-D343)&lt;0,0.01,F343+$D$8*(D344-F343)+($E$8*(F343^$F$8)*E344)+(1-$D$8)*(D344-D343)),IF(F343+$D$10*(C344-F343)+($E$10*(F343^$F$10)*E344)+(1-$D$10)*(C344-C343)&lt;0,0.01,F343+$D$10*(C344-F343)+($E$10*(F343^$F$10)*E344)+(1-$D$10)*(C344-C343)))</f>
        <v>4.43792745717647</v>
      </c>
      <c r="H344" s="504" t="n">
        <v>21.168</v>
      </c>
      <c r="I344" s="501" t="n">
        <v>21.168</v>
      </c>
      <c r="J344" s="517" t="n">
        <v>0.00972492464879258</v>
      </c>
      <c r="K344" s="503" t="n">
        <f aca="false">IF(shiftswitch2=1,K343+$D$9*(I344-K343)+($E$9*(K343^$F$9)*J344)+(1-$D$9)*(I344-I343),K343+$D$11*(H344-K343)+($E$11*(K343^$F$11)*J344)+(1-$D$11)*(H344-H343))</f>
        <v>21.1607939256577</v>
      </c>
      <c r="AP344" s="454"/>
      <c r="AQ344" s="454"/>
      <c r="AR344" s="454"/>
      <c r="AS344" s="454"/>
    </row>
    <row r="345" customFormat="false" ht="10.5" hidden="false" customHeight="false" outlineLevel="0" collapsed="false">
      <c r="A345" s="498" t="n">
        <v>44866</v>
      </c>
      <c r="B345" s="519" t="n">
        <f aca="false">YEAR(A345)</f>
        <v>2022</v>
      </c>
      <c r="C345" s="500" t="n">
        <v>4.5575</v>
      </c>
      <c r="D345" s="501" t="n">
        <f aca="false">IF(GasSwitch=0,VLOOKUP($A345,[1]!GasCurve,4),VLOOKUP($A345,[1]!AecoCurve,5))</f>
        <v>3.979</v>
      </c>
      <c r="E345" s="517" t="n">
        <v>-0.0182420376798945</v>
      </c>
      <c r="F345" s="503" t="n">
        <f aca="false">IF(shiftswitch2=1,IF(F344+$D$8*(D345-F344)+($E$8*(F344^$F$8)*E345)+(1-$D$8)*(D345-D344)&lt;0,0.01,F344+$D$8*(D345-F344)+($E$8*(F344^$F$8)*E345)+(1-$D$8)*(D345-D344)),IF(F344+$D$10*(C345-F344)+($E$10*(F344^$F$10)*E345)+(1-$D$10)*(C345-C344)&lt;0,0.01,F344+$D$10*(C345-F344)+($E$10*(F344^$F$10)*E345)+(1-$D$10)*(C345-C344)))</f>
        <v>4.55473663115473</v>
      </c>
      <c r="H345" s="504" t="n">
        <v>21.168</v>
      </c>
      <c r="I345" s="501" t="n">
        <v>21.168</v>
      </c>
      <c r="J345" s="517" t="n">
        <v>0.0399136209746311</v>
      </c>
      <c r="K345" s="503" t="n">
        <f aca="false">IF(shiftswitch2=1,K344+$D$9*(I345-K344)+($E$9*(K344^$F$9)*J345)+(1-$D$9)*(I345-I344),K344+$D$11*(H345-K344)+($E$11*(K344^$F$11)*J345)+(1-$D$11)*(H345-H344))</f>
        <v>21.2279235923194</v>
      </c>
      <c r="AP345" s="454"/>
      <c r="AQ345" s="454"/>
      <c r="AR345" s="454"/>
      <c r="AS345" s="454"/>
    </row>
    <row r="346" customFormat="false" ht="10.5" hidden="false" customHeight="false" outlineLevel="0" collapsed="false">
      <c r="A346" s="498" t="n">
        <v>44896</v>
      </c>
      <c r="B346" s="519" t="n">
        <f aca="false">YEAR(A346)</f>
        <v>2022</v>
      </c>
      <c r="C346" s="500" t="n">
        <v>4.6815</v>
      </c>
      <c r="D346" s="501" t="n">
        <f aca="false">IF(GasSwitch=0,VLOOKUP($A346,[1]!GasCurve,4),VLOOKUP($A346,[1]!AecoCurve,5))</f>
        <v>4.048</v>
      </c>
      <c r="E346" s="517" t="n">
        <v>-0.00207808489366531</v>
      </c>
      <c r="F346" s="503" t="n">
        <f aca="false">IF(shiftswitch2=1,IF(F345+$D$8*(D346-F345)+($E$8*(F345^$F$8)*E346)+(1-$D$8)*(D346-D345)&lt;0,0.01,F345+$D$8*(D346-F345)+($E$8*(F345^$F$8)*E346)+(1-$D$8)*(D346-D345)),IF(F345+$D$10*(C346-F345)+($E$10*(F345^$F$10)*E346)+(1-$D$10)*(C346-C345)&lt;0,0.01,F345+$D$10*(C346-F345)+($E$10*(F345^$F$10)*E346)+(1-$D$10)*(C346-C345)))</f>
        <v>4.67844662797965</v>
      </c>
      <c r="H346" s="504" t="n">
        <v>21.168</v>
      </c>
      <c r="I346" s="501" t="n">
        <v>21.168</v>
      </c>
      <c r="J346" s="517" t="n">
        <v>0.0106387874070906</v>
      </c>
      <c r="K346" s="503" t="n">
        <f aca="false">IF(shiftswitch2=1,K345+$D$9*(I346-K345)+($E$9*(K345^$F$9)*J346)+(1-$D$9)*(I346-I345),K345+$D$11*(H346-K345)+($E$11*(K345^$F$11)*J346)+(1-$D$11)*(H346-H345))</f>
        <v>21.2396940989252</v>
      </c>
      <c r="AP346" s="454"/>
      <c r="AQ346" s="454"/>
      <c r="AR346" s="454"/>
      <c r="AS346" s="454"/>
    </row>
    <row r="347" customFormat="false" ht="10.5" hidden="false" customHeight="false" outlineLevel="0" collapsed="false">
      <c r="A347" s="498" t="n">
        <v>44927</v>
      </c>
      <c r="B347" s="519" t="n">
        <f aca="false">YEAR(A347)</f>
        <v>2023</v>
      </c>
      <c r="C347" s="500" t="n">
        <v>4.82</v>
      </c>
      <c r="D347" s="501" t="n">
        <f aca="false">IF(GasSwitch=0,VLOOKUP($A347,[1]!GasCurve,4),VLOOKUP($A347,[1]!AecoCurve,5))</f>
        <v>4.0725</v>
      </c>
      <c r="E347" s="517" t="n">
        <v>0.0478474820893141</v>
      </c>
      <c r="F347" s="503" t="n">
        <f aca="false">IF(shiftswitch2=1,IF(F346+$D$8*(D347-F346)+($E$8*(F346^$F$8)*E347)+(1-$D$8)*(D347-D346)&lt;0,0.01,F346+$D$8*(D347-F346)+($E$8*(F346^$F$8)*E347)+(1-$D$8)*(D347-D346)),IF(F346+$D$10*(C347-F346)+($E$10*(F346^$F$10)*E347)+(1-$D$10)*(C347-C346)&lt;0,0.01,F346+$D$10*(C347-F346)+($E$10*(F346^$F$10)*E347)+(1-$D$10)*(C347-C346)))</f>
        <v>4.85060745792511</v>
      </c>
      <c r="H347" s="504" t="n">
        <v>21.168</v>
      </c>
      <c r="I347" s="501" t="n">
        <v>21.168</v>
      </c>
      <c r="J347" s="517" t="n">
        <v>0.0237119955591552</v>
      </c>
      <c r="K347" s="503" t="n">
        <f aca="false">IF(shiftswitch2=1,K346+$D$9*(I347-K346)+($E$9*(K346^$F$9)*J347)+(1-$D$9)*(I347-I346),K346+$D$11*(H347-K346)+($E$11*(K346^$F$11)*J347)+(1-$D$11)*(H347-H346))</f>
        <v>21.272053143742</v>
      </c>
      <c r="AP347" s="454"/>
      <c r="AQ347" s="454"/>
      <c r="AR347" s="454"/>
      <c r="AS347" s="454"/>
    </row>
    <row r="348" customFormat="false" ht="10.5" hidden="false" customHeight="false" outlineLevel="0" collapsed="false">
      <c r="A348" s="498" t="n">
        <v>44958</v>
      </c>
      <c r="B348" s="519" t="n">
        <f aca="false">YEAR(A348)</f>
        <v>2023</v>
      </c>
      <c r="C348" s="500" t="n">
        <v>4.702</v>
      </c>
      <c r="D348" s="501" t="n">
        <f aca="false">IF(GasSwitch=0,VLOOKUP($A348,[1]!GasCurve,4),VLOOKUP($A348,[1]!AecoCurve,5))</f>
        <v>4.0395</v>
      </c>
      <c r="E348" s="517" t="n">
        <v>0.0679897334106152</v>
      </c>
      <c r="F348" s="503" t="n">
        <f aca="false">IF(shiftswitch2=1,IF(F347+$D$8*(D348-F347)+($E$8*(F347^$F$8)*E348)+(1-$D$8)*(D348-D347)&lt;0,0.01,F347+$D$8*(D348-F347)+($E$8*(F347^$F$8)*E348)+(1-$D$8)*(D348-D347)),IF(F347+$D$10*(C348-F347)+($E$10*(F347^$F$10)*E348)+(1-$D$10)*(C348-C347)&lt;0,0.01,F347+$D$10*(C348-F347)+($E$10*(F347^$F$10)*E348)+(1-$D$10)*(C348-C347)))</f>
        <v>4.76736344456344</v>
      </c>
      <c r="H348" s="504" t="n">
        <v>21.168</v>
      </c>
      <c r="I348" s="501" t="n">
        <v>21.168</v>
      </c>
      <c r="J348" s="517" t="n">
        <v>0.00978152497481792</v>
      </c>
      <c r="K348" s="503" t="n">
        <f aca="false">IF(shiftswitch2=1,K347+$D$9*(I348-K347)+($E$9*(K347^$F$9)*J348)+(1-$D$9)*(I348-I347),K347+$D$11*(H348-K347)+($E$11*(K347^$F$11)*J348)+(1-$D$11)*(H348-H347))</f>
        <v>21.2780283400696</v>
      </c>
      <c r="AP348" s="454"/>
      <c r="AQ348" s="454"/>
      <c r="AR348" s="454"/>
      <c r="AS348" s="454"/>
    </row>
    <row r="349" customFormat="false" ht="10.5" hidden="false" customHeight="false" outlineLevel="0" collapsed="false">
      <c r="A349" s="498" t="n">
        <v>44986</v>
      </c>
      <c r="B349" s="519" t="n">
        <f aca="false">YEAR(A349)</f>
        <v>2023</v>
      </c>
      <c r="C349" s="500" t="n">
        <v>4.582</v>
      </c>
      <c r="D349" s="501" t="n">
        <f aca="false">IF(GasSwitch=0,VLOOKUP($A349,[1]!GasCurve,4),VLOOKUP($A349,[1]!AecoCurve,5))</f>
        <v>3.9845</v>
      </c>
      <c r="E349" s="517" t="n">
        <v>0.037870397464968</v>
      </c>
      <c r="F349" s="503" t="n">
        <f aca="false">IF(shiftswitch2=1,IF(F348+$D$8*(D349-F348)+($E$8*(F348^$F$8)*E349)+(1-$D$8)*(D349-D348)&lt;0,0.01,F348+$D$8*(D349-F348)+($E$8*(F348^$F$8)*E349)+(1-$D$8)*(D349-D348)),IF(F348+$D$10*(C349-F348)+($E$10*(F348^$F$10)*E349)+(1-$D$10)*(C349-C348)&lt;0,0.01,F348+$D$10*(C349-F348)+($E$10*(F348^$F$10)*E349)+(1-$D$10)*(C349-C348)))</f>
        <v>4.64725820042211</v>
      </c>
      <c r="H349" s="504" t="n">
        <v>21.168</v>
      </c>
      <c r="I349" s="501" t="n">
        <v>21.168</v>
      </c>
      <c r="J349" s="517" t="n">
        <v>-0.0185681784016484</v>
      </c>
      <c r="K349" s="503" t="n">
        <f aca="false">IF(shiftswitch2=1,K348+$D$9*(I349-K348)+($E$9*(K348^$F$9)*J349)+(1-$D$9)*(I349-I348),K348+$D$11*(H349-K348)+($E$11*(K348^$F$11)*J349)+(1-$D$11)*(H349-H348))</f>
        <v>21.2362380855424</v>
      </c>
      <c r="AP349" s="454"/>
      <c r="AQ349" s="454"/>
      <c r="AR349" s="454"/>
      <c r="AS349" s="454"/>
    </row>
    <row r="350" customFormat="false" ht="10.5" hidden="false" customHeight="false" outlineLevel="0" collapsed="false">
      <c r="A350" s="498" t="n">
        <v>45017</v>
      </c>
      <c r="B350" s="519" t="n">
        <f aca="false">YEAR(A350)</f>
        <v>2023</v>
      </c>
      <c r="C350" s="500" t="n">
        <v>4.5325</v>
      </c>
      <c r="D350" s="501" t="n">
        <f aca="false">IF(GasSwitch=0,VLOOKUP($A350,[1]!GasCurve,4),VLOOKUP($A350,[1]!AecoCurve,5))</f>
        <v>3.9445</v>
      </c>
      <c r="E350" s="517" t="n">
        <v>0.0424029112528299</v>
      </c>
      <c r="F350" s="503" t="n">
        <f aca="false">IF(shiftswitch2=1,IF(F349+$D$8*(D350-F349)+($E$8*(F349^$F$8)*E350)+(1-$D$8)*(D350-D349)&lt;0,0.01,F349+$D$8*(D350-F349)+($E$8*(F349^$F$8)*E350)+(1-$D$8)*(D350-D349)),IF(F349+$D$10*(C350-F349)+($E$10*(F349^$F$10)*E350)+(1-$D$10)*(C350-C349)&lt;0,0.01,F349+$D$10*(C350-F349)+($E$10*(F349^$F$10)*E350)+(1-$D$10)*(C350-C349)))</f>
        <v>4.60042944424436</v>
      </c>
      <c r="H350" s="504" t="n">
        <v>21.168</v>
      </c>
      <c r="I350" s="501" t="n">
        <v>21.168</v>
      </c>
      <c r="J350" s="517" t="n">
        <v>-0.0202798210572601</v>
      </c>
      <c r="K350" s="503" t="n">
        <f aca="false">IF(shiftswitch2=1,K349+$D$9*(I350-K349)+($E$9*(K349^$F$9)*J350)+(1-$D$9)*(I350-I349),K349+$D$11*(H350-K349)+($E$11*(K349^$F$11)*J350)+(1-$D$11)*(H350-H349))</f>
        <v>21.1957368928344</v>
      </c>
      <c r="AP350" s="454"/>
      <c r="AQ350" s="454"/>
      <c r="AR350" s="454"/>
      <c r="AS350" s="454"/>
    </row>
    <row r="351" customFormat="false" ht="10.5" hidden="false" customHeight="false" outlineLevel="0" collapsed="false">
      <c r="A351" s="498" t="n">
        <v>45047</v>
      </c>
      <c r="B351" s="519" t="n">
        <f aca="false">YEAR(A351)</f>
        <v>2023</v>
      </c>
      <c r="C351" s="500" t="n">
        <v>4.5065</v>
      </c>
      <c r="D351" s="501" t="n">
        <f aca="false">IF(GasSwitch=0,VLOOKUP($A351,[1]!GasCurve,4),VLOOKUP($A351,[1]!AecoCurve,5))</f>
        <v>3.9645</v>
      </c>
      <c r="E351" s="517" t="n">
        <v>-0.0105065127242015</v>
      </c>
      <c r="F351" s="503" t="n">
        <f aca="false">IF(shiftswitch2=1,IF(F350+$D$8*(D351-F350)+($E$8*(F350^$F$8)*E351)+(1-$D$8)*(D351-D350)&lt;0,0.01,F350+$D$8*(D351-F350)+($E$8*(F350^$F$8)*E351)+(1-$D$8)*(D351-D350)),IF(F350+$D$10*(C351-F350)+($E$10*(F350^$F$10)*E351)+(1-$D$10)*(C351-C350)&lt;0,0.01,F350+$D$10*(C351-F350)+($E$10*(F350^$F$10)*E351)+(1-$D$10)*(C351-C350)))</f>
        <v>4.54031521353877</v>
      </c>
      <c r="H351" s="504" t="n">
        <v>21.168</v>
      </c>
      <c r="I351" s="501" t="n">
        <v>21.168</v>
      </c>
      <c r="J351" s="517" t="n">
        <v>-0.0111172004855669</v>
      </c>
      <c r="K351" s="503" t="n">
        <f aca="false">IF(shiftswitch2=1,K350+$D$9*(I351-K350)+($E$9*(K350^$F$9)*J351)+(1-$D$9)*(I351-I350),K350+$D$11*(H351-K350)+($E$11*(K350^$F$11)*J351)+(1-$D$11)*(H351-H350))</f>
        <v>21.1744919188358</v>
      </c>
      <c r="AP351" s="454"/>
      <c r="AQ351" s="454"/>
      <c r="AR351" s="454"/>
      <c r="AS351" s="454"/>
    </row>
    <row r="352" customFormat="false" ht="10.5" hidden="false" customHeight="false" outlineLevel="0" collapsed="false">
      <c r="A352" s="498" t="n">
        <v>45078</v>
      </c>
      <c r="B352" s="519" t="n">
        <f aca="false">YEAR(A352)</f>
        <v>2023</v>
      </c>
      <c r="C352" s="500" t="n">
        <v>4.5125</v>
      </c>
      <c r="D352" s="501" t="n">
        <f aca="false">IF(GasSwitch=0,VLOOKUP($A352,[1]!GasCurve,4),VLOOKUP($A352,[1]!AecoCurve,5))</f>
        <v>3.9935</v>
      </c>
      <c r="E352" s="517" t="n">
        <v>0.0196059214547967</v>
      </c>
      <c r="F352" s="503" t="n">
        <f aca="false">IF(shiftswitch2=1,IF(F351+$D$8*(D352-F351)+($E$8*(F351^$F$8)*E352)+(1-$D$8)*(D352-D351)&lt;0,0.01,F351+$D$8*(D352-F351)+($E$8*(F351^$F$8)*E352)+(1-$D$8)*(D352-D351)),IF(F351+$D$10*(C352-F351)+($E$10*(F351^$F$10)*E352)+(1-$D$10)*(C352-C351)&lt;0,0.01,F351+$D$10*(C352-F351)+($E$10*(F351^$F$10)*E352)+(1-$D$10)*(C352-C351)))</f>
        <v>4.54594687423472</v>
      </c>
      <c r="H352" s="504" t="n">
        <v>21.168</v>
      </c>
      <c r="I352" s="501" t="n">
        <v>21.168</v>
      </c>
      <c r="J352" s="517" t="n">
        <v>-0.052836208312196</v>
      </c>
      <c r="K352" s="503" t="n">
        <f aca="false">IF(shiftswitch2=1,K351+$D$9*(I352-K351)+($E$9*(K351^$F$9)*J352)+(1-$D$9)*(I352-I351),K351+$D$11*(H352-K351)+($E$11*(K351^$F$11)*J352)+(1-$D$11)*(H352-H351))</f>
        <v>21.0859297682396</v>
      </c>
      <c r="AP352" s="454"/>
      <c r="AQ352" s="454"/>
      <c r="AR352" s="454"/>
      <c r="AS352" s="454"/>
    </row>
    <row r="353" customFormat="false" ht="10.5" hidden="false" customHeight="false" outlineLevel="0" collapsed="false">
      <c r="A353" s="498" t="n">
        <v>45108</v>
      </c>
      <c r="B353" s="519" t="n">
        <f aca="false">YEAR(A353)</f>
        <v>2023</v>
      </c>
      <c r="C353" s="500" t="n">
        <v>4.5225</v>
      </c>
      <c r="D353" s="501" t="n">
        <f aca="false">IF(GasSwitch=0,VLOOKUP($A353,[1]!GasCurve,4),VLOOKUP($A353,[1]!AecoCurve,5))</f>
        <v>4.0045</v>
      </c>
      <c r="E353" s="517" t="n">
        <v>-0.0209850397131137</v>
      </c>
      <c r="F353" s="503" t="n">
        <f aca="false">IF(shiftswitch2=1,IF(F352+$D$8*(D353-F352)+($E$8*(F352^$F$8)*E353)+(1-$D$8)*(D353-D352)&lt;0,0.01,F352+$D$8*(D353-F352)+($E$8*(F352^$F$8)*E353)+(1-$D$8)*(D353-D352)),IF(F352+$D$10*(C353-F352)+($E$10*(F352^$F$10)*E353)+(1-$D$10)*(C353-C352)&lt;0,0.01,F352+$D$10*(C353-F352)+($E$10*(F352^$F$10)*E353)+(1-$D$10)*(C353-C352)))</f>
        <v>4.52860149939565</v>
      </c>
      <c r="H353" s="504" t="n">
        <v>21.168</v>
      </c>
      <c r="I353" s="501" t="n">
        <v>21.168</v>
      </c>
      <c r="J353" s="517" t="n">
        <v>-0.0173358794669421</v>
      </c>
      <c r="K353" s="503" t="n">
        <f aca="false">IF(shiftswitch2=1,K352+$D$9*(I353-K352)+($E$9*(K352^$F$9)*J353)+(1-$D$9)*(I353-I352),K352+$D$11*(H353-K352)+($E$11*(K352^$F$11)*J353)+(1-$D$11)*(H353-H352))</f>
        <v>21.0652078177509</v>
      </c>
      <c r="AP353" s="454"/>
      <c r="AQ353" s="454"/>
      <c r="AR353" s="454"/>
      <c r="AS353" s="454"/>
    </row>
    <row r="354" customFormat="false" ht="10.5" hidden="false" customHeight="false" outlineLevel="0" collapsed="false">
      <c r="A354" s="498" t="n">
        <v>45139</v>
      </c>
      <c r="B354" s="519" t="n">
        <f aca="false">YEAR(A354)</f>
        <v>2023</v>
      </c>
      <c r="C354" s="500" t="n">
        <v>4.5295</v>
      </c>
      <c r="D354" s="501" t="n">
        <f aca="false">IF(GasSwitch=0,VLOOKUP($A354,[1]!GasCurve,4),VLOOKUP($A354,[1]!AecoCurve,5))</f>
        <v>4.0135</v>
      </c>
      <c r="E354" s="517" t="n">
        <v>-0.00703639200892548</v>
      </c>
      <c r="F354" s="503" t="n">
        <f aca="false">IF(shiftswitch2=1,IF(F353+$D$8*(D354-F353)+($E$8*(F353^$F$8)*E354)+(1-$D$8)*(D354-D353)&lt;0,0.01,F353+$D$8*(D354-F353)+($E$8*(F353^$F$8)*E354)+(1-$D$8)*(D354-D353)),IF(F353+$D$10*(C354-F353)+($E$10*(F353^$F$10)*E354)+(1-$D$10)*(C354-C353)&lt;0,0.01,F353+$D$10*(C354-F353)+($E$10*(F353^$F$10)*E354)+(1-$D$10)*(C354-C353)))</f>
        <v>4.52847759547835</v>
      </c>
      <c r="H354" s="504" t="n">
        <v>21.168</v>
      </c>
      <c r="I354" s="501" t="n">
        <v>21.168</v>
      </c>
      <c r="J354" s="517" t="n">
        <v>-0.0148275070516874</v>
      </c>
      <c r="K354" s="503" t="n">
        <f aca="false">IF(shiftswitch2=1,K353+$D$9*(I354-K353)+($E$9*(K353^$F$9)*J354)+(1-$D$9)*(I354-I353),K353+$D$11*(H354-K353)+($E$11*(K353^$F$11)*J354)+(1-$D$11)*(H354-H353))</f>
        <v>21.0507112720595</v>
      </c>
      <c r="AP354" s="454"/>
      <c r="AQ354" s="454"/>
      <c r="AR354" s="454"/>
      <c r="AS354" s="454"/>
    </row>
    <row r="355" customFormat="false" ht="10.5" hidden="false" customHeight="false" outlineLevel="0" collapsed="false">
      <c r="A355" s="498" t="n">
        <v>45170</v>
      </c>
      <c r="B355" s="519" t="n">
        <f aca="false">YEAR(A355)</f>
        <v>2023</v>
      </c>
      <c r="C355" s="500" t="n">
        <v>4.5365</v>
      </c>
      <c r="D355" s="501" t="n">
        <f aca="false">IF(GasSwitch=0,VLOOKUP($A355,[1]!GasCurve,4),VLOOKUP($A355,[1]!AecoCurve,5))</f>
        <v>4.0005</v>
      </c>
      <c r="E355" s="517" t="n">
        <v>0.0039080634703387</v>
      </c>
      <c r="F355" s="503" t="n">
        <f aca="false">IF(shiftswitch2=1,IF(F354+$D$8*(D355-F354)+($E$8*(F354^$F$8)*E355)+(1-$D$8)*(D355-D354)&lt;0,0.01,F354+$D$8*(D355-F354)+($E$8*(F354^$F$8)*E355)+(1-$D$8)*(D355-D354)),IF(F354+$D$10*(C355-F354)+($E$10*(F354^$F$10)*E355)+(1-$D$10)*(C355-C354)&lt;0,0.01,F354+$D$10*(C355-F354)+($E$10*(F354^$F$10)*E355)+(1-$D$10)*(C355-C354)))</f>
        <v>4.53849192246898</v>
      </c>
      <c r="H355" s="504" t="n">
        <v>21.168</v>
      </c>
      <c r="I355" s="501" t="n">
        <v>21.168</v>
      </c>
      <c r="J355" s="517" t="n">
        <v>0.0401268548870003</v>
      </c>
      <c r="K355" s="503" t="n">
        <f aca="false">IF(shiftswitch2=1,K354+$D$9*(I355-K354)+($E$9*(K354^$F$9)*J355)+(1-$D$9)*(I355-I354),K354+$D$11*(H355-K354)+($E$11*(K354^$F$11)*J355)+(1-$D$11)*(H355-H354))</f>
        <v>21.1290939426576</v>
      </c>
      <c r="AP355" s="454"/>
      <c r="AQ355" s="454"/>
      <c r="AR355" s="454"/>
      <c r="AS355" s="454"/>
    </row>
    <row r="356" customFormat="false" ht="10.5" hidden="false" customHeight="false" outlineLevel="0" collapsed="false">
      <c r="A356" s="498" t="n">
        <v>45200</v>
      </c>
      <c r="B356" s="519" t="n">
        <f aca="false">YEAR(A356)</f>
        <v>2023</v>
      </c>
      <c r="C356" s="500" t="n">
        <v>4.5625</v>
      </c>
      <c r="D356" s="501" t="n">
        <f aca="false">IF(GasSwitch=0,VLOOKUP($A356,[1]!GasCurve,4),VLOOKUP($A356,[1]!AecoCurve,5))</f>
        <v>4.0075</v>
      </c>
      <c r="E356" s="517" t="n">
        <v>0.0440345991532067</v>
      </c>
      <c r="F356" s="503" t="n">
        <f aca="false">IF(shiftswitch2=1,IF(F355+$D$8*(D356-F355)+($E$8*(F355^$F$8)*E356)+(1-$D$8)*(D356-D355)&lt;0,0.01,F355+$D$8*(D356-F355)+($E$8*(F355^$F$8)*E356)+(1-$D$8)*(D356-D355)),IF(F355+$D$10*(C356-F355)+($E$10*(F355^$F$10)*E356)+(1-$D$10)*(C356-C355)&lt;0,0.01,F355+$D$10*(C356-F355)+($E$10*(F355^$F$10)*E356)+(1-$D$10)*(C356-C355)))</f>
        <v>4.59310822099009</v>
      </c>
      <c r="H356" s="504" t="n">
        <v>21.168</v>
      </c>
      <c r="I356" s="501" t="n">
        <v>21.168</v>
      </c>
      <c r="J356" s="517" t="n">
        <v>-0.0267783033217128</v>
      </c>
      <c r="K356" s="503" t="n">
        <f aca="false">IF(shiftswitch2=1,K355+$D$9*(I356-K355)+($E$9*(K355^$F$9)*J356)+(1-$D$9)*(I356-I355),K355+$D$11*(H356-K355)+($E$11*(K355^$F$11)*J356)+(1-$D$11)*(H356-H355))</f>
        <v>21.0883865456072</v>
      </c>
      <c r="AP356" s="454"/>
      <c r="AQ356" s="454"/>
      <c r="AR356" s="454"/>
      <c r="AS356" s="454"/>
    </row>
    <row r="357" customFormat="false" ht="10.5" hidden="false" customHeight="false" outlineLevel="0" collapsed="false">
      <c r="A357" s="498" t="n">
        <v>45231</v>
      </c>
      <c r="B357" s="519" t="n">
        <f aca="false">YEAR(A357)</f>
        <v>2023</v>
      </c>
      <c r="C357" s="500" t="n">
        <v>4.6975</v>
      </c>
      <c r="D357" s="501" t="n">
        <f aca="false">IF(GasSwitch=0,VLOOKUP($A357,[1]!GasCurve,4),VLOOKUP($A357,[1]!AecoCurve,5))</f>
        <v>4.0435</v>
      </c>
      <c r="E357" s="517" t="n">
        <v>-0.0264167938605441</v>
      </c>
      <c r="F357" s="503" t="n">
        <f aca="false">IF(shiftswitch2=1,IF(F356+$D$8*(D357-F356)+($E$8*(F356^$F$8)*E357)+(1-$D$8)*(D357-D356)&lt;0,0.01,F356+$D$8*(D357-F356)+($E$8*(F356^$F$8)*E357)+(1-$D$8)*(D357-D356)),IF(F356+$D$10*(C357-F356)+($E$10*(F356^$F$10)*E357)+(1-$D$10)*(C357-C356)&lt;0,0.01,F356+$D$10*(C357-F356)+($E$10*(F356^$F$10)*E357)+(1-$D$10)*(C357-C356)))</f>
        <v>4.69817114582369</v>
      </c>
      <c r="H357" s="504" t="n">
        <v>21.168</v>
      </c>
      <c r="I357" s="501" t="n">
        <v>21.168</v>
      </c>
      <c r="J357" s="517" t="n">
        <v>0.0476732008538417</v>
      </c>
      <c r="K357" s="503" t="n">
        <f aca="false">IF(shiftswitch2=1,K356+$D$9*(I357-K356)+($E$9*(K356^$F$9)*J357)+(1-$D$9)*(I357-I356),K356+$D$11*(H357-K356)+($E$11*(K356^$F$11)*J357)+(1-$D$11)*(H357-H356))</f>
        <v>21.1755964838129</v>
      </c>
      <c r="AP357" s="454"/>
      <c r="AQ357" s="454"/>
      <c r="AR357" s="454"/>
      <c r="AS357" s="454"/>
    </row>
    <row r="358" customFormat="false" ht="10.5" hidden="false" customHeight="false" outlineLevel="0" collapsed="false">
      <c r="A358" s="498" t="n">
        <v>45261</v>
      </c>
      <c r="B358" s="519" t="n">
        <f aca="false">YEAR(A358)</f>
        <v>2023</v>
      </c>
      <c r="C358" s="500" t="n">
        <v>4.8215</v>
      </c>
      <c r="D358" s="501" t="n">
        <f aca="false">IF(GasSwitch=0,VLOOKUP($A358,[1]!GasCurve,4),VLOOKUP($A358,[1]!AecoCurve,5))</f>
        <v>4.1095</v>
      </c>
      <c r="E358" s="517" t="n">
        <v>-0.0238910672505056</v>
      </c>
      <c r="F358" s="503" t="n">
        <f aca="false">IF(shiftswitch2=1,IF(F357+$D$8*(D358-F357)+($E$8*(F357^$F$8)*E358)+(1-$D$8)*(D358-D357)&lt;0,0.01,F357+$D$8*(D358-F357)+($E$8*(F357^$F$8)*E358)+(1-$D$8)*(D358-D357)),IF(F357+$D$10*(C358-F357)+($E$10*(F357^$F$10)*E358)+(1-$D$10)*(C358-C357)&lt;0,0.01,F357+$D$10*(C358-F357)+($E$10*(F357^$F$10)*E358)+(1-$D$10)*(C358-C357)))</f>
        <v>4.80566944807402</v>
      </c>
      <c r="H358" s="504" t="n">
        <v>21.168</v>
      </c>
      <c r="I358" s="501" t="n">
        <v>21.168</v>
      </c>
      <c r="J358" s="517" t="n">
        <v>-0.0466370186481152</v>
      </c>
      <c r="K358" s="503" t="n">
        <f aca="false">IF(shiftswitch2=1,K357+$D$9*(I358-K357)+($E$9*(K357^$F$9)*J358)+(1-$D$9)*(I358-I357),K357+$D$11*(H358-K357)+($E$11*(K357^$F$11)*J358)+(1-$D$11)*(H358-H357))</f>
        <v>21.0972404328849</v>
      </c>
      <c r="AP358" s="454"/>
      <c r="AQ358" s="454"/>
      <c r="AR358" s="454"/>
      <c r="AS358" s="454"/>
    </row>
    <row r="359" customFormat="false" ht="10.5" hidden="false" customHeight="false" outlineLevel="0" collapsed="false">
      <c r="A359" s="498" t="n">
        <v>45292</v>
      </c>
      <c r="B359" s="519" t="n">
        <f aca="false">YEAR(A359)</f>
        <v>2024</v>
      </c>
      <c r="C359" s="500" t="n">
        <v>4.965</v>
      </c>
      <c r="D359" s="501" t="n">
        <f aca="false">IF(GasSwitch=0,VLOOKUP($A359,[1]!GasCurve,4),VLOOKUP($A359,[1]!AecoCurve,5))</f>
        <v>4.132</v>
      </c>
      <c r="E359" s="517" t="n">
        <v>-0.0221202161456425</v>
      </c>
      <c r="F359" s="503" t="n">
        <f aca="false">IF(shiftswitch2=1,IF(F358+$D$8*(D359-F358)+($E$8*(F358^$F$8)*E359)+(1-$D$8)*(D359-D358)&lt;0,0.01,F358+$D$8*(D359-F358)+($E$8*(F358^$F$8)*E359)+(1-$D$8)*(D359-D358)),IF(F358+$D$10*(C359-F358)+($E$10*(F358^$F$10)*E359)+(1-$D$10)*(C359-C358)&lt;0,0.01,F358+$D$10*(C359-F358)+($E$10*(F358^$F$10)*E359)+(1-$D$10)*(C359-C358)))</f>
        <v>4.94027106425895</v>
      </c>
      <c r="H359" s="504" t="n">
        <v>21.168</v>
      </c>
      <c r="I359" s="501" t="n">
        <v>21.168</v>
      </c>
      <c r="J359" s="517" t="n">
        <v>-0.0238294905363768</v>
      </c>
      <c r="K359" s="503" t="n">
        <f aca="false">IF(shiftswitch2=1,K358+$D$9*(I359-K358)+($E$9*(K358^$F$9)*J359)+(1-$D$9)*(I359-I358),K358+$D$11*(H359-K358)+($E$11*(K358^$F$11)*J359)+(1-$D$11)*(H359-H358))</f>
        <v>21.0645933577768</v>
      </c>
      <c r="AP359" s="454"/>
      <c r="AQ359" s="454"/>
      <c r="AR359" s="454"/>
      <c r="AS359" s="454"/>
    </row>
    <row r="360" customFormat="false" ht="10.5" hidden="false" customHeight="false" outlineLevel="0" collapsed="false">
      <c r="A360" s="498" t="n">
        <v>45323</v>
      </c>
      <c r="B360" s="519" t="n">
        <f aca="false">YEAR(A360)</f>
        <v>2024</v>
      </c>
      <c r="C360" s="500" t="n">
        <v>4.847</v>
      </c>
      <c r="D360" s="501" t="n">
        <f aca="false">IF(GasSwitch=0,VLOOKUP($A360,[1]!GasCurve,4),VLOOKUP($A360,[1]!AecoCurve,5))</f>
        <v>4.103</v>
      </c>
      <c r="E360" s="517" t="n">
        <v>0.0204791877157074</v>
      </c>
      <c r="F360" s="503" t="n">
        <f aca="false">IF(shiftswitch2=1,IF(F359+$D$8*(D360-F359)+($E$8*(F359^$F$8)*E360)+(1-$D$8)*(D360-D359)&lt;0,0.01,F359+$D$8*(D360-F359)+($E$8*(F359^$F$8)*E360)+(1-$D$8)*(D360-D359)),IF(F359+$D$10*(C360-F359)+($E$10*(F359^$F$10)*E360)+(1-$D$10)*(C360-C359)&lt;0,0.01,F359+$D$10*(C360-F359)+($E$10*(F359^$F$10)*E360)+(1-$D$10)*(C360-C359)))</f>
        <v>4.84638818194104</v>
      </c>
      <c r="H360" s="504" t="n">
        <v>21.168</v>
      </c>
      <c r="I360" s="501" t="n">
        <v>21.168</v>
      </c>
      <c r="J360" s="517" t="n">
        <v>0.0389815463685372</v>
      </c>
      <c r="K360" s="503" t="n">
        <f aca="false">IF(shiftswitch2=1,K359+$D$9*(I360-K359)+($E$9*(K359^$F$9)*J360)+(1-$D$9)*(I360-I359),K359+$D$11*(H360-K359)+($E$11*(K359^$F$11)*J360)+(1-$D$11)*(H360-H359))</f>
        <v>21.1396959085141</v>
      </c>
      <c r="AP360" s="454"/>
      <c r="AQ360" s="454"/>
      <c r="AR360" s="454"/>
      <c r="AS360" s="454"/>
    </row>
    <row r="361" customFormat="false" ht="10.5" hidden="false" customHeight="false" outlineLevel="0" collapsed="false">
      <c r="A361" s="498" t="n">
        <v>45352</v>
      </c>
      <c r="B361" s="519" t="n">
        <f aca="false">YEAR(A361)</f>
        <v>2024</v>
      </c>
      <c r="C361" s="500" t="n">
        <v>4.727</v>
      </c>
      <c r="D361" s="501" t="n">
        <f aca="false">IF(GasSwitch=0,VLOOKUP($A361,[1]!GasCurve,4),VLOOKUP($A361,[1]!AecoCurve,5))</f>
        <v>4.051</v>
      </c>
      <c r="E361" s="517" t="n">
        <v>-0.0387173762491044</v>
      </c>
      <c r="F361" s="503" t="n">
        <f aca="false">IF(shiftswitch2=1,IF(F360+$D$8*(D361-F360)+($E$8*(F360^$F$8)*E361)+(1-$D$8)*(D361-D360)&lt;0,0.01,F360+$D$8*(D361-F360)+($E$8*(F360^$F$8)*E361)+(1-$D$8)*(D361-D360)),IF(F360+$D$10*(C361-F360)+($E$10*(F360^$F$10)*E361)+(1-$D$10)*(C361-C360)&lt;0,0.01,F360+$D$10*(C361-F360)+($E$10*(F360^$F$10)*E361)+(1-$D$10)*(C361-C360)))</f>
        <v>4.69991081678203</v>
      </c>
      <c r="H361" s="504" t="n">
        <v>21.168</v>
      </c>
      <c r="I361" s="501" t="n">
        <v>21.168</v>
      </c>
      <c r="J361" s="517" t="n">
        <v>-0.0202397987132658</v>
      </c>
      <c r="K361" s="503" t="n">
        <f aca="false">IF(shiftswitch2=1,K360+$D$9*(I361-K360)+($E$9*(K360^$F$9)*J361)+(1-$D$9)*(I361-I360),K360+$D$11*(H361-K360)+($E$11*(K360^$F$11)*J361)+(1-$D$11)*(H361-H360))</f>
        <v>21.1088189885124</v>
      </c>
      <c r="AP361" s="454"/>
      <c r="AQ361" s="454"/>
      <c r="AR361" s="454"/>
      <c r="AS361" s="454"/>
    </row>
    <row r="362" customFormat="false" ht="10.5" hidden="false" customHeight="false" outlineLevel="0" collapsed="false">
      <c r="A362" s="498" t="n">
        <v>45383</v>
      </c>
      <c r="B362" s="519" t="n">
        <f aca="false">YEAR(A362)</f>
        <v>2024</v>
      </c>
      <c r="C362" s="500" t="n">
        <v>4.6775</v>
      </c>
      <c r="D362" s="501" t="n">
        <f aca="false">IF(GasSwitch=0,VLOOKUP($A362,[1]!GasCurve,4),VLOOKUP($A362,[1]!AecoCurve,5))</f>
        <v>4.014</v>
      </c>
      <c r="E362" s="517" t="n">
        <v>0.018886421163682</v>
      </c>
      <c r="F362" s="503" t="n">
        <f aca="false">IF(shiftswitch2=1,IF(F361+$D$8*(D362-F361)+($E$8*(F361^$F$8)*E362)+(1-$D$8)*(D362-D361)&lt;0,0.01,F361+$D$8*(D362-F361)+($E$8*(F361^$F$8)*E362)+(1-$D$8)*(D362-D361)),IF(F361+$D$10*(C362-F361)+($E$10*(F361^$F$10)*E362)+(1-$D$10)*(C362-C361)&lt;0,0.01,F361+$D$10*(C362-F361)+($E$10*(F361^$F$10)*E362)+(1-$D$10)*(C362-C361)))</f>
        <v>4.67403379797395</v>
      </c>
      <c r="H362" s="504" t="n">
        <v>21.168</v>
      </c>
      <c r="I362" s="501" t="n">
        <v>21.168</v>
      </c>
      <c r="J362" s="517" t="n">
        <v>0.0272080442249359</v>
      </c>
      <c r="K362" s="503" t="n">
        <f aca="false">IF(shiftswitch2=1,K361+$D$9*(I362-K361)+($E$9*(K361^$F$9)*J362)+(1-$D$9)*(I362-I361),K361+$D$11*(H362-K361)+($E$11*(K361^$F$11)*J362)+(1-$D$11)*(H362-H361))</f>
        <v>21.1599520942399</v>
      </c>
      <c r="AP362" s="454"/>
      <c r="AQ362" s="454"/>
      <c r="AR362" s="454"/>
      <c r="AS362" s="454"/>
    </row>
    <row r="363" customFormat="false" ht="10.5" hidden="false" customHeight="false" outlineLevel="0" collapsed="false">
      <c r="A363" s="498" t="n">
        <v>45413</v>
      </c>
      <c r="B363" s="519" t="n">
        <f aca="false">YEAR(A363)</f>
        <v>2024</v>
      </c>
      <c r="C363" s="500" t="n">
        <v>4.6515</v>
      </c>
      <c r="D363" s="501" t="n">
        <f aca="false">IF(GasSwitch=0,VLOOKUP($A363,[1]!GasCurve,4),VLOOKUP($A363,[1]!AecoCurve,5))</f>
        <v>4.035</v>
      </c>
      <c r="E363" s="517" t="n">
        <v>0.00435169697031278</v>
      </c>
      <c r="F363" s="503" t="n">
        <f aca="false">IF(shiftswitch2=1,IF(F362+$D$8*(D363-F362)+($E$8*(F362^$F$8)*E363)+(1-$D$8)*(D363-D362)&lt;0,0.01,F362+$D$8*(D363-F362)+($E$8*(F362^$F$8)*E363)+(1-$D$8)*(D363-D362)),IF(F362+$D$10*(C363-F362)+($E$10*(F362^$F$10)*E363)+(1-$D$10)*(C363-C362)&lt;0,0.01,F362+$D$10*(C363-F362)+($E$10*(F362^$F$10)*E363)+(1-$D$10)*(C363-C362)))</f>
        <v>4.65236349693396</v>
      </c>
      <c r="H363" s="504" t="n">
        <v>21.168</v>
      </c>
      <c r="I363" s="501" t="n">
        <v>21.168</v>
      </c>
      <c r="J363" s="517" t="n">
        <v>0.0020149463696835</v>
      </c>
      <c r="K363" s="503" t="n">
        <f aca="false">IF(shiftswitch2=1,K362+$D$9*(I363-K362)+($E$9*(K362^$F$9)*J363)+(1-$D$9)*(I363-I362),K362+$D$11*(H363-K362)+($E$11*(K362^$F$11)*J363)+(1-$D$11)*(H363-H362))</f>
        <v>21.1641017076693</v>
      </c>
      <c r="AP363" s="454"/>
      <c r="AQ363" s="454"/>
      <c r="AR363" s="454"/>
      <c r="AS363" s="454"/>
    </row>
    <row r="364" customFormat="false" ht="10.5" hidden="false" customHeight="false" outlineLevel="0" collapsed="false">
      <c r="AP364" s="454"/>
      <c r="AQ364" s="454"/>
      <c r="AR364" s="454"/>
      <c r="AS364" s="454"/>
    </row>
    <row r="365" customFormat="false" ht="10.5" hidden="false" customHeight="false" outlineLevel="0" collapsed="false">
      <c r="AP365" s="454"/>
      <c r="AQ365" s="454"/>
      <c r="AR365" s="454"/>
      <c r="AS365" s="454"/>
    </row>
    <row r="366" customFormat="false" ht="10.5" hidden="false" customHeight="false" outlineLevel="0" collapsed="false">
      <c r="AP366" s="454"/>
      <c r="AQ366" s="454"/>
      <c r="AR366" s="454"/>
      <c r="AS366" s="454"/>
    </row>
    <row r="367" customFormat="false" ht="10.5" hidden="false" customHeight="false" outlineLevel="0" collapsed="false">
      <c r="AP367" s="454"/>
      <c r="AQ367" s="454"/>
      <c r="AR367" s="454"/>
      <c r="AS367" s="454"/>
    </row>
    <row r="368" customFormat="false" ht="10.5" hidden="false" customHeight="false" outlineLevel="0" collapsed="false">
      <c r="AP368" s="454"/>
      <c r="AQ368" s="454"/>
      <c r="AR368" s="454"/>
      <c r="AS368" s="454"/>
    </row>
    <row r="369" customFormat="false" ht="10.5" hidden="false" customHeight="false" outlineLevel="0" collapsed="false">
      <c r="AP369" s="454"/>
      <c r="AQ369" s="454"/>
      <c r="AR369" s="454"/>
      <c r="AS369" s="454"/>
    </row>
    <row r="370" customFormat="false" ht="10.5" hidden="false" customHeight="false" outlineLevel="0" collapsed="false">
      <c r="AP370" s="454"/>
      <c r="AQ370" s="454"/>
      <c r="AR370" s="454"/>
      <c r="AS370" s="454"/>
    </row>
    <row r="371" customFormat="false" ht="10.5" hidden="false" customHeight="false" outlineLevel="0" collapsed="false">
      <c r="AP371" s="454"/>
      <c r="AQ371" s="454"/>
      <c r="AR371" s="454"/>
      <c r="AS371" s="454"/>
    </row>
    <row r="372" customFormat="false" ht="10.5" hidden="false" customHeight="false" outlineLevel="0" collapsed="false">
      <c r="AP372" s="454"/>
      <c r="AQ372" s="454"/>
      <c r="AR372" s="454"/>
      <c r="AS372" s="454"/>
    </row>
    <row r="373" customFormat="false" ht="10.5" hidden="false" customHeight="false" outlineLevel="0" collapsed="false">
      <c r="AP373" s="454"/>
      <c r="AQ373" s="454"/>
      <c r="AR373" s="454"/>
      <c r="AS373" s="454"/>
    </row>
    <row r="374" customFormat="false" ht="10.5" hidden="false" customHeight="false" outlineLevel="0" collapsed="false">
      <c r="AP374" s="454"/>
      <c r="AQ374" s="454"/>
      <c r="AR374" s="454"/>
      <c r="AS374" s="454"/>
    </row>
    <row r="375" customFormat="false" ht="10.5" hidden="false" customHeight="false" outlineLevel="0" collapsed="false">
      <c r="AP375" s="454"/>
      <c r="AQ375" s="454"/>
      <c r="AR375" s="454"/>
      <c r="AS375" s="454"/>
    </row>
    <row r="376" customFormat="false" ht="10.5" hidden="false" customHeight="false" outlineLevel="0" collapsed="false">
      <c r="AP376" s="454"/>
      <c r="AQ376" s="454"/>
      <c r="AR376" s="454"/>
      <c r="AS376" s="454"/>
    </row>
    <row r="377" customFormat="false" ht="10.5" hidden="false" customHeight="false" outlineLevel="0" collapsed="false">
      <c r="AP377" s="454"/>
      <c r="AQ377" s="454"/>
      <c r="AR377" s="454"/>
      <c r="AS377" s="454"/>
    </row>
    <row r="378" customFormat="false" ht="10.5" hidden="false" customHeight="false" outlineLevel="0" collapsed="false">
      <c r="AP378" s="454"/>
      <c r="AQ378" s="454"/>
      <c r="AR378" s="454"/>
      <c r="AS378" s="454"/>
    </row>
    <row r="379" customFormat="false" ht="10.5" hidden="false" customHeight="false" outlineLevel="0" collapsed="false">
      <c r="AP379" s="454"/>
      <c r="AQ379" s="454"/>
      <c r="AR379" s="454"/>
      <c r="AS379" s="454"/>
    </row>
    <row r="380" customFormat="false" ht="10.5" hidden="false" customHeight="false" outlineLevel="0" collapsed="false">
      <c r="AP380" s="454"/>
      <c r="AQ380" s="454"/>
      <c r="AR380" s="454"/>
      <c r="AS380" s="454"/>
    </row>
    <row r="381" customFormat="false" ht="10.5" hidden="false" customHeight="false" outlineLevel="0" collapsed="false">
      <c r="AP381" s="454"/>
      <c r="AQ381" s="454"/>
      <c r="AR381" s="454"/>
      <c r="AS381" s="454"/>
    </row>
    <row r="382" customFormat="false" ht="10.5" hidden="false" customHeight="false" outlineLevel="0" collapsed="false">
      <c r="AP382" s="454"/>
      <c r="AQ382" s="454"/>
      <c r="AR382" s="454"/>
      <c r="AS382" s="454"/>
    </row>
    <row r="383" customFormat="false" ht="10.5" hidden="false" customHeight="false" outlineLevel="0" collapsed="false">
      <c r="AP383" s="454"/>
      <c r="AQ383" s="454"/>
      <c r="AR383" s="454"/>
      <c r="AS383" s="454"/>
    </row>
    <row r="384" customFormat="false" ht="10.5" hidden="false" customHeight="false" outlineLevel="0" collapsed="false">
      <c r="AP384" s="454"/>
      <c r="AQ384" s="454"/>
      <c r="AR384" s="454"/>
      <c r="AS384" s="454"/>
    </row>
    <row r="385" customFormat="false" ht="10.5" hidden="false" customHeight="false" outlineLevel="0" collapsed="false">
      <c r="AP385" s="454"/>
      <c r="AQ385" s="454"/>
      <c r="AR385" s="454"/>
      <c r="AS385" s="454"/>
    </row>
    <row r="386" customFormat="false" ht="10.5" hidden="false" customHeight="false" outlineLevel="0" collapsed="false">
      <c r="AP386" s="454"/>
      <c r="AQ386" s="454"/>
      <c r="AR386" s="454"/>
      <c r="AS386" s="454"/>
    </row>
    <row r="387" customFormat="false" ht="10.5" hidden="false" customHeight="false" outlineLevel="0" collapsed="false">
      <c r="AP387" s="454"/>
      <c r="AQ387" s="454"/>
      <c r="AR387" s="454"/>
      <c r="AS387" s="454"/>
    </row>
    <row r="388" customFormat="false" ht="10.5" hidden="false" customHeight="false" outlineLevel="0" collapsed="false">
      <c r="AP388" s="454"/>
      <c r="AQ388" s="454"/>
      <c r="AR388" s="454"/>
      <c r="AS388" s="454"/>
    </row>
    <row r="389" customFormat="false" ht="10.5" hidden="false" customHeight="false" outlineLevel="0" collapsed="false">
      <c r="AP389" s="454"/>
      <c r="AQ389" s="454"/>
      <c r="AR389" s="454"/>
      <c r="AS389" s="454"/>
    </row>
    <row r="390" customFormat="false" ht="10.5" hidden="false" customHeight="false" outlineLevel="0" collapsed="false">
      <c r="AP390" s="454"/>
      <c r="AQ390" s="454"/>
      <c r="AR390" s="454"/>
      <c r="AS390" s="454"/>
    </row>
    <row r="391" customFormat="false" ht="10.5" hidden="false" customHeight="false" outlineLevel="0" collapsed="false">
      <c r="AP391" s="454"/>
      <c r="AQ391" s="454"/>
      <c r="AR391" s="454"/>
      <c r="AS391" s="454"/>
    </row>
    <row r="392" customFormat="false" ht="10.5" hidden="false" customHeight="false" outlineLevel="0" collapsed="false">
      <c r="AP392" s="454"/>
      <c r="AQ392" s="454"/>
      <c r="AR392" s="454"/>
      <c r="AS392" s="454"/>
    </row>
    <row r="393" customFormat="false" ht="10.5" hidden="false" customHeight="false" outlineLevel="0" collapsed="false">
      <c r="AP393" s="454"/>
      <c r="AQ393" s="454"/>
      <c r="AR393" s="454"/>
      <c r="AS393" s="454"/>
    </row>
    <row r="394" customFormat="false" ht="10.5" hidden="false" customHeight="false" outlineLevel="0" collapsed="false">
      <c r="AP394" s="454"/>
      <c r="AQ394" s="454"/>
      <c r="AR394" s="454"/>
      <c r="AS394" s="454"/>
    </row>
    <row r="395" customFormat="false" ht="10.5" hidden="false" customHeight="false" outlineLevel="0" collapsed="false">
      <c r="AP395" s="454"/>
      <c r="AQ395" s="454"/>
      <c r="AR395" s="454"/>
      <c r="AS395" s="454"/>
    </row>
    <row r="396" customFormat="false" ht="10.5" hidden="false" customHeight="false" outlineLevel="0" collapsed="false">
      <c r="AP396" s="454"/>
      <c r="AQ396" s="454"/>
      <c r="AR396" s="454"/>
      <c r="AS396" s="454"/>
    </row>
    <row r="397" customFormat="false" ht="10.5" hidden="false" customHeight="false" outlineLevel="0" collapsed="false">
      <c r="AP397" s="454"/>
      <c r="AQ397" s="454"/>
      <c r="AR397" s="454"/>
      <c r="AS397" s="454"/>
    </row>
    <row r="398" customFormat="false" ht="10.5" hidden="false" customHeight="false" outlineLevel="0" collapsed="false">
      <c r="AP398" s="454"/>
      <c r="AQ398" s="454"/>
      <c r="AR398" s="454"/>
      <c r="AS398" s="454"/>
    </row>
    <row r="399" customFormat="false" ht="10.5" hidden="false" customHeight="false" outlineLevel="0" collapsed="false">
      <c r="AP399" s="454"/>
      <c r="AQ399" s="454"/>
      <c r="AR399" s="454"/>
      <c r="AS399" s="454"/>
    </row>
    <row r="400" customFormat="false" ht="10.5" hidden="false" customHeight="false" outlineLevel="0" collapsed="false">
      <c r="AP400" s="454"/>
      <c r="AQ400" s="454"/>
      <c r="AR400" s="454"/>
      <c r="AS400" s="454"/>
    </row>
    <row r="401" customFormat="false" ht="10.5" hidden="false" customHeight="false" outlineLevel="0" collapsed="false">
      <c r="AP401" s="454"/>
      <c r="AQ401" s="454"/>
      <c r="AR401" s="454"/>
      <c r="AS401" s="454"/>
    </row>
    <row r="402" customFormat="false" ht="10.5" hidden="false" customHeight="false" outlineLevel="0" collapsed="false">
      <c r="AP402" s="454"/>
      <c r="AQ402" s="454"/>
      <c r="AR402" s="454"/>
      <c r="AS402" s="454"/>
    </row>
    <row r="403" customFormat="false" ht="10.5" hidden="false" customHeight="false" outlineLevel="0" collapsed="false">
      <c r="AP403" s="454"/>
      <c r="AQ403" s="454"/>
      <c r="AR403" s="454"/>
      <c r="AS403" s="454"/>
    </row>
    <row r="404" customFormat="false" ht="10.5" hidden="false" customHeight="false" outlineLevel="0" collapsed="false">
      <c r="AP404" s="454"/>
      <c r="AQ404" s="454"/>
      <c r="AR404" s="454"/>
      <c r="AS404" s="454"/>
    </row>
    <row r="405" customFormat="false" ht="10.5" hidden="false" customHeight="false" outlineLevel="0" collapsed="false">
      <c r="AP405" s="454"/>
      <c r="AQ405" s="454"/>
      <c r="AR405" s="454"/>
      <c r="AS405" s="454"/>
    </row>
    <row r="406" customFormat="false" ht="10.5" hidden="false" customHeight="false" outlineLevel="0" collapsed="false">
      <c r="AP406" s="454"/>
      <c r="AQ406" s="454"/>
      <c r="AR406" s="454"/>
      <c r="AS406" s="454"/>
    </row>
    <row r="407" customFormat="false" ht="10.5" hidden="false" customHeight="false" outlineLevel="0" collapsed="false">
      <c r="AP407" s="454"/>
      <c r="AQ407" s="454"/>
      <c r="AR407" s="454"/>
      <c r="AS407" s="454"/>
    </row>
    <row r="408" customFormat="false" ht="10.5" hidden="false" customHeight="false" outlineLevel="0" collapsed="false">
      <c r="AP408" s="454"/>
      <c r="AQ408" s="454"/>
      <c r="AR408" s="454"/>
      <c r="AS408" s="454"/>
    </row>
    <row r="409" customFormat="false" ht="10.5" hidden="false" customHeight="false" outlineLevel="0" collapsed="false">
      <c r="AP409" s="454"/>
      <c r="AQ409" s="454"/>
      <c r="AR409" s="454"/>
      <c r="AS409" s="454"/>
    </row>
    <row r="410" customFormat="false" ht="10.5" hidden="false" customHeight="false" outlineLevel="0" collapsed="false">
      <c r="AP410" s="454"/>
      <c r="AQ410" s="454"/>
      <c r="AR410" s="454"/>
      <c r="AS410" s="454"/>
    </row>
    <row r="411" customFormat="false" ht="10.5" hidden="false" customHeight="false" outlineLevel="0" collapsed="false">
      <c r="AP411" s="454"/>
      <c r="AQ411" s="454"/>
      <c r="AR411" s="454"/>
      <c r="AS411" s="454"/>
    </row>
    <row r="412" customFormat="false" ht="10.5" hidden="false" customHeight="false" outlineLevel="0" collapsed="false">
      <c r="AP412" s="454"/>
      <c r="AQ412" s="454"/>
      <c r="AR412" s="454"/>
      <c r="AS412" s="454"/>
    </row>
    <row r="413" customFormat="false" ht="10.5" hidden="false" customHeight="false" outlineLevel="0" collapsed="false">
      <c r="AP413" s="454"/>
      <c r="AQ413" s="454"/>
      <c r="AR413" s="454"/>
      <c r="AS413" s="454"/>
    </row>
    <row r="414" customFormat="false" ht="10.5" hidden="false" customHeight="false" outlineLevel="0" collapsed="false">
      <c r="AP414" s="454"/>
      <c r="AQ414" s="454"/>
      <c r="AR414" s="454"/>
      <c r="AS414" s="454"/>
    </row>
    <row r="415" customFormat="false" ht="10.5" hidden="false" customHeight="false" outlineLevel="0" collapsed="false">
      <c r="AP415" s="454"/>
      <c r="AQ415" s="454"/>
      <c r="AR415" s="454"/>
      <c r="AS415" s="454"/>
    </row>
    <row r="416" customFormat="false" ht="10.5" hidden="false" customHeight="false" outlineLevel="0" collapsed="false">
      <c r="AP416" s="454"/>
      <c r="AQ416" s="454"/>
      <c r="AR416" s="454"/>
      <c r="AS416" s="454"/>
    </row>
    <row r="417" customFormat="false" ht="10.5" hidden="false" customHeight="false" outlineLevel="0" collapsed="false">
      <c r="AP417" s="454"/>
      <c r="AQ417" s="454"/>
      <c r="AR417" s="454"/>
      <c r="AS417" s="454"/>
    </row>
    <row r="418" customFormat="false" ht="10.5" hidden="false" customHeight="false" outlineLevel="0" collapsed="false">
      <c r="AP418" s="454"/>
      <c r="AQ418" s="454"/>
      <c r="AR418" s="454"/>
      <c r="AS418" s="454"/>
    </row>
    <row r="419" customFormat="false" ht="10.5" hidden="false" customHeight="false" outlineLevel="0" collapsed="false">
      <c r="AP419" s="454"/>
      <c r="AQ419" s="454"/>
      <c r="AR419" s="454"/>
      <c r="AS419" s="454"/>
    </row>
    <row r="420" customFormat="false" ht="10.5" hidden="false" customHeight="false" outlineLevel="0" collapsed="false">
      <c r="AP420" s="454"/>
      <c r="AQ420" s="454"/>
      <c r="AR420" s="454"/>
      <c r="AS420" s="454"/>
    </row>
    <row r="421" customFormat="false" ht="10.5" hidden="false" customHeight="false" outlineLevel="0" collapsed="false">
      <c r="AP421" s="454"/>
      <c r="AQ421" s="454"/>
      <c r="AR421" s="454"/>
      <c r="AS421" s="454"/>
    </row>
    <row r="422" customFormat="false" ht="10.5" hidden="false" customHeight="false" outlineLevel="0" collapsed="false">
      <c r="AP422" s="454"/>
      <c r="AQ422" s="454"/>
      <c r="AR422" s="454"/>
      <c r="AS422" s="454"/>
    </row>
    <row r="423" customFormat="false" ht="10.5" hidden="false" customHeight="false" outlineLevel="0" collapsed="false">
      <c r="AP423" s="454"/>
      <c r="AQ423" s="454"/>
      <c r="AR423" s="454"/>
      <c r="AS423" s="454"/>
    </row>
    <row r="424" customFormat="false" ht="10.5" hidden="false" customHeight="false" outlineLevel="0" collapsed="false">
      <c r="AP424" s="454"/>
      <c r="AQ424" s="454"/>
      <c r="AR424" s="454"/>
      <c r="AS424" s="454"/>
    </row>
    <row r="425" customFormat="false" ht="10.5" hidden="false" customHeight="false" outlineLevel="0" collapsed="false">
      <c r="AP425" s="454"/>
      <c r="AQ425" s="454"/>
      <c r="AR425" s="454"/>
      <c r="AS425" s="454"/>
    </row>
    <row r="426" customFormat="false" ht="10.5" hidden="false" customHeight="false" outlineLevel="0" collapsed="false">
      <c r="AP426" s="454"/>
      <c r="AQ426" s="454"/>
      <c r="AR426" s="454"/>
      <c r="AS426" s="454"/>
    </row>
    <row r="427" customFormat="false" ht="10.5" hidden="false" customHeight="false" outlineLevel="0" collapsed="false">
      <c r="AP427" s="454"/>
      <c r="AQ427" s="454"/>
      <c r="AR427" s="454"/>
      <c r="AS427" s="454"/>
    </row>
    <row r="428" customFormat="false" ht="10.5" hidden="false" customHeight="false" outlineLevel="0" collapsed="false">
      <c r="AP428" s="454"/>
      <c r="AQ428" s="454"/>
      <c r="AR428" s="454"/>
      <c r="AS428" s="454"/>
    </row>
    <row r="429" customFormat="false" ht="10.5" hidden="false" customHeight="false" outlineLevel="0" collapsed="false">
      <c r="AP429" s="454"/>
      <c r="AQ429" s="454"/>
      <c r="AR429" s="454"/>
      <c r="AS429" s="454"/>
    </row>
    <row r="430" customFormat="false" ht="10.5" hidden="false" customHeight="false" outlineLevel="0" collapsed="false">
      <c r="AP430" s="454"/>
      <c r="AQ430" s="454"/>
      <c r="AR430" s="454"/>
      <c r="AS430" s="454"/>
    </row>
    <row r="431" customFormat="false" ht="10.5" hidden="false" customHeight="false" outlineLevel="0" collapsed="false">
      <c r="AP431" s="454"/>
      <c r="AQ431" s="454"/>
      <c r="AR431" s="454"/>
      <c r="AS431" s="454"/>
    </row>
    <row r="432" customFormat="false" ht="10.5" hidden="false" customHeight="false" outlineLevel="0" collapsed="false">
      <c r="AP432" s="454"/>
      <c r="AQ432" s="454"/>
      <c r="AR432" s="454"/>
      <c r="AS432" s="454"/>
    </row>
    <row r="433" customFormat="false" ht="10.5" hidden="false" customHeight="false" outlineLevel="0" collapsed="false">
      <c r="AP433" s="454"/>
      <c r="AQ433" s="454"/>
      <c r="AR433" s="454"/>
      <c r="AS433" s="454"/>
    </row>
    <row r="434" customFormat="false" ht="10.5" hidden="false" customHeight="false" outlineLevel="0" collapsed="false">
      <c r="AP434" s="454"/>
      <c r="AQ434" s="454"/>
      <c r="AR434" s="454"/>
      <c r="AS434" s="454"/>
    </row>
    <row r="435" customFormat="false" ht="10.5" hidden="false" customHeight="false" outlineLevel="0" collapsed="false">
      <c r="AP435" s="454"/>
      <c r="AQ435" s="454"/>
      <c r="AR435" s="454"/>
      <c r="AS435" s="454"/>
    </row>
    <row r="436" customFormat="false" ht="10.5" hidden="false" customHeight="false" outlineLevel="0" collapsed="false">
      <c r="AP436" s="454"/>
      <c r="AQ436" s="454"/>
      <c r="AR436" s="454"/>
      <c r="AS436" s="454"/>
    </row>
    <row r="437" customFormat="false" ht="10.5" hidden="false" customHeight="false" outlineLevel="0" collapsed="false">
      <c r="AP437" s="454"/>
      <c r="AQ437" s="454"/>
      <c r="AR437" s="454"/>
      <c r="AS437" s="454"/>
    </row>
    <row r="438" customFormat="false" ht="10.5" hidden="false" customHeight="false" outlineLevel="0" collapsed="false">
      <c r="AP438" s="454"/>
      <c r="AQ438" s="454"/>
      <c r="AR438" s="454"/>
      <c r="AS438" s="454"/>
    </row>
    <row r="439" customFormat="false" ht="10.5" hidden="false" customHeight="false" outlineLevel="0" collapsed="false">
      <c r="AP439" s="454"/>
      <c r="AQ439" s="454"/>
      <c r="AR439" s="454"/>
      <c r="AS439" s="454"/>
    </row>
    <row r="440" customFormat="false" ht="10.5" hidden="false" customHeight="false" outlineLevel="0" collapsed="false">
      <c r="AP440" s="454"/>
      <c r="AQ440" s="454"/>
      <c r="AR440" s="454"/>
      <c r="AS440" s="454"/>
    </row>
    <row r="441" customFormat="false" ht="10.5" hidden="false" customHeight="false" outlineLevel="0" collapsed="false">
      <c r="AP441" s="454"/>
      <c r="AQ441" s="454"/>
      <c r="AR441" s="454"/>
      <c r="AS441" s="454"/>
    </row>
    <row r="442" customFormat="false" ht="10.5" hidden="false" customHeight="false" outlineLevel="0" collapsed="false">
      <c r="AP442" s="454"/>
      <c r="AQ442" s="454"/>
      <c r="AR442" s="454"/>
      <c r="AS442" s="454"/>
    </row>
    <row r="443" customFormat="false" ht="10.5" hidden="false" customHeight="false" outlineLevel="0" collapsed="false">
      <c r="AP443" s="454"/>
      <c r="AQ443" s="454"/>
      <c r="AR443" s="454"/>
      <c r="AS443" s="454"/>
    </row>
    <row r="444" customFormat="false" ht="10.5" hidden="false" customHeight="false" outlineLevel="0" collapsed="false">
      <c r="AP444" s="454"/>
      <c r="AQ444" s="454"/>
      <c r="AR444" s="454"/>
      <c r="AS444" s="454"/>
    </row>
    <row r="445" customFormat="false" ht="10.5" hidden="false" customHeight="false" outlineLevel="0" collapsed="false">
      <c r="AP445" s="454"/>
      <c r="AQ445" s="454"/>
      <c r="AR445" s="454"/>
      <c r="AS445" s="454"/>
    </row>
    <row r="446" customFormat="false" ht="10.5" hidden="false" customHeight="false" outlineLevel="0" collapsed="false">
      <c r="AP446" s="454"/>
      <c r="AQ446" s="454"/>
      <c r="AR446" s="454"/>
      <c r="AS446" s="454"/>
    </row>
    <row r="447" customFormat="false" ht="10.5" hidden="false" customHeight="false" outlineLevel="0" collapsed="false">
      <c r="AP447" s="454"/>
      <c r="AQ447" s="454"/>
      <c r="AR447" s="454"/>
      <c r="AS447" s="454"/>
    </row>
    <row r="448" customFormat="false" ht="10.5" hidden="false" customHeight="false" outlineLevel="0" collapsed="false">
      <c r="AP448" s="454"/>
      <c r="AQ448" s="454"/>
      <c r="AR448" s="454"/>
      <c r="AS448" s="454"/>
    </row>
    <row r="449" customFormat="false" ht="10.5" hidden="false" customHeight="false" outlineLevel="0" collapsed="false">
      <c r="AP449" s="454"/>
      <c r="AQ449" s="454"/>
      <c r="AR449" s="454"/>
      <c r="AS449" s="454"/>
    </row>
    <row r="450" customFormat="false" ht="10.5" hidden="false" customHeight="false" outlineLevel="0" collapsed="false">
      <c r="AP450" s="454"/>
      <c r="AQ450" s="454"/>
      <c r="AR450" s="454"/>
      <c r="AS450" s="454"/>
    </row>
    <row r="451" customFormat="false" ht="10.5" hidden="false" customHeight="false" outlineLevel="0" collapsed="false">
      <c r="AP451" s="454"/>
      <c r="AQ451" s="454"/>
      <c r="AR451" s="454"/>
      <c r="AS451" s="454"/>
    </row>
    <row r="452" customFormat="false" ht="10.5" hidden="false" customHeight="false" outlineLevel="0" collapsed="false">
      <c r="AP452" s="454"/>
      <c r="AQ452" s="454"/>
      <c r="AR452" s="454"/>
      <c r="AS452" s="454"/>
    </row>
    <row r="453" customFormat="false" ht="10.5" hidden="false" customHeight="false" outlineLevel="0" collapsed="false">
      <c r="AP453" s="454"/>
      <c r="AQ453" s="454"/>
      <c r="AR453" s="454"/>
      <c r="AS453" s="454"/>
    </row>
    <row r="454" customFormat="false" ht="10.5" hidden="false" customHeight="false" outlineLevel="0" collapsed="false">
      <c r="AP454" s="454"/>
      <c r="AQ454" s="454"/>
      <c r="AR454" s="454"/>
      <c r="AS454" s="454"/>
    </row>
    <row r="455" customFormat="false" ht="10.5" hidden="false" customHeight="false" outlineLevel="0" collapsed="false">
      <c r="AP455" s="454"/>
      <c r="AQ455" s="454"/>
      <c r="AR455" s="454"/>
      <c r="AS455" s="454"/>
    </row>
    <row r="456" customFormat="false" ht="10.5" hidden="false" customHeight="false" outlineLevel="0" collapsed="false">
      <c r="AP456" s="454"/>
      <c r="AQ456" s="454"/>
      <c r="AR456" s="454"/>
      <c r="AS456" s="454"/>
    </row>
    <row r="457" customFormat="false" ht="10.5" hidden="false" customHeight="false" outlineLevel="0" collapsed="false">
      <c r="AP457" s="454"/>
      <c r="AQ457" s="454"/>
      <c r="AR457" s="454"/>
      <c r="AS457" s="454"/>
    </row>
    <row r="458" customFormat="false" ht="10.5" hidden="false" customHeight="false" outlineLevel="0" collapsed="false">
      <c r="AP458" s="454"/>
      <c r="AQ458" s="454"/>
      <c r="AR458" s="454"/>
      <c r="AS458" s="454"/>
    </row>
    <row r="459" customFormat="false" ht="10.5" hidden="false" customHeight="false" outlineLevel="0" collapsed="false">
      <c r="AP459" s="454"/>
      <c r="AQ459" s="454"/>
      <c r="AR459" s="454"/>
      <c r="AS459" s="454"/>
    </row>
    <row r="460" customFormat="false" ht="10.5" hidden="false" customHeight="false" outlineLevel="0" collapsed="false">
      <c r="AP460" s="454"/>
      <c r="AQ460" s="454"/>
      <c r="AR460" s="454"/>
      <c r="AS460" s="454"/>
    </row>
    <row r="461" customFormat="false" ht="10.5" hidden="false" customHeight="false" outlineLevel="0" collapsed="false">
      <c r="AP461" s="454"/>
      <c r="AQ461" s="454"/>
      <c r="AR461" s="454"/>
      <c r="AS461" s="454"/>
    </row>
    <row r="462" customFormat="false" ht="10.5" hidden="false" customHeight="false" outlineLevel="0" collapsed="false">
      <c r="AP462" s="454"/>
      <c r="AQ462" s="454"/>
      <c r="AR462" s="454"/>
      <c r="AS462" s="454"/>
    </row>
    <row r="463" customFormat="false" ht="10.5" hidden="false" customHeight="false" outlineLevel="0" collapsed="false">
      <c r="AP463" s="454"/>
      <c r="AQ463" s="454"/>
      <c r="AR463" s="454"/>
      <c r="AS463" s="454"/>
    </row>
    <row r="464" customFormat="false" ht="10.5" hidden="false" customHeight="false" outlineLevel="0" collapsed="false">
      <c r="AP464" s="454"/>
      <c r="AQ464" s="454"/>
      <c r="AR464" s="454"/>
      <c r="AS464" s="454"/>
    </row>
    <row r="465" customFormat="false" ht="10.5" hidden="false" customHeight="false" outlineLevel="0" collapsed="false">
      <c r="AP465" s="454"/>
      <c r="AQ465" s="454"/>
      <c r="AR465" s="454"/>
      <c r="AS465" s="454"/>
    </row>
    <row r="466" customFormat="false" ht="10.5" hidden="false" customHeight="false" outlineLevel="0" collapsed="false">
      <c r="AP466" s="454"/>
      <c r="AQ466" s="454"/>
      <c r="AR466" s="454"/>
      <c r="AS466" s="454"/>
    </row>
    <row r="467" customFormat="false" ht="10.5" hidden="false" customHeight="false" outlineLevel="0" collapsed="false">
      <c r="AP467" s="454"/>
      <c r="AQ467" s="454"/>
      <c r="AR467" s="454"/>
      <c r="AS467" s="454"/>
    </row>
    <row r="468" customFormat="false" ht="10.5" hidden="false" customHeight="false" outlineLevel="0" collapsed="false">
      <c r="AP468" s="454"/>
      <c r="AQ468" s="454"/>
      <c r="AR468" s="454"/>
      <c r="AS468" s="454"/>
    </row>
    <row r="469" customFormat="false" ht="10.5" hidden="false" customHeight="false" outlineLevel="0" collapsed="false">
      <c r="AP469" s="454"/>
      <c r="AQ469" s="454"/>
      <c r="AR469" s="454"/>
      <c r="AS469" s="454"/>
    </row>
    <row r="470" customFormat="false" ht="10.5" hidden="false" customHeight="false" outlineLevel="0" collapsed="false">
      <c r="AP470" s="454"/>
      <c r="AQ470" s="454"/>
      <c r="AR470" s="454"/>
      <c r="AS470" s="454"/>
    </row>
    <row r="471" customFormat="false" ht="10.5" hidden="false" customHeight="false" outlineLevel="0" collapsed="false">
      <c r="AP471" s="454"/>
      <c r="AQ471" s="454"/>
      <c r="AR471" s="454"/>
      <c r="AS471" s="454"/>
    </row>
    <row r="472" customFormat="false" ht="10.5" hidden="false" customHeight="false" outlineLevel="0" collapsed="false">
      <c r="AP472" s="454"/>
      <c r="AQ472" s="454"/>
      <c r="AR472" s="454"/>
      <c r="AS472" s="454"/>
    </row>
    <row r="473" customFormat="false" ht="10.5" hidden="false" customHeight="false" outlineLevel="0" collapsed="false">
      <c r="AP473" s="454"/>
      <c r="AQ473" s="454"/>
      <c r="AR473" s="454"/>
      <c r="AS473" s="454"/>
    </row>
    <row r="474" customFormat="false" ht="10.5" hidden="false" customHeight="false" outlineLevel="0" collapsed="false">
      <c r="AP474" s="454"/>
      <c r="AQ474" s="454"/>
      <c r="AR474" s="454"/>
      <c r="AS474" s="454"/>
    </row>
    <row r="475" customFormat="false" ht="10.5" hidden="false" customHeight="false" outlineLevel="0" collapsed="false">
      <c r="AP475" s="454"/>
      <c r="AQ475" s="454"/>
      <c r="AR475" s="454"/>
      <c r="AS475" s="454"/>
    </row>
    <row r="476" customFormat="false" ht="10.5" hidden="false" customHeight="false" outlineLevel="0" collapsed="false">
      <c r="AP476" s="454"/>
      <c r="AQ476" s="454"/>
      <c r="AR476" s="454"/>
      <c r="AS476" s="454"/>
    </row>
    <row r="477" customFormat="false" ht="10.5" hidden="false" customHeight="false" outlineLevel="0" collapsed="false">
      <c r="AP477" s="454"/>
      <c r="AQ477" s="454"/>
      <c r="AR477" s="454"/>
      <c r="AS477" s="454"/>
    </row>
    <row r="478" customFormat="false" ht="10.5" hidden="false" customHeight="false" outlineLevel="0" collapsed="false">
      <c r="AP478" s="454"/>
      <c r="AQ478" s="454"/>
      <c r="AR478" s="454"/>
      <c r="AS478" s="454"/>
    </row>
    <row r="479" customFormat="false" ht="10.5" hidden="false" customHeight="false" outlineLevel="0" collapsed="false">
      <c r="AP479" s="454"/>
      <c r="AQ479" s="454"/>
      <c r="AR479" s="454"/>
      <c r="AS479" s="454"/>
    </row>
    <row r="480" customFormat="false" ht="10.5" hidden="false" customHeight="false" outlineLevel="0" collapsed="false">
      <c r="AP480" s="454"/>
      <c r="AQ480" s="454"/>
      <c r="AR480" s="454"/>
      <c r="AS480" s="454"/>
    </row>
    <row r="481" customFormat="false" ht="10.5" hidden="false" customHeight="false" outlineLevel="0" collapsed="false">
      <c r="AP481" s="454"/>
      <c r="AQ481" s="454"/>
      <c r="AR481" s="454"/>
      <c r="AS481" s="454"/>
    </row>
    <row r="482" customFormat="false" ht="10.5" hidden="false" customHeight="false" outlineLevel="0" collapsed="false">
      <c r="AP482" s="454"/>
      <c r="AQ482" s="454"/>
      <c r="AR482" s="454"/>
      <c r="AS482" s="454"/>
    </row>
    <row r="483" customFormat="false" ht="10.5" hidden="false" customHeight="false" outlineLevel="0" collapsed="false">
      <c r="AP483" s="454"/>
      <c r="AQ483" s="454"/>
      <c r="AR483" s="454"/>
      <c r="AS483" s="454"/>
    </row>
    <row r="484" customFormat="false" ht="10.5" hidden="false" customHeight="false" outlineLevel="0" collapsed="false">
      <c r="AP484" s="454"/>
      <c r="AQ484" s="454"/>
      <c r="AR484" s="454"/>
      <c r="AS484" s="454"/>
    </row>
    <row r="485" customFormat="false" ht="10.5" hidden="false" customHeight="false" outlineLevel="0" collapsed="false">
      <c r="AP485" s="454"/>
      <c r="AQ485" s="454"/>
      <c r="AR485" s="454"/>
      <c r="AS485" s="454"/>
    </row>
    <row r="486" customFormat="false" ht="10.5" hidden="false" customHeight="false" outlineLevel="0" collapsed="false">
      <c r="AP486" s="454"/>
      <c r="AQ486" s="454"/>
      <c r="AR486" s="454"/>
      <c r="AS486" s="454"/>
    </row>
    <row r="487" customFormat="false" ht="10.5" hidden="false" customHeight="false" outlineLevel="0" collapsed="false">
      <c r="AP487" s="454"/>
      <c r="AQ487" s="454"/>
      <c r="AR487" s="454"/>
      <c r="AS487" s="454"/>
    </row>
    <row r="488" customFormat="false" ht="10.5" hidden="false" customHeight="false" outlineLevel="0" collapsed="false">
      <c r="AP488" s="454"/>
      <c r="AQ488" s="454"/>
      <c r="AR488" s="454"/>
      <c r="AS488" s="454"/>
    </row>
    <row r="489" customFormat="false" ht="10.5" hidden="false" customHeight="false" outlineLevel="0" collapsed="false">
      <c r="AP489" s="454"/>
      <c r="AQ489" s="454"/>
      <c r="AR489" s="454"/>
      <c r="AS489" s="454"/>
    </row>
    <row r="490" customFormat="false" ht="10.5" hidden="false" customHeight="false" outlineLevel="0" collapsed="false">
      <c r="AP490" s="454"/>
      <c r="AQ490" s="454"/>
      <c r="AR490" s="454"/>
      <c r="AS490" s="454"/>
    </row>
    <row r="491" customFormat="false" ht="10.5" hidden="false" customHeight="false" outlineLevel="0" collapsed="false">
      <c r="AP491" s="454"/>
      <c r="AQ491" s="454"/>
      <c r="AR491" s="454"/>
      <c r="AS491" s="454"/>
    </row>
    <row r="492" customFormat="false" ht="10.5" hidden="false" customHeight="false" outlineLevel="0" collapsed="false">
      <c r="AP492" s="454"/>
      <c r="AQ492" s="454"/>
      <c r="AR492" s="454"/>
      <c r="AS492" s="454"/>
    </row>
    <row r="493" customFormat="false" ht="10.5" hidden="false" customHeight="false" outlineLevel="0" collapsed="false">
      <c r="AP493" s="454"/>
      <c r="AQ493" s="454"/>
      <c r="AR493" s="454"/>
      <c r="AS493" s="454"/>
    </row>
    <row r="494" customFormat="false" ht="10.5" hidden="false" customHeight="false" outlineLevel="0" collapsed="false">
      <c r="AP494" s="454"/>
      <c r="AQ494" s="454"/>
      <c r="AR494" s="454"/>
      <c r="AS494" s="454"/>
    </row>
    <row r="495" customFormat="false" ht="10.5" hidden="false" customHeight="false" outlineLevel="0" collapsed="false">
      <c r="AP495" s="454"/>
      <c r="AQ495" s="454"/>
      <c r="AR495" s="454"/>
      <c r="AS495" s="454"/>
    </row>
    <row r="496" customFormat="false" ht="10.5" hidden="false" customHeight="false" outlineLevel="0" collapsed="false">
      <c r="AP496" s="454"/>
      <c r="AQ496" s="454"/>
      <c r="AR496" s="454"/>
      <c r="AS496" s="454"/>
    </row>
    <row r="497" customFormat="false" ht="10.5" hidden="false" customHeight="false" outlineLevel="0" collapsed="false">
      <c r="AP497" s="454"/>
      <c r="AQ497" s="454"/>
      <c r="AR497" s="454"/>
      <c r="AS497" s="454"/>
    </row>
    <row r="498" customFormat="false" ht="10.5" hidden="false" customHeight="false" outlineLevel="0" collapsed="false">
      <c r="AP498" s="454"/>
      <c r="AQ498" s="454"/>
      <c r="AR498" s="454"/>
      <c r="AS498" s="454"/>
    </row>
    <row r="499" customFormat="false" ht="10.5" hidden="false" customHeight="false" outlineLevel="0" collapsed="false">
      <c r="AP499" s="454"/>
      <c r="AQ499" s="454"/>
      <c r="AR499" s="454"/>
      <c r="AS499" s="454"/>
    </row>
    <row r="500" customFormat="false" ht="10.5" hidden="false" customHeight="false" outlineLevel="0" collapsed="false">
      <c r="AP500" s="454"/>
      <c r="AQ500" s="454"/>
      <c r="AR500" s="454"/>
      <c r="AS500" s="454"/>
    </row>
    <row r="501" customFormat="false" ht="10.5" hidden="false" customHeight="false" outlineLevel="0" collapsed="false">
      <c r="AP501" s="454"/>
      <c r="AQ501" s="454"/>
      <c r="AR501" s="454"/>
      <c r="AS501" s="454"/>
    </row>
    <row r="502" customFormat="false" ht="10.5" hidden="false" customHeight="false" outlineLevel="0" collapsed="false">
      <c r="AP502" s="454"/>
      <c r="AQ502" s="454"/>
      <c r="AR502" s="454"/>
      <c r="AS502" s="454"/>
    </row>
    <row r="503" customFormat="false" ht="10.5" hidden="false" customHeight="false" outlineLevel="0" collapsed="false">
      <c r="AP503" s="454"/>
      <c r="AQ503" s="454"/>
      <c r="AR503" s="454"/>
      <c r="AS503" s="454"/>
    </row>
    <row r="504" customFormat="false" ht="10.5" hidden="false" customHeight="false" outlineLevel="0" collapsed="false">
      <c r="AP504" s="454"/>
      <c r="AQ504" s="454"/>
      <c r="AR504" s="454"/>
      <c r="AS504" s="454"/>
    </row>
    <row r="505" customFormat="false" ht="10.5" hidden="false" customHeight="false" outlineLevel="0" collapsed="false">
      <c r="AP505" s="454"/>
      <c r="AQ505" s="454"/>
      <c r="AR505" s="454"/>
      <c r="AS505" s="454"/>
    </row>
    <row r="506" customFormat="false" ht="10.5" hidden="false" customHeight="false" outlineLevel="0" collapsed="false">
      <c r="AP506" s="454"/>
      <c r="AQ506" s="454"/>
      <c r="AR506" s="454"/>
      <c r="AS506" s="454"/>
    </row>
    <row r="507" customFormat="false" ht="10.5" hidden="false" customHeight="false" outlineLevel="0" collapsed="false">
      <c r="AP507" s="454"/>
      <c r="AQ507" s="454"/>
      <c r="AR507" s="454"/>
      <c r="AS507" s="454"/>
    </row>
    <row r="508" customFormat="false" ht="10.5" hidden="false" customHeight="false" outlineLevel="0" collapsed="false">
      <c r="AP508" s="454"/>
      <c r="AQ508" s="454"/>
      <c r="AR508" s="454"/>
      <c r="AS508" s="454"/>
    </row>
    <row r="509" customFormat="false" ht="10.5" hidden="false" customHeight="false" outlineLevel="0" collapsed="false">
      <c r="AP509" s="454"/>
      <c r="AQ509" s="454"/>
      <c r="AR509" s="454"/>
      <c r="AS509" s="454"/>
    </row>
    <row r="510" customFormat="false" ht="10.5" hidden="false" customHeight="false" outlineLevel="0" collapsed="false">
      <c r="AP510" s="454"/>
      <c r="AQ510" s="454"/>
      <c r="AR510" s="454"/>
      <c r="AS510" s="454"/>
    </row>
    <row r="511" customFormat="false" ht="10.5" hidden="false" customHeight="false" outlineLevel="0" collapsed="false">
      <c r="AP511" s="454"/>
      <c r="AQ511" s="454"/>
      <c r="AR511" s="454"/>
      <c r="AS511" s="454"/>
    </row>
    <row r="512" customFormat="false" ht="10.5" hidden="false" customHeight="false" outlineLevel="0" collapsed="false">
      <c r="AP512" s="454"/>
      <c r="AQ512" s="454"/>
      <c r="AR512" s="454"/>
      <c r="AS512" s="454"/>
    </row>
    <row r="513" customFormat="false" ht="10.5" hidden="false" customHeight="false" outlineLevel="0" collapsed="false">
      <c r="AP513" s="454"/>
      <c r="AQ513" s="454"/>
      <c r="AR513" s="454"/>
      <c r="AS513" s="454"/>
    </row>
    <row r="514" customFormat="false" ht="10.5" hidden="false" customHeight="false" outlineLevel="0" collapsed="false">
      <c r="AP514" s="454"/>
      <c r="AQ514" s="454"/>
      <c r="AR514" s="454"/>
      <c r="AS514" s="454"/>
    </row>
    <row r="515" customFormat="false" ht="10.5" hidden="false" customHeight="false" outlineLevel="0" collapsed="false">
      <c r="AP515" s="454"/>
      <c r="AQ515" s="454"/>
      <c r="AR515" s="454"/>
      <c r="AS515" s="454"/>
    </row>
    <row r="516" customFormat="false" ht="10.5" hidden="false" customHeight="false" outlineLevel="0" collapsed="false">
      <c r="AP516" s="454"/>
      <c r="AQ516" s="454"/>
      <c r="AR516" s="454"/>
      <c r="AS516" s="454"/>
    </row>
    <row r="517" customFormat="false" ht="10.5" hidden="false" customHeight="false" outlineLevel="0" collapsed="false">
      <c r="AP517" s="454"/>
      <c r="AQ517" s="454"/>
      <c r="AR517" s="454"/>
      <c r="AS517" s="454"/>
    </row>
    <row r="518" customFormat="false" ht="10.5" hidden="false" customHeight="false" outlineLevel="0" collapsed="false">
      <c r="AP518" s="454"/>
      <c r="AQ518" s="454"/>
      <c r="AR518" s="454"/>
      <c r="AS518" s="454"/>
    </row>
    <row r="519" customFormat="false" ht="10.5" hidden="false" customHeight="false" outlineLevel="0" collapsed="false">
      <c r="AP519" s="454"/>
      <c r="AQ519" s="454"/>
      <c r="AR519" s="454"/>
      <c r="AS519" s="454"/>
    </row>
  </sheetData>
  <mergeCells count="1">
    <mergeCell ref="H13:O13"/>
  </mergeCells>
  <printOptions headings="false" gridLines="false" gridLinesSet="true" horizontalCentered="false" verticalCentered="false"/>
  <pageMargins left="0" right="0" top="0.5" bottom="0.5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2000-03-14T20:39:34Z</dcterms:created>
  <dc:creator>ENRON</dc:creator>
  <dc:description/>
  <dc:language>en-US</dc:language>
  <cp:lastModifiedBy>MThomas</cp:lastModifiedBy>
  <cp:lastPrinted>2000-04-12T12:41:30Z</cp:lastPrinted>
  <cp:revision>0</cp:revision>
  <dc:subject/>
  <dc:title/>
</cp:coreProperties>
</file>