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Corp" sheetId="1" state="visible" r:id="rId3"/>
    <sheet name="Marketing" sheetId="2" state="visible" r:id="rId4"/>
    <sheet name="IT" sheetId="3" state="visible" r:id="rId5"/>
    <sheet name="Gas Logistics" sheetId="4" state="visible" r:id="rId6"/>
    <sheet name="OPs" sheetId="5" state="visible" r:id="rId7"/>
    <sheet name="HR" sheetId="6" state="visible" r:id="rId8"/>
    <sheet name="F &amp; A" sheetId="7" state="visible" r:id="rId9"/>
  </sheets>
  <definedNames>
    <definedName function="false" hidden="false" localSheetId="5" name="_xlnm.Print_Area" vbProcedure="false">HR!$A$1:$N$15</definedName>
    <definedName function="false" hidden="false" localSheetId="0" name="_xlnm.Print_Area" vbProcedure="false">'IT Corp'!$A$1:$D$21</definedName>
    <definedName function="false" hidden="false" localSheetId="1" name="_xlnm.Print_Area" vbProcedure="false">Marketing!$A$1:$N$31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<sst xmlns="http://schemas.openxmlformats.org/spreadsheetml/2006/main" count="248" uniqueCount="106">
  <si>
    <t xml:space="preserve">CORP DOCUMENT MANAGEMENT</t>
  </si>
  <si>
    <t xml:space="preserve">2002 CAPITAL PLAN</t>
  </si>
  <si>
    <t xml:space="preserve">($ Whole)</t>
  </si>
  <si>
    <t xml:space="preserve">GROUP</t>
  </si>
  <si>
    <t xml:space="preserve"> EnCompass Dev/Enhancements</t>
  </si>
  <si>
    <t xml:space="preserve"> eProcess Implementation</t>
  </si>
  <si>
    <t xml:space="preserve"> Automation of Enrollment process for Envision &amp; EnCompass</t>
  </si>
  <si>
    <t xml:space="preserve">FileNET System(s) Administration Tools</t>
  </si>
  <si>
    <t xml:space="preserve">Migrate Access database to SQL</t>
  </si>
  <si>
    <t xml:space="preserve">Envision System Production/Development Server Upgrade </t>
  </si>
  <si>
    <t xml:space="preserve">Upgrade of existing Envision Windows NT Servers</t>
  </si>
  <si>
    <t xml:space="preserve">DocEntry Upgrade for HR shill Base Pay Records</t>
  </si>
  <si>
    <t xml:space="preserve">Total Corp Document Management</t>
  </si>
  <si>
    <t xml:space="preserve">MARKETING</t>
  </si>
  <si>
    <t xml:space="preserve">NNG</t>
  </si>
  <si>
    <t xml:space="preserve">TW</t>
  </si>
  <si>
    <t xml:space="preserve">FGT</t>
  </si>
  <si>
    <t xml:space="preserve">NBP</t>
  </si>
  <si>
    <t xml:space="preserve">Midwestern</t>
  </si>
  <si>
    <t xml:space="preserve">TOTAL</t>
  </si>
  <si>
    <t xml:space="preserve">NonDisc</t>
  </si>
  <si>
    <t xml:space="preserve">Disc</t>
  </si>
  <si>
    <t xml:space="preserve">Shared Systems:</t>
  </si>
  <si>
    <t xml:space="preserve"> Electronic Tariff Filing</t>
  </si>
  <si>
    <t xml:space="preserve">NNG Partial Cycle FDD</t>
  </si>
  <si>
    <t xml:space="preserve">NNG Automate Storage "Book"</t>
  </si>
  <si>
    <t xml:space="preserve">NNG Rate Case Reporting</t>
  </si>
  <si>
    <t xml:space="preserve">NNG Form 567 Reporting</t>
  </si>
  <si>
    <t xml:space="preserve">Blanket - Depts</t>
  </si>
  <si>
    <t xml:space="preserve">   Total Marketing</t>
  </si>
  <si>
    <t xml:space="preserve">rev 8/27/01</t>
  </si>
  <si>
    <t xml:space="preserve">IT</t>
  </si>
  <si>
    <t xml:space="preserve">EOTT</t>
  </si>
  <si>
    <t xml:space="preserve">Other</t>
  </si>
  <si>
    <t xml:space="preserve">INFRASTRUCTURE</t>
  </si>
  <si>
    <t xml:space="preserve">    Audit / Security Compliance Monitoring</t>
  </si>
  <si>
    <t xml:space="preserve">    Data Center Consolidation - System Rel</t>
  </si>
  <si>
    <t xml:space="preserve">Chair Upgrade IT Support</t>
  </si>
  <si>
    <t xml:space="preserve">Blanket - IT depts</t>
  </si>
  <si>
    <t xml:space="preserve">Blanket - IT ETS depts</t>
  </si>
  <si>
    <t xml:space="preserve">Omaha Infra Upgrade - System Reliability</t>
  </si>
  <si>
    <t xml:space="preserve">Monitor Upgrade for IT Ops Support</t>
  </si>
  <si>
    <t xml:space="preserve">Total IT</t>
  </si>
  <si>
    <t xml:space="preserve">GAS LOGISTICS</t>
  </si>
  <si>
    <t xml:space="preserve">Legal / NonD</t>
  </si>
  <si>
    <t xml:space="preserve">NonD</t>
  </si>
  <si>
    <t xml:space="preserve">SHARED HARDWARE:</t>
  </si>
  <si>
    <t xml:space="preserve">  Gas Control</t>
  </si>
  <si>
    <t xml:space="preserve">      GC UPS and GC Center Upgrades</t>
  </si>
  <si>
    <t xml:space="preserve">      GC Desktop Refresh Houston</t>
  </si>
  <si>
    <t xml:space="preserve">      GC SCADA App Servers Upgade</t>
  </si>
  <si>
    <t xml:space="preserve">      GC SCADA Network Upgrade-Field</t>
  </si>
  <si>
    <t xml:space="preserve">      GC SCADA Network Upgrade-Houston</t>
  </si>
  <si>
    <t xml:space="preserve">      GC SCADA Network Doc to Web</t>
  </si>
  <si>
    <t xml:space="preserve">      GC SCADA Network Secuity Upgrade</t>
  </si>
  <si>
    <t xml:space="preserve">SHARED SYSTEM</t>
  </si>
  <si>
    <t xml:space="preserve">Continuation Contract System completion</t>
  </si>
  <si>
    <t xml:space="preserve">Continuation Rates &amp; Revenue system </t>
  </si>
  <si>
    <t xml:space="preserve">Call Center-CRM Telephony Software</t>
  </si>
  <si>
    <t xml:space="preserve">CAS Enhancements</t>
  </si>
  <si>
    <t xml:space="preserve">FERC Order 637</t>
  </si>
  <si>
    <t xml:space="preserve">GISB v1.4/1.5 Mods - High Priority</t>
  </si>
  <si>
    <t xml:space="preserve">GISB v1.4/1.5 Mods - Low Priority</t>
  </si>
  <si>
    <t xml:space="preserve">HotTap Redesign</t>
  </si>
  <si>
    <t xml:space="preserve">PNR/Stroage Modifications</t>
  </si>
  <si>
    <t xml:space="preserve">TMS Security Appl Enhancement</t>
  </si>
  <si>
    <t xml:space="preserve">GC SCADA Upgrade and Concolidation</t>
  </si>
  <si>
    <t xml:space="preserve">TW Flow Direction</t>
  </si>
  <si>
    <t xml:space="preserve">FERC Changes for NNG Invoicing</t>
  </si>
  <si>
    <t xml:space="preserve">Omaha UPS Upgrade-System Reliability</t>
  </si>
  <si>
    <t xml:space="preserve">HotTap Windows 2000 Upgrade Cust Rel</t>
  </si>
  <si>
    <t xml:space="preserve">HotTap Server Upgrades</t>
  </si>
  <si>
    <t xml:space="preserve">FGT Allocation &amp; Meter Bounce Enh</t>
  </si>
  <si>
    <t xml:space="preserve">Blanket - depts</t>
  </si>
  <si>
    <t xml:space="preserve">Midland CC Blanket Refrest</t>
  </si>
  <si>
    <t xml:space="preserve">Midland CC Facility Upgrades &amp; Maint</t>
  </si>
  <si>
    <t xml:space="preserve">Midland CC SCADA Network Comp Upgrd</t>
  </si>
  <si>
    <t xml:space="preserve">Midland CC TankLeak/Spill Pre &amp; alarms</t>
  </si>
  <si>
    <t xml:space="preserve">Midland CC SCADA &amp; CPM Srv Upgrades</t>
  </si>
  <si>
    <t xml:space="preserve">Midland CC CPM System Installation</t>
  </si>
  <si>
    <t xml:space="preserve">Midland CC Instrumentation</t>
  </si>
  <si>
    <t xml:space="preserve">Midland CC SCADA Communications</t>
  </si>
  <si>
    <t xml:space="preserve">Total Gas Logisics</t>
  </si>
  <si>
    <t xml:space="preserve">OPERATIONS</t>
  </si>
  <si>
    <t xml:space="preserve">CompEng\ Data Analysis &amp; Maint</t>
  </si>
  <si>
    <t xml:space="preserve">FIELD - SE</t>
  </si>
  <si>
    <t xml:space="preserve">FIELD - SW</t>
  </si>
  <si>
    <t xml:space="preserve">FIELD - N</t>
  </si>
  <si>
    <t xml:space="preserve">FIELD depts</t>
  </si>
  <si>
    <t xml:space="preserve">Class Location System</t>
  </si>
  <si>
    <t xml:space="preserve">DOT/OPS Internet Map Server </t>
  </si>
  <si>
    <t xml:space="preserve">SFA - Over Press Prot Sys Repl</t>
  </si>
  <si>
    <t xml:space="preserve">Material List Request Replace</t>
  </si>
  <si>
    <t xml:space="preserve">Continuation PHD Replacement</t>
  </si>
  <si>
    <t xml:space="preserve">Pipeline Op Data Integration</t>
  </si>
  <si>
    <t xml:space="preserve">PILARS Upgrade</t>
  </si>
  <si>
    <t xml:space="preserve">Total Operations</t>
  </si>
  <si>
    <t xml:space="preserve">HUMAN RESOURCES</t>
  </si>
  <si>
    <t xml:space="preserve">BLANKET Dept</t>
  </si>
  <si>
    <t xml:space="preserve">Total HR</t>
  </si>
  <si>
    <t xml:space="preserve">F &amp; A</t>
  </si>
  <si>
    <t xml:space="preserve">Blanket - Dept</t>
  </si>
  <si>
    <t xml:space="preserve">F&amp;A Comm Reporting Environ</t>
  </si>
  <si>
    <t xml:space="preserve">PGAS Reporting</t>
  </si>
  <si>
    <t xml:space="preserve">MFS Enhancement or Repl</t>
  </si>
  <si>
    <t xml:space="preserve">Total F &amp; 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</si>
</sst>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_(* #,##0.00_);_(* \(#,##0.00\);_(* \-??_);_(@_)"/>
    <numFmt numFmtId="170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1.41"/>
    <col collapsed="false" customWidth="true" hidden="false" outlineLevel="0" max="2" min="2" style="0" width="2.13"/>
    <col collapsed="false" customWidth="true" hidden="false" outlineLevel="0" max="3" min="3" style="0" width="12.56"/>
    <col collapsed="false" customWidth="true" hidden="false" outlineLevel="0" max="4" min="4" style="0" width="9.99"/>
    <col collapsed="false" customWidth="true" hidden="false" outlineLevel="0" max="5" min="5" style="0" width="11.42"/>
    <col collapsed="false" customWidth="true" hidden="false" outlineLevel="0" max="7" min="7" style="0" width="12.28"/>
    <col collapsed="false" customWidth="true" hidden="false" outlineLevel="0" max="9" min="9" style="0" width="10.41"/>
    <col collapsed="false" customWidth="true" hidden="false" outlineLevel="0" max="13" min="13" style="0" width="12.28"/>
    <col collapsed="false" customWidth="true" hidden="false" outlineLevel="0" max="17" min="17" style="0" width="15.28"/>
    <col collapsed="false" customWidth="true" hidden="false" outlineLevel="0" max="18" min="18" style="0" width="11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75" hidden="false" customHeight="false" outlineLevel="0" collapsed="false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16.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3.5" hidden="false" customHeight="false" outlineLevel="0" collapsed="false">
      <c r="A5" s="3"/>
      <c r="B5" s="3"/>
      <c r="C5" s="4" t="n">
        <v>2002</v>
      </c>
      <c r="D5" s="5"/>
      <c r="E5" s="6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</row>
    <row r="6" customFormat="false" ht="12.75" hidden="false" customHeight="false" outlineLevel="0" collapsed="false">
      <c r="A6" s="8"/>
      <c r="B6" s="3"/>
      <c r="C6" s="6"/>
      <c r="D6" s="6"/>
      <c r="E6" s="6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7"/>
      <c r="T6" s="7"/>
      <c r="U6" s="7"/>
    </row>
    <row r="7" customFormat="false" ht="13.5" hidden="false" customHeight="false" outlineLevel="0" collapsed="false">
      <c r="A7" s="9" t="s">
        <v>3</v>
      </c>
      <c r="B7" s="3"/>
      <c r="C7" s="6"/>
      <c r="D7" s="6"/>
      <c r="E7" s="6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7"/>
      <c r="T7" s="7"/>
      <c r="U7" s="7"/>
    </row>
    <row r="8" customFormat="false" ht="13.5" hidden="false" customHeight="false" outlineLevel="0" collapsed="false">
      <c r="A8" s="3"/>
      <c r="B8" s="3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7"/>
      <c r="Q8" s="7"/>
      <c r="R8" s="7"/>
      <c r="S8" s="7"/>
      <c r="T8" s="7"/>
      <c r="U8" s="7"/>
    </row>
    <row r="9" customFormat="false" ht="12.75" hidden="false" customHeight="false" outlineLevel="0" collapsed="false">
      <c r="A9" s="10" t="s">
        <v>4</v>
      </c>
      <c r="B9" s="3"/>
      <c r="C9" s="11" t="n">
        <v>50000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3"/>
      <c r="S9" s="7"/>
      <c r="T9" s="7"/>
      <c r="U9" s="7"/>
    </row>
    <row r="10" customFormat="false" ht="12.75" hidden="false" customHeight="false" outlineLevel="0" collapsed="false">
      <c r="A10" s="14" t="s">
        <v>5</v>
      </c>
      <c r="B10" s="3"/>
      <c r="C10" s="15" t="n">
        <v>50000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3"/>
      <c r="S10" s="7"/>
      <c r="T10" s="7"/>
      <c r="U10" s="7"/>
    </row>
    <row r="11" customFormat="false" ht="12.75" hidden="false" customHeight="false" outlineLevel="0" collapsed="false">
      <c r="A11" s="16" t="s">
        <v>6</v>
      </c>
      <c r="B11" s="3"/>
      <c r="C11" s="15" t="n">
        <v>45000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3"/>
      <c r="S11" s="7"/>
      <c r="T11" s="7"/>
      <c r="U11" s="7"/>
    </row>
    <row r="12" customFormat="false" ht="12.75" hidden="false" customHeight="false" outlineLevel="0" collapsed="false">
      <c r="A12" s="16" t="s">
        <v>7</v>
      </c>
      <c r="B12" s="3"/>
      <c r="C12" s="15" t="n">
        <v>50000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  <c r="R12" s="13"/>
      <c r="S12" s="7"/>
      <c r="T12" s="7"/>
      <c r="U12" s="7"/>
    </row>
    <row r="13" customFormat="false" ht="12.75" hidden="false" customHeight="false" outlineLevel="0" collapsed="false">
      <c r="A13" s="16" t="s">
        <v>8</v>
      </c>
      <c r="B13" s="3"/>
      <c r="C13" s="15" t="n">
        <v>50000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13"/>
      <c r="S13" s="7"/>
      <c r="T13" s="7"/>
      <c r="U13" s="7"/>
    </row>
    <row r="14" customFormat="false" ht="12.75" hidden="false" customHeight="false" outlineLevel="0" collapsed="false">
      <c r="A14" s="16" t="s">
        <v>9</v>
      </c>
      <c r="B14" s="3"/>
      <c r="C14" s="15" t="n">
        <v>709100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  <c r="R14" s="13"/>
      <c r="S14" s="7"/>
      <c r="T14" s="7"/>
      <c r="U14" s="7"/>
    </row>
    <row r="15" customFormat="false" ht="12.75" hidden="false" customHeight="false" outlineLevel="0" collapsed="false">
      <c r="A15" s="16" t="s">
        <v>10</v>
      </c>
      <c r="B15" s="3"/>
      <c r="C15" s="15" t="n">
        <v>166000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  <c r="R15" s="13"/>
      <c r="S15" s="7"/>
      <c r="T15" s="7"/>
      <c r="U15" s="7"/>
    </row>
    <row r="16" customFormat="false" ht="13.5" hidden="false" customHeight="false" outlineLevel="0" collapsed="false">
      <c r="A16" s="14" t="s">
        <v>11</v>
      </c>
      <c r="B16" s="3"/>
      <c r="C16" s="17" t="n">
        <v>50000</v>
      </c>
      <c r="D16" s="5"/>
      <c r="E16" s="5"/>
      <c r="F16" s="5"/>
      <c r="G16" s="5"/>
      <c r="H16" s="12"/>
      <c r="I16" s="12"/>
      <c r="J16" s="12"/>
      <c r="K16" s="12"/>
      <c r="L16" s="12"/>
      <c r="M16" s="12"/>
      <c r="N16" s="12"/>
      <c r="O16" s="12"/>
      <c r="P16" s="12"/>
      <c r="Q16" s="13"/>
      <c r="R16" s="13"/>
      <c r="S16" s="7"/>
      <c r="T16" s="7"/>
      <c r="U16" s="7"/>
    </row>
    <row r="17" customFormat="false" ht="13.5" hidden="false" customHeight="false" outlineLevel="0" collapsed="false">
      <c r="A17" s="14"/>
      <c r="B17" s="3"/>
      <c r="C17" s="12"/>
      <c r="D17" s="5"/>
      <c r="E17" s="5"/>
      <c r="F17" s="5"/>
      <c r="G17" s="5"/>
      <c r="H17" s="12"/>
      <c r="I17" s="12"/>
      <c r="J17" s="12"/>
      <c r="K17" s="12"/>
      <c r="L17" s="12"/>
      <c r="M17" s="12"/>
      <c r="N17" s="12"/>
      <c r="O17" s="12"/>
      <c r="P17" s="12"/>
      <c r="Q17" s="13"/>
      <c r="R17" s="13"/>
      <c r="S17" s="7"/>
      <c r="T17" s="7"/>
      <c r="U17" s="7"/>
    </row>
    <row r="18" customFormat="false" ht="21.75" hidden="false" customHeight="true" outlineLevel="0" collapsed="false">
      <c r="A18" s="18" t="s">
        <v>12</v>
      </c>
      <c r="B18" s="3"/>
      <c r="C18" s="19" t="n">
        <f aca="false">SUM(C9:C17)</f>
        <v>1170100</v>
      </c>
      <c r="D18" s="5"/>
      <c r="E18" s="5"/>
      <c r="F18" s="5"/>
      <c r="G18" s="5"/>
      <c r="H18" s="12"/>
      <c r="I18" s="12"/>
      <c r="J18" s="12"/>
      <c r="K18" s="12"/>
      <c r="L18" s="12"/>
      <c r="M18" s="12"/>
      <c r="N18" s="12"/>
      <c r="O18" s="12"/>
      <c r="P18" s="12"/>
      <c r="Q18" s="13"/>
      <c r="R18" s="13"/>
      <c r="S18" s="7"/>
      <c r="T18" s="7"/>
      <c r="U18" s="7"/>
    </row>
    <row r="19" customFormat="false" ht="12.75" hidden="false" customHeight="false" outlineLevel="0" collapsed="false">
      <c r="A19" s="3"/>
      <c r="B19" s="3"/>
      <c r="C19" s="12"/>
      <c r="D19" s="12"/>
      <c r="E19" s="12"/>
      <c r="F19" s="12"/>
      <c r="G19" s="12"/>
      <c r="H19" s="12"/>
      <c r="I19" s="12"/>
      <c r="J19" s="12"/>
      <c r="K19" s="6"/>
      <c r="L19" s="6"/>
      <c r="M19" s="7"/>
      <c r="N19" s="7"/>
      <c r="O19" s="7"/>
      <c r="P19" s="7"/>
      <c r="Q19" s="7"/>
      <c r="R19" s="7"/>
      <c r="S19" s="7"/>
      <c r="T19" s="7"/>
      <c r="U19" s="7"/>
    </row>
    <row r="20" customFormat="false" ht="12.75" hidden="false" customHeight="false" outlineLevel="0" collapsed="false">
      <c r="A20" s="3"/>
      <c r="B20" s="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7"/>
      <c r="N20" s="7"/>
      <c r="O20" s="7"/>
      <c r="P20" s="7"/>
      <c r="Q20" s="7"/>
      <c r="R20" s="7"/>
      <c r="S20" s="7"/>
      <c r="T20" s="7"/>
      <c r="U20" s="7"/>
    </row>
    <row r="21" customFormat="false" ht="12.75" hidden="false" customHeight="false" outlineLevel="0" collapsed="false">
      <c r="A21" s="20" t="str">
        <f aca="true">CELL("filename")</f>
        <v>'file:///mnt/12tb/@roms/datasets/enron/EDRM Enron Email Data Set v2 XML/filtered-attachments/xls/CAPITAL_WORKSHEET.xls'#$IT Corp</v>
      </c>
      <c r="B21" s="2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7"/>
      <c r="N21" s="7"/>
      <c r="O21" s="7"/>
      <c r="P21" s="7"/>
      <c r="Q21" s="7"/>
      <c r="R21" s="7"/>
      <c r="S21" s="7"/>
      <c r="T21" s="7"/>
      <c r="U21" s="7"/>
    </row>
    <row r="22" customFormat="false" ht="12.75" hidden="false" customHeight="false" outlineLevel="0" collapsed="false">
      <c r="A22" s="22"/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customFormat="false" ht="12.75" hidden="false" customHeight="false" outlineLevel="0" collapsed="false">
      <c r="A23" s="22"/>
      <c r="B23" s="2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customFormat="false" ht="12.75" hidden="false" customHeight="false" outlineLevel="0" collapsed="false"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customFormat="false" ht="12.75" hidden="false" customHeight="false" outlineLevel="0" collapsed="false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customFormat="false" ht="12.75" hidden="false" customHeight="false" outlineLevel="0" collapsed="false"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customFormat="false" ht="12.75" hidden="false" customHeight="false" outlineLevel="0" collapsed="false"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customFormat="false" ht="12.75" hidden="false" customHeight="false" outlineLevel="0" collapsed="false"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customFormat="false" ht="12.75" hidden="false" customHeight="false" outlineLevel="0" collapsed="false"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customFormat="false" ht="12.75" hidden="false" customHeight="false" outlineLevel="0" collapsed="false"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customFormat="false" ht="12.75" hidden="false" customHeight="false" outlineLevel="0" collapsed="false"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customFormat="false" ht="12.75" hidden="false" customHeight="false" outlineLevel="0" collapsed="false"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customFormat="false" ht="12.75" hidden="false" customHeight="false" outlineLevel="0" collapsed="false"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customFormat="false" ht="12.75" hidden="false" customHeight="false" outlineLevel="0" collapsed="false"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customFormat="false" ht="12.75" hidden="false" customHeight="false" outlineLevel="0" collapsed="false"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customFormat="false" ht="12.75" hidden="false" customHeight="false" outlineLevel="0" collapsed="false"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3">
    <mergeCell ref="M6:N6"/>
    <mergeCell ref="O6:P6"/>
    <mergeCell ref="Q6:R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2.13"/>
    <col collapsed="false" customWidth="true" hidden="false" outlineLevel="0" max="4" min="3" style="0" width="9.99"/>
    <col collapsed="false" customWidth="true" hidden="false" outlineLevel="0" max="6" min="6" style="0" width="8.7"/>
    <col collapsed="false" customWidth="true" hidden="false" outlineLevel="0" max="8" min="7" style="7" width="9.14"/>
    <col collapsed="false" customWidth="true" hidden="false" outlineLevel="0" max="13" min="13" style="7" width="12.7"/>
    <col collapsed="false" customWidth="true" hidden="false" outlineLevel="0" max="14" min="14" style="0" width="12.7"/>
  </cols>
  <sheetData>
    <row r="1" customFormat="false" ht="15.75" hidden="false" customHeight="false" outlineLevel="0" collapsed="false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customFormat="false" ht="15.75" hidden="false" customHeight="false" outlineLevel="0" collapsed="false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customFormat="false" ht="15.75" hidden="false" customHeight="false" outlineLevel="0" collapsed="false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customFormat="false" ht="15.7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</row>
    <row r="5" customFormat="false" ht="15.75" hidden="false" customHeight="false" outlineLevel="0" collapsed="false">
      <c r="C5" s="24" t="n">
        <v>2002</v>
      </c>
      <c r="D5" s="24"/>
      <c r="E5" s="24"/>
      <c r="F5" s="24"/>
      <c r="G5" s="24"/>
      <c r="H5" s="24"/>
      <c r="I5" s="24"/>
      <c r="J5" s="24"/>
      <c r="K5" s="24"/>
      <c r="L5" s="24"/>
    </row>
    <row r="6" customFormat="false" ht="13.5" hidden="false" customHeight="false" outlineLevel="0" collapsed="false">
      <c r="A6" s="8"/>
      <c r="C6" s="4" t="s">
        <v>14</v>
      </c>
      <c r="D6" s="4"/>
      <c r="E6" s="4" t="s">
        <v>15</v>
      </c>
      <c r="F6" s="4"/>
      <c r="G6" s="4" t="s">
        <v>16</v>
      </c>
      <c r="H6" s="4"/>
      <c r="I6" s="4" t="s">
        <v>17</v>
      </c>
      <c r="J6" s="4"/>
      <c r="K6" s="4" t="s">
        <v>18</v>
      </c>
      <c r="L6" s="4"/>
      <c r="M6" s="4" t="s">
        <v>19</v>
      </c>
      <c r="N6" s="4"/>
    </row>
    <row r="7" customFormat="false" ht="13.5" hidden="false" customHeight="false" outlineLevel="0" collapsed="false">
      <c r="A7" s="9" t="s">
        <v>3</v>
      </c>
      <c r="C7" s="25" t="s">
        <v>20</v>
      </c>
      <c r="D7" s="26" t="s">
        <v>21</v>
      </c>
      <c r="E7" s="25" t="s">
        <v>20</v>
      </c>
      <c r="F7" s="5" t="s">
        <v>21</v>
      </c>
      <c r="G7" s="27" t="s">
        <v>20</v>
      </c>
      <c r="H7" s="28" t="s">
        <v>21</v>
      </c>
      <c r="I7" s="5" t="s">
        <v>20</v>
      </c>
      <c r="J7" s="26" t="s">
        <v>21</v>
      </c>
      <c r="K7" s="25" t="s">
        <v>20</v>
      </c>
      <c r="L7" s="5" t="s">
        <v>21</v>
      </c>
      <c r="M7" s="5" t="s">
        <v>20</v>
      </c>
      <c r="N7" s="26" t="s">
        <v>21</v>
      </c>
    </row>
    <row r="8" customFormat="false" ht="12.75" hidden="false" customHeight="false" outlineLevel="0" collapsed="false">
      <c r="C8" s="29"/>
      <c r="D8" s="30"/>
      <c r="E8" s="29"/>
      <c r="F8" s="30"/>
      <c r="G8" s="29"/>
      <c r="H8" s="31"/>
      <c r="I8" s="30"/>
      <c r="J8" s="30"/>
      <c r="K8" s="29"/>
      <c r="L8" s="30"/>
      <c r="M8" s="29"/>
      <c r="N8" s="31"/>
    </row>
    <row r="9" customFormat="false" ht="12.75" hidden="false" customHeight="false" outlineLevel="0" collapsed="false">
      <c r="A9" s="16" t="s">
        <v>22</v>
      </c>
      <c r="C9" s="32"/>
      <c r="D9" s="12"/>
      <c r="E9" s="32"/>
      <c r="F9" s="12"/>
      <c r="G9" s="32"/>
      <c r="H9" s="33"/>
      <c r="I9" s="12"/>
      <c r="J9" s="12"/>
      <c r="K9" s="34"/>
      <c r="L9" s="7"/>
      <c r="M9" s="34"/>
      <c r="N9" s="35"/>
    </row>
    <row r="10" customFormat="false" ht="12.75" hidden="false" customHeight="false" outlineLevel="0" collapsed="false">
      <c r="A10" s="16" t="s">
        <v>23</v>
      </c>
      <c r="C10" s="32" t="n">
        <v>21605</v>
      </c>
      <c r="D10" s="12"/>
      <c r="E10" s="32" t="n">
        <v>6200</v>
      </c>
      <c r="F10" s="12"/>
      <c r="G10" s="32" t="n">
        <v>11165</v>
      </c>
      <c r="H10" s="33"/>
      <c r="I10" s="12" t="n">
        <v>10325</v>
      </c>
      <c r="J10" s="12"/>
      <c r="K10" s="32" t="n">
        <v>705</v>
      </c>
      <c r="L10" s="12"/>
      <c r="M10" s="32" t="n">
        <f aca="false">SUM(K10,I10,G10,E10,C10)</f>
        <v>50000</v>
      </c>
      <c r="N10" s="33" t="n">
        <f aca="false">SUM(L10,J10,H10,F10,D10)</f>
        <v>0</v>
      </c>
    </row>
    <row r="11" customFormat="false" ht="12.75" hidden="false" customHeight="false" outlineLevel="0" collapsed="false">
      <c r="C11" s="34"/>
      <c r="D11" s="7"/>
      <c r="E11" s="34"/>
      <c r="F11" s="7"/>
      <c r="G11" s="34"/>
      <c r="H11" s="35"/>
      <c r="I11" s="7"/>
      <c r="J11" s="7"/>
      <c r="K11" s="34"/>
      <c r="L11" s="7"/>
      <c r="M11" s="32" t="n">
        <f aca="false">SUM(K11,I11,G11,E11,C11)</f>
        <v>0</v>
      </c>
      <c r="N11" s="33" t="n">
        <f aca="false">SUM(L11,J11,H11,F11,D11)</f>
        <v>0</v>
      </c>
    </row>
    <row r="12" customFormat="false" ht="12.75" hidden="false" customHeight="false" outlineLevel="0" collapsed="false">
      <c r="A12" s="36"/>
      <c r="C12" s="32"/>
      <c r="D12" s="12"/>
      <c r="E12" s="32"/>
      <c r="F12" s="12"/>
      <c r="G12" s="32"/>
      <c r="H12" s="33"/>
      <c r="I12" s="12"/>
      <c r="J12" s="12"/>
      <c r="K12" s="32"/>
      <c r="L12" s="12"/>
      <c r="M12" s="32" t="n">
        <f aca="false">SUM(K12,I12,G12,E12,C12)</f>
        <v>0</v>
      </c>
      <c r="N12" s="33" t="n">
        <f aca="false">SUM(L12,J12,H12,F12,D12)</f>
        <v>0</v>
      </c>
    </row>
    <row r="13" customFormat="false" ht="12.75" hidden="false" customHeight="false" outlineLevel="0" collapsed="false">
      <c r="A13" s="36" t="s">
        <v>24</v>
      </c>
      <c r="C13" s="32" t="n">
        <v>65000</v>
      </c>
      <c r="D13" s="12"/>
      <c r="E13" s="32"/>
      <c r="F13" s="12"/>
      <c r="G13" s="32"/>
      <c r="H13" s="33"/>
      <c r="I13" s="12"/>
      <c r="J13" s="12"/>
      <c r="K13" s="32"/>
      <c r="L13" s="12"/>
      <c r="M13" s="32" t="n">
        <f aca="false">SUM(K13,I13,G13,E13,C13)</f>
        <v>65000</v>
      </c>
      <c r="N13" s="33" t="n">
        <f aca="false">SUM(L13,J13,H13,F13,D13)</f>
        <v>0</v>
      </c>
    </row>
    <row r="14" customFormat="false" ht="12.75" hidden="false" customHeight="false" outlineLevel="0" collapsed="false">
      <c r="A14" s="36" t="s">
        <v>25</v>
      </c>
      <c r="C14" s="32"/>
      <c r="D14" s="12" t="n">
        <v>87000</v>
      </c>
      <c r="E14" s="32"/>
      <c r="F14" s="12"/>
      <c r="G14" s="32"/>
      <c r="H14" s="33"/>
      <c r="I14" s="12"/>
      <c r="J14" s="12"/>
      <c r="K14" s="32"/>
      <c r="L14" s="12"/>
      <c r="M14" s="32" t="n">
        <f aca="false">SUM(K14,I14,G14,E14,C14)</f>
        <v>0</v>
      </c>
      <c r="N14" s="33" t="n">
        <f aca="false">SUM(L14,J14,H14,F14,D14)</f>
        <v>87000</v>
      </c>
    </row>
    <row r="15" customFormat="false" ht="12.75" hidden="false" customHeight="false" outlineLevel="0" collapsed="false">
      <c r="C15" s="34"/>
      <c r="D15" s="7"/>
      <c r="E15" s="34"/>
      <c r="F15" s="7"/>
      <c r="G15" s="34"/>
      <c r="H15" s="35"/>
      <c r="I15" s="7"/>
      <c r="J15" s="7"/>
      <c r="K15" s="34"/>
      <c r="L15" s="7"/>
      <c r="M15" s="32" t="n">
        <f aca="false">SUM(K15,I15,G15,E15,C15)</f>
        <v>0</v>
      </c>
      <c r="N15" s="33" t="n">
        <f aca="false">SUM(L15,J15,H15,F15,D15)</f>
        <v>0</v>
      </c>
    </row>
    <row r="16" customFormat="false" ht="12.75" hidden="false" customHeight="false" outlineLevel="0" collapsed="false">
      <c r="A16" s="36"/>
      <c r="C16" s="32"/>
      <c r="D16" s="12"/>
      <c r="E16" s="32"/>
      <c r="F16" s="12"/>
      <c r="G16" s="32"/>
      <c r="H16" s="33"/>
      <c r="I16" s="12"/>
      <c r="J16" s="12"/>
      <c r="K16" s="32"/>
      <c r="L16" s="12"/>
      <c r="M16" s="32" t="n">
        <f aca="false">SUM(K16,I16,G16,E16,C16)</f>
        <v>0</v>
      </c>
      <c r="N16" s="33" t="n">
        <f aca="false">SUM(L16,J16,H16,F16,D16)</f>
        <v>0</v>
      </c>
    </row>
    <row r="17" customFormat="false" ht="12.75" hidden="false" customHeight="false" outlineLevel="0" collapsed="false">
      <c r="A17" s="36" t="s">
        <v>26</v>
      </c>
      <c r="C17" s="32" t="n">
        <v>108000</v>
      </c>
      <c r="D17" s="12"/>
      <c r="E17" s="32"/>
      <c r="F17" s="12"/>
      <c r="G17" s="32"/>
      <c r="H17" s="33"/>
      <c r="I17" s="12"/>
      <c r="J17" s="12"/>
      <c r="K17" s="32"/>
      <c r="L17" s="12"/>
      <c r="M17" s="32" t="n">
        <f aca="false">SUM(K17,I17,G17,E17,C17)</f>
        <v>108000</v>
      </c>
      <c r="N17" s="33" t="n">
        <f aca="false">SUM(L17,J17,H17,F17,D17)</f>
        <v>0</v>
      </c>
    </row>
    <row r="18" customFormat="false" ht="12.75" hidden="false" customHeight="false" outlineLevel="0" collapsed="false">
      <c r="A18" s="36" t="s">
        <v>27</v>
      </c>
      <c r="C18" s="32" t="n">
        <v>65000</v>
      </c>
      <c r="D18" s="12"/>
      <c r="E18" s="32"/>
      <c r="F18" s="12"/>
      <c r="G18" s="32"/>
      <c r="H18" s="33"/>
      <c r="I18" s="12"/>
      <c r="J18" s="12"/>
      <c r="K18" s="32"/>
      <c r="L18" s="12"/>
      <c r="M18" s="32" t="n">
        <f aca="false">SUM(K18,I18,G18,E18,C18)</f>
        <v>65000</v>
      </c>
      <c r="N18" s="33" t="n">
        <f aca="false">SUM(L18,J18,H18,F18,D18)</f>
        <v>0</v>
      </c>
    </row>
    <row r="19" customFormat="false" ht="12.75" hidden="false" customHeight="false" outlineLevel="0" collapsed="false">
      <c r="A19" s="36"/>
      <c r="C19" s="32"/>
      <c r="D19" s="12"/>
      <c r="E19" s="32"/>
      <c r="F19" s="12"/>
      <c r="G19" s="32"/>
      <c r="H19" s="33"/>
      <c r="I19" s="12"/>
      <c r="J19" s="12"/>
      <c r="K19" s="32"/>
      <c r="L19" s="12"/>
      <c r="M19" s="32" t="n">
        <f aca="false">SUM(K19,I19,G19,E19,C19)</f>
        <v>0</v>
      </c>
      <c r="N19" s="33" t="n">
        <f aca="false">SUM(L19,J19,H19,F19,D19)</f>
        <v>0</v>
      </c>
    </row>
    <row r="20" customFormat="false" ht="12.75" hidden="false" customHeight="false" outlineLevel="0" collapsed="false">
      <c r="A20" s="36" t="s">
        <v>28</v>
      </c>
      <c r="C20" s="32"/>
      <c r="D20" s="12"/>
      <c r="E20" s="34"/>
      <c r="F20" s="12" t="n">
        <v>40000</v>
      </c>
      <c r="G20" s="32"/>
      <c r="H20" s="33"/>
      <c r="I20" s="12"/>
      <c r="J20" s="12"/>
      <c r="K20" s="32"/>
      <c r="L20" s="12"/>
      <c r="M20" s="32" t="n">
        <f aca="false">SUM(K20,I20,G20,E20,C20)</f>
        <v>0</v>
      </c>
      <c r="N20" s="33" t="n">
        <f aca="false">SUM(L20,J20,H20,F20,D20)</f>
        <v>40000</v>
      </c>
    </row>
    <row r="21" customFormat="false" ht="12.75" hidden="false" customHeight="false" outlineLevel="0" collapsed="false">
      <c r="A21" s="36" t="s">
        <v>28</v>
      </c>
      <c r="C21" s="32"/>
      <c r="D21" s="12" t="n">
        <v>118400</v>
      </c>
      <c r="E21" s="32"/>
      <c r="F21" s="12"/>
      <c r="G21" s="32"/>
      <c r="H21" s="33"/>
      <c r="I21" s="12"/>
      <c r="J21" s="12"/>
      <c r="K21" s="32"/>
      <c r="L21" s="12"/>
      <c r="M21" s="32" t="n">
        <f aca="false">SUM(K21,I21,G21,E21,C21)</f>
        <v>0</v>
      </c>
      <c r="N21" s="33" t="n">
        <f aca="false">SUM(L21,J21,H21,F21,D21)</f>
        <v>118400</v>
      </c>
    </row>
    <row r="22" customFormat="false" ht="12.75" hidden="false" customHeight="false" outlineLevel="0" collapsed="false">
      <c r="A22" s="36" t="s">
        <v>28</v>
      </c>
      <c r="C22" s="32"/>
      <c r="D22" s="12"/>
      <c r="E22" s="32"/>
      <c r="F22" s="12"/>
      <c r="G22" s="34"/>
      <c r="H22" s="33" t="n">
        <v>30000</v>
      </c>
      <c r="I22" s="12"/>
      <c r="J22" s="12"/>
      <c r="K22" s="32"/>
      <c r="L22" s="12"/>
      <c r="M22" s="32" t="n">
        <f aca="false">SUM(K22,I22,G22,E22,C22)</f>
        <v>0</v>
      </c>
      <c r="N22" s="33" t="n">
        <f aca="false">SUM(L22,J22,H22,F22,D22)</f>
        <v>30000</v>
      </c>
    </row>
    <row r="23" customFormat="false" ht="13.5" hidden="false" customHeight="false" outlineLevel="0" collapsed="false">
      <c r="A23" s="36"/>
      <c r="C23" s="37"/>
      <c r="D23" s="38"/>
      <c r="E23" s="37"/>
      <c r="F23" s="38"/>
      <c r="G23" s="37"/>
      <c r="H23" s="39"/>
      <c r="I23" s="38"/>
      <c r="J23" s="38"/>
      <c r="K23" s="37"/>
      <c r="L23" s="38"/>
      <c r="M23" s="37" t="n">
        <f aca="false">SUM(K23,I23,G23,E23,C23)</f>
        <v>0</v>
      </c>
      <c r="N23" s="39" t="n">
        <f aca="false">SUM(L23,J23,H23,F23,D23)</f>
        <v>0</v>
      </c>
    </row>
    <row r="24" customFormat="false" ht="13.5" hidden="false" customHeight="false" outlineLevel="0" collapsed="false">
      <c r="M24" s="12" t="n">
        <f aca="false">SUM(K24,I24,G24,E24,C24)</f>
        <v>0</v>
      </c>
    </row>
    <row r="25" customFormat="false" ht="19.5" hidden="false" customHeight="true" outlineLevel="0" collapsed="false">
      <c r="A25" s="40" t="s">
        <v>29</v>
      </c>
      <c r="C25" s="41" t="n">
        <f aca="false">SUM(C10:C23)</f>
        <v>259605</v>
      </c>
      <c r="D25" s="42" t="n">
        <f aca="false">SUM(D10:D23)</f>
        <v>205400</v>
      </c>
      <c r="E25" s="41" t="n">
        <f aca="false">SUM(E10:E23)</f>
        <v>6200</v>
      </c>
      <c r="F25" s="43" t="n">
        <f aca="false">SUM(F10:F23)</f>
        <v>40000</v>
      </c>
      <c r="G25" s="41" t="n">
        <f aca="false">SUM(G10:G23)</f>
        <v>11165</v>
      </c>
      <c r="H25" s="42" t="n">
        <f aca="false">SUM(H10:H23)</f>
        <v>30000</v>
      </c>
      <c r="I25" s="43" t="n">
        <f aca="false">SUM(I10:I23)</f>
        <v>10325</v>
      </c>
      <c r="J25" s="42" t="n">
        <f aca="false">SUM(J10:J23)</f>
        <v>0</v>
      </c>
      <c r="K25" s="41" t="n">
        <f aca="false">SUM(K10:K23)</f>
        <v>705</v>
      </c>
      <c r="L25" s="43" t="n">
        <f aca="false">SUM(L10:L23)</f>
        <v>0</v>
      </c>
      <c r="M25" s="44" t="n">
        <f aca="false">SUM(K25,I25,G25,E25,C25)</f>
        <v>288000</v>
      </c>
      <c r="N25" s="45" t="n">
        <f aca="false">SUM(N10:N23)</f>
        <v>275400</v>
      </c>
    </row>
    <row r="26" customFormat="false" ht="12.75" hidden="false" customHeight="false" outlineLevel="0" collapsed="false">
      <c r="A26" s="3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customFormat="false" ht="12.75" hidden="false" customHeight="false" outlineLevel="0" collapsed="false">
      <c r="A27" s="3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46"/>
    </row>
    <row r="28" customFormat="false" ht="12.75" hidden="false" customHeight="false" outlineLevel="0" collapsed="false">
      <c r="A28" s="47" t="str">
        <f aca="true">CELL("filename")</f>
        <v>'file:///mnt/12tb/@roms/datasets/enron/EDRM Enron Email Data Set v2 XML/filtered-attachments/xls/CAPITAL_WORKSHEET.xls'#$Marketing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customFormat="false" ht="12.75" hidden="false" customHeight="false" outlineLevel="0" collapsed="false">
      <c r="A29" s="36" t="s">
        <v>30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customFormat="false" ht="12.75" hidden="false" customHeight="false" outlineLevel="0" collapsed="false">
      <c r="A30" s="3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customFormat="false" ht="12.75" hidden="false" customHeight="false" outlineLevel="0" collapsed="false">
      <c r="A31" s="3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customFormat="false" ht="12.75" hidden="false" customHeight="false" outlineLevel="0" collapsed="false">
      <c r="C32" s="12"/>
      <c r="D32" s="12"/>
      <c r="E32" s="12"/>
      <c r="F32" s="12"/>
      <c r="G32" s="12"/>
      <c r="H32" s="12"/>
      <c r="I32" s="12"/>
      <c r="J32" s="12"/>
      <c r="M32" s="12"/>
    </row>
    <row r="33" customFormat="false" ht="12.75" hidden="false" customHeight="false" outlineLevel="0" collapsed="false">
      <c r="C33" s="12"/>
      <c r="D33" s="12"/>
      <c r="E33" s="12"/>
      <c r="F33" s="12"/>
      <c r="G33" s="12"/>
      <c r="H33" s="12"/>
      <c r="I33" s="12"/>
      <c r="J33" s="12"/>
      <c r="M33" s="12"/>
    </row>
    <row r="34" customFormat="false" ht="12.75" hidden="false" customHeight="false" outlineLevel="0" collapsed="false">
      <c r="C34" s="12"/>
      <c r="D34" s="12"/>
      <c r="E34" s="12"/>
      <c r="F34" s="12"/>
      <c r="G34" s="12"/>
      <c r="H34" s="12"/>
      <c r="I34" s="12"/>
      <c r="J34" s="12"/>
      <c r="M34" s="12"/>
    </row>
    <row r="35" customFormat="false" ht="12.75" hidden="false" customHeight="false" outlineLevel="0" collapsed="false">
      <c r="C35" s="12"/>
      <c r="D35" s="12"/>
      <c r="E35" s="12"/>
      <c r="F35" s="12"/>
      <c r="G35" s="12"/>
      <c r="H35" s="12"/>
      <c r="I35" s="12"/>
      <c r="J35" s="12"/>
      <c r="M35" s="12"/>
    </row>
    <row r="36" customFormat="false" ht="12.75" hidden="false" customHeight="false" outlineLevel="0" collapsed="false">
      <c r="C36" s="12"/>
      <c r="D36" s="12"/>
      <c r="E36" s="12"/>
      <c r="F36" s="12"/>
      <c r="G36" s="12"/>
      <c r="H36" s="12"/>
      <c r="I36" s="12"/>
      <c r="J36" s="12"/>
      <c r="M36" s="12"/>
    </row>
    <row r="37" customFormat="false" ht="12.75" hidden="false" customHeight="false" outlineLevel="0" collapsed="false">
      <c r="C37" s="12"/>
      <c r="D37" s="12"/>
      <c r="E37" s="12"/>
      <c r="F37" s="12"/>
      <c r="G37" s="12"/>
      <c r="H37" s="12"/>
      <c r="I37" s="12"/>
      <c r="J37" s="12"/>
      <c r="M37" s="12"/>
    </row>
    <row r="38" customFormat="false" ht="12.75" hidden="false" customHeight="false" outlineLevel="0" collapsed="false">
      <c r="C38" s="12"/>
      <c r="D38" s="12"/>
      <c r="E38" s="12"/>
      <c r="F38" s="12"/>
      <c r="G38" s="12"/>
      <c r="H38" s="12"/>
      <c r="I38" s="12"/>
      <c r="J38" s="12"/>
      <c r="M38" s="12"/>
    </row>
    <row r="39" customFormat="false" ht="12.75" hidden="false" customHeight="false" outlineLevel="0" collapsed="false">
      <c r="C39" s="12"/>
      <c r="D39" s="12"/>
      <c r="E39" s="12"/>
      <c r="F39" s="12"/>
      <c r="G39" s="12"/>
      <c r="H39" s="12"/>
      <c r="I39" s="12"/>
      <c r="J39" s="12"/>
      <c r="M39" s="12"/>
    </row>
    <row r="40" customFormat="false" ht="12.75" hidden="false" customHeight="false" outlineLevel="0" collapsed="false">
      <c r="C40" s="12"/>
      <c r="D40" s="12"/>
      <c r="E40" s="12"/>
      <c r="F40" s="12"/>
      <c r="G40" s="12"/>
      <c r="H40" s="12"/>
      <c r="I40" s="12"/>
      <c r="J40" s="12"/>
      <c r="M40" s="12"/>
    </row>
    <row r="41" customFormat="false" ht="12.75" hidden="false" customHeight="false" outlineLevel="0" collapsed="false">
      <c r="C41" s="12"/>
      <c r="D41" s="12"/>
      <c r="E41" s="12"/>
      <c r="F41" s="12"/>
      <c r="G41" s="12"/>
      <c r="H41" s="12"/>
      <c r="I41" s="12"/>
      <c r="J41" s="12"/>
      <c r="M41" s="12"/>
    </row>
    <row r="42" customFormat="false" ht="12.75" hidden="false" customHeight="false" outlineLevel="0" collapsed="false">
      <c r="C42" s="12"/>
      <c r="D42" s="12"/>
      <c r="E42" s="12"/>
      <c r="F42" s="12"/>
      <c r="G42" s="12"/>
      <c r="H42" s="12"/>
      <c r="I42" s="12"/>
      <c r="J42" s="12"/>
      <c r="M42" s="12"/>
    </row>
    <row r="43" customFormat="false" ht="12.75" hidden="false" customHeight="false" outlineLevel="0" collapsed="false">
      <c r="C43" s="12"/>
      <c r="D43" s="12"/>
      <c r="E43" s="12"/>
      <c r="F43" s="12"/>
      <c r="G43" s="12"/>
      <c r="H43" s="12"/>
      <c r="I43" s="12"/>
      <c r="J43" s="12"/>
      <c r="M43" s="12"/>
    </row>
    <row r="56" customFormat="false" ht="12.75" hidden="false" customHeight="false" outlineLevel="0" collapsed="false">
      <c r="M56" s="13"/>
    </row>
  </sheetData>
  <mergeCells count="11">
    <mergeCell ref="A1:L1"/>
    <mergeCell ref="A2:L2"/>
    <mergeCell ref="A3:L3"/>
    <mergeCell ref="A4:J4"/>
    <mergeCell ref="C5:L5"/>
    <mergeCell ref="C6:D6"/>
    <mergeCell ref="E6:F6"/>
    <mergeCell ref="G6:H6"/>
    <mergeCell ref="I6:J6"/>
    <mergeCell ref="K6:L6"/>
    <mergeCell ref="M6:N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8" activeCellId="0" sqref="A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56"/>
    <col collapsed="false" customWidth="true" hidden="false" outlineLevel="0" max="2" min="2" style="0" width="2.13"/>
    <col collapsed="false" customWidth="true" hidden="false" outlineLevel="0" max="3" min="3" style="0" width="11.28"/>
    <col collapsed="false" customWidth="true" hidden="false" outlineLevel="0" max="5" min="4" style="0" width="11.42"/>
    <col collapsed="false" customWidth="true" hidden="false" outlineLevel="0" max="6" min="6" style="0" width="8.7"/>
    <col collapsed="false" customWidth="true" hidden="false" outlineLevel="0" max="8" min="7" style="7" width="9.14"/>
    <col collapsed="false" customWidth="true" hidden="false" outlineLevel="0" max="13" min="13" style="7" width="9.99"/>
    <col collapsed="false" customWidth="true" hidden="false" outlineLevel="0" max="15" min="15" style="0" width="9.99"/>
    <col collapsed="false" customWidth="true" hidden="false" outlineLevel="0" max="18" min="17" style="0" width="11.28"/>
    <col collapsed="false" customWidth="true" hidden="false" outlineLevel="0" max="19" min="19" style="0" width="11.99"/>
  </cols>
  <sheetData>
    <row r="1" customFormat="false" ht="15.75" hidden="false" customHeight="false" outlineLevel="0" collapsed="false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customFormat="false" ht="15.75" hidden="false" customHeight="false" outlineLevel="0" collapsed="false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customFormat="false" ht="15.75" hidden="false" customHeight="false" outlineLevel="0" collapsed="false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customFormat="false" ht="16.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Q4" s="48"/>
      <c r="R4" s="48"/>
    </row>
    <row r="5" customFormat="false" ht="13.5" hidden="false" customHeight="false" outlineLevel="0" collapsed="false">
      <c r="C5" s="4" t="n">
        <v>2002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9"/>
      <c r="R5" s="50"/>
    </row>
    <row r="6" customFormat="false" ht="13.5" hidden="false" customHeight="false" outlineLevel="0" collapsed="false">
      <c r="A6" s="8"/>
      <c r="C6" s="9" t="s">
        <v>14</v>
      </c>
      <c r="D6" s="9"/>
      <c r="E6" s="9" t="s">
        <v>15</v>
      </c>
      <c r="F6" s="9"/>
      <c r="G6" s="4" t="s">
        <v>16</v>
      </c>
      <c r="H6" s="4"/>
      <c r="I6" s="9" t="s">
        <v>17</v>
      </c>
      <c r="J6" s="9"/>
      <c r="K6" s="4" t="s">
        <v>18</v>
      </c>
      <c r="L6" s="4"/>
      <c r="M6" s="9" t="s">
        <v>32</v>
      </c>
      <c r="N6" s="9"/>
      <c r="O6" s="9" t="s">
        <v>33</v>
      </c>
      <c r="P6" s="9"/>
      <c r="Q6" s="4" t="s">
        <v>19</v>
      </c>
      <c r="R6" s="4"/>
    </row>
    <row r="7" customFormat="false" ht="13.5" hidden="false" customHeight="false" outlineLevel="0" collapsed="false">
      <c r="A7" s="9" t="s">
        <v>3</v>
      </c>
      <c r="C7" s="25" t="s">
        <v>20</v>
      </c>
      <c r="D7" s="26" t="s">
        <v>21</v>
      </c>
      <c r="E7" s="25" t="s">
        <v>20</v>
      </c>
      <c r="F7" s="5" t="s">
        <v>21</v>
      </c>
      <c r="G7" s="27" t="s">
        <v>20</v>
      </c>
      <c r="H7" s="28" t="s">
        <v>21</v>
      </c>
      <c r="I7" s="51" t="s">
        <v>20</v>
      </c>
      <c r="J7" s="52" t="s">
        <v>21</v>
      </c>
      <c r="K7" s="53" t="s">
        <v>20</v>
      </c>
      <c r="L7" s="51" t="s">
        <v>21</v>
      </c>
      <c r="M7" s="5" t="s">
        <v>20</v>
      </c>
      <c r="N7" s="26" t="s">
        <v>21</v>
      </c>
      <c r="O7" s="53" t="s">
        <v>20</v>
      </c>
      <c r="P7" s="51" t="s">
        <v>21</v>
      </c>
      <c r="Q7" s="54" t="s">
        <v>20</v>
      </c>
      <c r="R7" s="55" t="s">
        <v>21</v>
      </c>
    </row>
    <row r="8" customFormat="false" ht="12.75" hidden="false" customHeight="false" outlineLevel="0" collapsed="false">
      <c r="C8" s="29"/>
      <c r="D8" s="30"/>
      <c r="E8" s="29"/>
      <c r="F8" s="30"/>
      <c r="G8" s="29"/>
      <c r="H8" s="31"/>
      <c r="I8" s="30"/>
      <c r="J8" s="31"/>
      <c r="K8" s="29"/>
      <c r="L8" s="30"/>
      <c r="M8" s="29"/>
      <c r="N8" s="31"/>
      <c r="O8" s="30"/>
      <c r="P8" s="30"/>
      <c r="Q8" s="29"/>
      <c r="R8" s="31"/>
    </row>
    <row r="9" customFormat="false" ht="12.75" hidden="false" customHeight="false" outlineLevel="0" collapsed="false">
      <c r="A9" s="16"/>
      <c r="C9" s="32"/>
      <c r="D9" s="12"/>
      <c r="E9" s="32"/>
      <c r="F9" s="12"/>
      <c r="G9" s="32"/>
      <c r="H9" s="33"/>
      <c r="I9" s="12"/>
      <c r="J9" s="33"/>
      <c r="K9" s="32"/>
      <c r="L9" s="12"/>
      <c r="M9" s="32"/>
      <c r="N9" s="33"/>
      <c r="O9" s="12"/>
      <c r="P9" s="12"/>
      <c r="Q9" s="56" t="n">
        <f aca="false">SUM(O9,M9,K9,I9,G9,E9,C9)</f>
        <v>0</v>
      </c>
      <c r="R9" s="57" t="n">
        <f aca="false">SUM(P9,N9,L9,J9,H9,F9,D9)</f>
        <v>0</v>
      </c>
    </row>
    <row r="10" customFormat="false" ht="12.75" hidden="false" customHeight="false" outlineLevel="0" collapsed="false">
      <c r="A10" s="16"/>
      <c r="C10" s="58"/>
      <c r="D10" s="12"/>
      <c r="E10" s="58"/>
      <c r="F10" s="12"/>
      <c r="G10" s="58"/>
      <c r="H10" s="33"/>
      <c r="I10" s="59"/>
      <c r="J10" s="33"/>
      <c r="K10" s="58"/>
      <c r="L10" s="12"/>
      <c r="M10" s="32"/>
      <c r="N10" s="33"/>
      <c r="O10" s="12"/>
      <c r="P10" s="12"/>
      <c r="Q10" s="56" t="n">
        <f aca="false">SUM(O10,M10,K10,I10,G10,E10,C10)</f>
        <v>0</v>
      </c>
      <c r="R10" s="57" t="n">
        <f aca="false">SUM(P10,N10,L10,J10,H10,F10,D10)</f>
        <v>0</v>
      </c>
    </row>
    <row r="11" customFormat="false" ht="12.75" hidden="false" customHeight="false" outlineLevel="0" collapsed="false">
      <c r="A11" s="16" t="s">
        <v>34</v>
      </c>
      <c r="C11" s="58"/>
      <c r="D11" s="12"/>
      <c r="E11" s="58"/>
      <c r="F11" s="12"/>
      <c r="G11" s="58"/>
      <c r="H11" s="33"/>
      <c r="I11" s="59"/>
      <c r="J11" s="33"/>
      <c r="K11" s="58"/>
      <c r="L11" s="12"/>
      <c r="M11" s="32" t="n">
        <f aca="false">SUM(K11,I11,G11,E11,C11)</f>
        <v>0</v>
      </c>
      <c r="N11" s="33"/>
      <c r="O11" s="12"/>
      <c r="P11" s="12"/>
      <c r="Q11" s="56" t="n">
        <f aca="false">SUM(O11,M11,K11,I11,G11,E11,C11)</f>
        <v>0</v>
      </c>
      <c r="R11" s="57" t="n">
        <f aca="false">SUM(P11,N11,L11,J11,H11,F11,D11)</f>
        <v>0</v>
      </c>
    </row>
    <row r="12" customFormat="false" ht="12.75" hidden="false" customHeight="false" outlineLevel="0" collapsed="false">
      <c r="A12" s="16" t="s">
        <v>35</v>
      </c>
      <c r="C12" s="58"/>
      <c r="D12" s="12" t="n">
        <v>600000</v>
      </c>
      <c r="E12" s="58"/>
      <c r="F12" s="12"/>
      <c r="G12" s="58"/>
      <c r="H12" s="33"/>
      <c r="I12" s="59"/>
      <c r="J12" s="33"/>
      <c r="K12" s="58"/>
      <c r="L12" s="12"/>
      <c r="M12" s="32" t="n">
        <f aca="false">SUM(K12,I12,G12,E12,C12)</f>
        <v>0</v>
      </c>
      <c r="N12" s="33"/>
      <c r="O12" s="12"/>
      <c r="P12" s="12"/>
      <c r="Q12" s="56" t="n">
        <f aca="false">SUM(O12,M12,K12,I12,G12,E12,C12)</f>
        <v>0</v>
      </c>
      <c r="R12" s="57" t="n">
        <f aca="false">SUM(P12,N12,L12,J12,H12,F12,D12)</f>
        <v>600000</v>
      </c>
    </row>
    <row r="13" customFormat="false" ht="12.75" hidden="false" customHeight="false" outlineLevel="0" collapsed="false">
      <c r="A13" s="16" t="s">
        <v>36</v>
      </c>
      <c r="C13" s="58"/>
      <c r="D13" s="12" t="n">
        <v>1066142</v>
      </c>
      <c r="E13" s="58"/>
      <c r="F13" s="12"/>
      <c r="G13" s="58"/>
      <c r="H13" s="33"/>
      <c r="I13" s="59"/>
      <c r="J13" s="33"/>
      <c r="K13" s="58"/>
      <c r="L13" s="12"/>
      <c r="M13" s="32" t="n">
        <f aca="false">SUM(K13,I13,G13,E13,C13)</f>
        <v>0</v>
      </c>
      <c r="N13" s="33"/>
      <c r="O13" s="12"/>
      <c r="P13" s="12"/>
      <c r="Q13" s="56" t="n">
        <f aca="false">SUM(O13,M13,K13,I13,G13,E13,C13)</f>
        <v>0</v>
      </c>
      <c r="R13" s="57" t="n">
        <f aca="false">SUM(P13,N13,L13,J13,H13,F13,D13)</f>
        <v>1066142</v>
      </c>
    </row>
    <row r="14" customFormat="false" ht="12.75" hidden="false" customHeight="false" outlineLevel="0" collapsed="false">
      <c r="A14" s="16"/>
      <c r="C14" s="58"/>
      <c r="D14" s="12"/>
      <c r="E14" s="58"/>
      <c r="F14" s="12"/>
      <c r="G14" s="58"/>
      <c r="H14" s="33"/>
      <c r="I14" s="59"/>
      <c r="J14" s="33"/>
      <c r="K14" s="58"/>
      <c r="L14" s="12"/>
      <c r="M14" s="32" t="n">
        <f aca="false">SUM(K14,I14,G14,E14,C14)</f>
        <v>0</v>
      </c>
      <c r="N14" s="33"/>
      <c r="O14" s="12"/>
      <c r="P14" s="12"/>
      <c r="Q14" s="56" t="n">
        <f aca="false">SUM(O14,M14,K14,I14,G14,E14,C14)</f>
        <v>0</v>
      </c>
      <c r="R14" s="57" t="n">
        <f aca="false">SUM(P14,N14,L14,J14,H14,F14,D14)</f>
        <v>0</v>
      </c>
    </row>
    <row r="15" customFormat="false" ht="12.75" hidden="false" customHeight="false" outlineLevel="0" collapsed="false">
      <c r="A15" s="16"/>
      <c r="C15" s="58"/>
      <c r="D15" s="12"/>
      <c r="E15" s="58"/>
      <c r="F15" s="12"/>
      <c r="G15" s="58"/>
      <c r="H15" s="33"/>
      <c r="I15" s="59"/>
      <c r="J15" s="33"/>
      <c r="K15" s="58"/>
      <c r="L15" s="12"/>
      <c r="M15" s="32" t="n">
        <f aca="false">SUM(K15,I15,G15,E15,C15)</f>
        <v>0</v>
      </c>
      <c r="N15" s="33"/>
      <c r="O15" s="12"/>
      <c r="P15" s="12"/>
      <c r="Q15" s="56" t="n">
        <f aca="false">SUM(O15,M15,K15,I15,G15,E15,C15)</f>
        <v>0</v>
      </c>
      <c r="R15" s="57" t="n">
        <f aca="false">SUM(P15,N15,L15,J15,H15,F15,D15)</f>
        <v>0</v>
      </c>
    </row>
    <row r="16" customFormat="false" ht="12.75" hidden="false" customHeight="false" outlineLevel="0" collapsed="false">
      <c r="A16" s="60" t="s">
        <v>37</v>
      </c>
      <c r="B16" s="22"/>
      <c r="C16" s="58"/>
      <c r="D16" s="12" t="n">
        <v>30150</v>
      </c>
      <c r="E16" s="58"/>
      <c r="F16" s="12" t="n">
        <v>30150</v>
      </c>
      <c r="G16" s="58"/>
      <c r="H16" s="33" t="n">
        <v>30150</v>
      </c>
      <c r="I16" s="59"/>
      <c r="J16" s="33"/>
      <c r="K16" s="58"/>
      <c r="L16" s="12"/>
      <c r="M16" s="32" t="n">
        <f aca="false">SUM(K16,I16,G16,E16,C16)</f>
        <v>0</v>
      </c>
      <c r="N16" s="33"/>
      <c r="O16" s="12"/>
      <c r="P16" s="12"/>
      <c r="Q16" s="61" t="n">
        <f aca="false">SUM(O16,M16,K16,I16,G16,E16,C16)</f>
        <v>0</v>
      </c>
      <c r="R16" s="62" t="n">
        <f aca="false">SUM(P16,N16,L16,J16,H16,F16,D16)</f>
        <v>90450</v>
      </c>
      <c r="S16" s="22"/>
    </row>
    <row r="17" customFormat="false" ht="12.75" hidden="false" customHeight="false" outlineLevel="0" collapsed="false">
      <c r="A17" s="16"/>
      <c r="C17" s="58"/>
      <c r="D17" s="12"/>
      <c r="E17" s="58"/>
      <c r="F17" s="12"/>
      <c r="G17" s="58"/>
      <c r="H17" s="33"/>
      <c r="I17" s="59"/>
      <c r="J17" s="33"/>
      <c r="K17" s="58"/>
      <c r="L17" s="12"/>
      <c r="M17" s="32" t="n">
        <f aca="false">SUM(K17,I17,G17,E17,C17)</f>
        <v>0</v>
      </c>
      <c r="N17" s="33"/>
      <c r="O17" s="12"/>
      <c r="P17" s="12"/>
      <c r="Q17" s="56" t="n">
        <f aca="false">SUM(O17,M17,K17,I17,G17,E17,C17)</f>
        <v>0</v>
      </c>
      <c r="R17" s="57" t="n">
        <f aca="false">SUM(P17,N17,L17,J17,H17,F17,D17)</f>
        <v>0</v>
      </c>
    </row>
    <row r="18" customFormat="false" ht="12.75" hidden="false" customHeight="false" outlineLevel="0" collapsed="false">
      <c r="A18" s="16" t="s">
        <v>38</v>
      </c>
      <c r="C18" s="34"/>
      <c r="D18" s="59" t="n">
        <f aca="false">1582200</f>
        <v>1582200</v>
      </c>
      <c r="E18" s="58"/>
      <c r="F18" s="12"/>
      <c r="G18" s="58"/>
      <c r="H18" s="33"/>
      <c r="I18" s="59"/>
      <c r="J18" s="33"/>
      <c r="K18" s="58"/>
      <c r="L18" s="12"/>
      <c r="M18" s="32" t="n">
        <f aca="false">SUM(K18,I18,G18,E18,C18)</f>
        <v>0</v>
      </c>
      <c r="N18" s="33"/>
      <c r="O18" s="12"/>
      <c r="P18" s="12"/>
      <c r="Q18" s="56" t="n">
        <f aca="false">SUM(O18,M18,K18,I18,G18,E18,C18)</f>
        <v>0</v>
      </c>
      <c r="R18" s="57" t="n">
        <f aca="false">SUM(P18,N18,L18,J18,H18,F18,D18)</f>
        <v>1582200</v>
      </c>
      <c r="S18" s="46"/>
    </row>
    <row r="19" customFormat="false" ht="12.75" hidden="false" customHeight="false" outlineLevel="0" collapsed="false">
      <c r="A19" s="16" t="s">
        <v>39</v>
      </c>
      <c r="C19" s="58"/>
      <c r="D19" s="59" t="n">
        <v>35000</v>
      </c>
      <c r="E19" s="58"/>
      <c r="F19" s="12"/>
      <c r="G19" s="58"/>
      <c r="H19" s="33"/>
      <c r="I19" s="59"/>
      <c r="J19" s="33"/>
      <c r="K19" s="58"/>
      <c r="L19" s="12"/>
      <c r="M19" s="32" t="n">
        <f aca="false">SUM(K19,I19,G19,E19,C19)</f>
        <v>0</v>
      </c>
      <c r="N19" s="33"/>
      <c r="O19" s="12"/>
      <c r="P19" s="12"/>
      <c r="Q19" s="56" t="n">
        <f aca="false">SUM(O19,M19,K19,I19,G19,E19,C19)</f>
        <v>0</v>
      </c>
      <c r="R19" s="57" t="n">
        <f aca="false">SUM(P19,N19,L19,J19,H19,F19,D19)</f>
        <v>35000</v>
      </c>
      <c r="S19" s="46"/>
    </row>
    <row r="20" customFormat="false" ht="12.75" hidden="false" customHeight="false" outlineLevel="0" collapsed="false">
      <c r="A20" s="16" t="s">
        <v>38</v>
      </c>
      <c r="C20" s="58"/>
      <c r="D20" s="12"/>
      <c r="E20" s="58"/>
      <c r="F20" s="12"/>
      <c r="G20" s="58"/>
      <c r="H20" s="63" t="n">
        <v>43000</v>
      </c>
      <c r="I20" s="59"/>
      <c r="J20" s="33"/>
      <c r="K20" s="58"/>
      <c r="L20" s="12"/>
      <c r="M20" s="32" t="n">
        <f aca="false">SUM(K20,I20,G20,E20,C20)</f>
        <v>0</v>
      </c>
      <c r="N20" s="33"/>
      <c r="O20" s="12"/>
      <c r="P20" s="12"/>
      <c r="Q20" s="56" t="n">
        <f aca="false">SUM(O20,M20,K20,I20,G20,E20,C20)</f>
        <v>0</v>
      </c>
      <c r="R20" s="57" t="n">
        <f aca="false">SUM(P20,N20,L20,J20,H20,F20,D20)</f>
        <v>43000</v>
      </c>
      <c r="S20" s="46"/>
    </row>
    <row r="21" customFormat="false" ht="12.75" hidden="false" customHeight="false" outlineLevel="0" collapsed="false">
      <c r="A21" s="36" t="s">
        <v>40</v>
      </c>
      <c r="C21" s="32"/>
      <c r="D21" s="7" t="n">
        <v>555000</v>
      </c>
      <c r="E21" s="32"/>
      <c r="F21" s="12"/>
      <c r="G21" s="32"/>
      <c r="H21" s="33"/>
      <c r="I21" s="12"/>
      <c r="J21" s="33"/>
      <c r="K21" s="32"/>
      <c r="L21" s="12"/>
      <c r="M21" s="32" t="n">
        <f aca="false">SUM(K21,I21,G21,E21,C21)</f>
        <v>0</v>
      </c>
      <c r="N21" s="33"/>
      <c r="Q21" s="56" t="n">
        <f aca="false">SUM(O21,M21,K21,I21,G21,E21,C21)</f>
        <v>0</v>
      </c>
      <c r="R21" s="57" t="n">
        <f aca="false">SUM(P21,N21,L21,J21,H21,F21,D21)</f>
        <v>555000</v>
      </c>
      <c r="S21" s="46"/>
    </row>
    <row r="22" customFormat="false" ht="12.75" hidden="false" customHeight="false" outlineLevel="0" collapsed="false">
      <c r="A22" s="16" t="s">
        <v>41</v>
      </c>
      <c r="C22" s="58"/>
      <c r="D22" s="59" t="n">
        <f aca="false">8067</f>
        <v>8067</v>
      </c>
      <c r="E22" s="58"/>
      <c r="F22" s="59" t="n">
        <f aca="false">8067</f>
        <v>8067</v>
      </c>
      <c r="G22" s="58"/>
      <c r="H22" s="63" t="n">
        <f aca="false">8066</f>
        <v>8066</v>
      </c>
      <c r="I22" s="59"/>
      <c r="J22" s="33"/>
      <c r="K22" s="58"/>
      <c r="L22" s="12"/>
      <c r="M22" s="32" t="n">
        <f aca="false">SUM(K22,I22,G22,E22,C22)</f>
        <v>0</v>
      </c>
      <c r="N22" s="33"/>
      <c r="O22" s="12"/>
      <c r="P22" s="12"/>
      <c r="Q22" s="56" t="n">
        <f aca="false">SUM(O22,M22,K22,I22,G22,E22,C22)</f>
        <v>0</v>
      </c>
      <c r="R22" s="57" t="n">
        <f aca="false">SUM(P22,N22,L22,J22,H22,F22,D22)</f>
        <v>24200</v>
      </c>
      <c r="S22" s="46"/>
    </row>
    <row r="23" customFormat="false" ht="13.5" hidden="false" customHeight="false" outlineLevel="0" collapsed="false">
      <c r="A23" s="16"/>
      <c r="C23" s="64"/>
      <c r="D23" s="38"/>
      <c r="E23" s="64"/>
      <c r="F23" s="38"/>
      <c r="G23" s="64"/>
      <c r="H23" s="39"/>
      <c r="I23" s="65"/>
      <c r="J23" s="39"/>
      <c r="K23" s="64"/>
      <c r="L23" s="38"/>
      <c r="M23" s="32" t="n">
        <f aca="false">SUM(K23,I23,G23,E23,C23)</f>
        <v>0</v>
      </c>
      <c r="N23" s="33"/>
      <c r="O23" s="12"/>
      <c r="P23" s="12"/>
      <c r="Q23" s="66" t="n">
        <f aca="false">SUM(O23,M23,K23,I23,G23,E23,C23)</f>
        <v>0</v>
      </c>
      <c r="R23" s="67" t="n">
        <f aca="false">SUM(P23,N23,L23,J23,H23,F23,D23)</f>
        <v>0</v>
      </c>
      <c r="S23" s="46"/>
    </row>
    <row r="24" customFormat="false" ht="18.75" hidden="false" customHeight="true" outlineLevel="0" collapsed="false">
      <c r="A24" s="36" t="s">
        <v>42</v>
      </c>
      <c r="C24" s="37" t="n">
        <f aca="false">SUM(C9:C23)</f>
        <v>0</v>
      </c>
      <c r="D24" s="37" t="n">
        <f aca="false">SUM(D9:D23)</f>
        <v>3876559</v>
      </c>
      <c r="E24" s="37" t="n">
        <f aca="false">SUM(E9:E23)</f>
        <v>0</v>
      </c>
      <c r="F24" s="37" t="n">
        <f aca="false">SUM(F9:F23)</f>
        <v>38217</v>
      </c>
      <c r="G24" s="68" t="n">
        <f aca="false">SUM(G9:G23)</f>
        <v>0</v>
      </c>
      <c r="H24" s="69" t="n">
        <f aca="false">SUM(H9:H23)</f>
        <v>81216</v>
      </c>
      <c r="I24" s="70" t="n">
        <f aca="false">SUM(I9:I23)</f>
        <v>0</v>
      </c>
      <c r="J24" s="68" t="n">
        <f aca="false">SUM(J9:J23)</f>
        <v>0</v>
      </c>
      <c r="K24" s="68" t="n">
        <f aca="false">SUM(K9:K23)</f>
        <v>0</v>
      </c>
      <c r="L24" s="68" t="n">
        <f aca="false">SUM(L9:L23)</f>
        <v>0</v>
      </c>
      <c r="M24" s="68" t="n">
        <f aca="false">SUM(M9:M23)</f>
        <v>0</v>
      </c>
      <c r="N24" s="69" t="n">
        <f aca="false">SUM(N9:N23)</f>
        <v>0</v>
      </c>
      <c r="O24" s="70" t="n">
        <f aca="false">SUM(O9:O23)</f>
        <v>0</v>
      </c>
      <c r="P24" s="68" t="n">
        <f aca="false">SUM(P9:P23)</f>
        <v>0</v>
      </c>
      <c r="Q24" s="71" t="n">
        <f aca="false">SUM(Q9:Q23)</f>
        <v>0</v>
      </c>
      <c r="R24" s="67" t="n">
        <f aca="false">SUM(R9:R23)</f>
        <v>3995992</v>
      </c>
      <c r="S24" s="46" t="n">
        <f aca="false">SUM(Q24:R24)</f>
        <v>3995992</v>
      </c>
    </row>
    <row r="25" customFormat="false" ht="12.75" hidden="false" customHeight="false" outlineLevel="0" collapsed="false">
      <c r="A25" s="36"/>
      <c r="M25" s="12"/>
      <c r="N25" s="7"/>
      <c r="R25" s="72"/>
      <c r="S25" s="72"/>
    </row>
    <row r="26" customFormat="false" ht="12.75" hidden="false" customHeight="false" outlineLevel="0" collapsed="false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R26" s="46"/>
    </row>
    <row r="27" customFormat="false" ht="12.75" hidden="false" customHeight="false" outlineLevel="0" collapsed="false">
      <c r="A27" s="47" t="str">
        <f aca="true">CELL("filename")</f>
        <v>'file:///mnt/12tb/@roms/datasets/enron/EDRM Enron Email Data Set v2 XML/filtered-attachments/xls/CAPITAL_WORKSHEET.xls'#$IT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Q27" s="46"/>
    </row>
    <row r="28" customFormat="false" ht="12.75" hidden="false" customHeight="false" outlineLevel="0" collapsed="false">
      <c r="A28" s="0" t="s">
        <v>30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customFormat="false" ht="12.75" hidden="false" customHeight="false" outlineLevel="0" collapsed="false"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12"/>
      <c r="N29" s="72"/>
      <c r="O29" s="72"/>
      <c r="P29" s="72"/>
      <c r="Q29" s="72"/>
    </row>
    <row r="30" customFormat="false" ht="12.75" hidden="false" customHeight="false" outlineLevel="0" collapsed="false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customFormat="false" ht="12.75" hidden="false" customHeight="false" outlineLevel="0" collapsed="false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customFormat="false" ht="12.75" hidden="false" customHeight="false" outlineLevel="0" collapsed="false">
      <c r="A32" s="4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customFormat="false" ht="12.75" hidden="false" customHeight="false" outlineLevel="0" collapsed="false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customFormat="false" ht="12.75" hidden="false" customHeight="false" outlineLevel="0" collapsed="false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customFormat="false" ht="12.75" hidden="false" customHeight="false" outlineLevel="0" collapsed="false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customFormat="false" ht="12.75" hidden="false" customHeight="false" outlineLevel="0" collapsed="false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customFormat="false" ht="12.75" hidden="false" customHeight="false" outlineLevel="0" collapsed="false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customFormat="false" ht="12.75" hidden="false" customHeight="false" outlineLevel="0" collapsed="false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customFormat="false" ht="12.75" hidden="false" customHeight="false" outlineLevel="0" collapsed="false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customFormat="false" ht="12.75" hidden="false" customHeight="false" outlineLevel="0" collapsed="false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customFormat="false" ht="12.75" hidden="false" customHeight="false" outlineLevel="0" collapsed="false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customFormat="false" ht="12.75" hidden="false" customHeight="false" outlineLevel="0" collapsed="false">
      <c r="M42" s="12"/>
    </row>
    <row r="43" customFormat="false" ht="12.75" hidden="false" customHeight="false" outlineLevel="0" collapsed="false">
      <c r="M43" s="12"/>
    </row>
    <row r="56" customFormat="false" ht="12.75" hidden="false" customHeight="false" outlineLevel="0" collapsed="false">
      <c r="M56" s="13"/>
    </row>
  </sheetData>
  <mergeCells count="13">
    <mergeCell ref="A1:L1"/>
    <mergeCell ref="A2:L2"/>
    <mergeCell ref="A3:L3"/>
    <mergeCell ref="A4:L4"/>
    <mergeCell ref="C5:P5"/>
    <mergeCell ref="C6:D6"/>
    <mergeCell ref="E6:F6"/>
    <mergeCell ref="G6:H6"/>
    <mergeCell ref="I6:J6"/>
    <mergeCell ref="K6:L6"/>
    <mergeCell ref="M6:N6"/>
    <mergeCell ref="O6:P6"/>
    <mergeCell ref="Q6:R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45" activePane="bottomRight" state="frozen"/>
      <selection pane="topLeft" activeCell="A1" activeCellId="0" sqref="A1"/>
      <selection pane="topRight" activeCell="C1" activeCellId="0" sqref="C1"/>
      <selection pane="bottomLeft" activeCell="A45" activeCellId="0" sqref="A45"/>
      <selection pane="bottomRight" activeCell="A59" activeCellId="0" sqref="A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42"/>
    <col collapsed="false" customWidth="true" hidden="false" outlineLevel="0" max="2" min="2" style="0" width="2.13"/>
    <col collapsed="false" customWidth="true" hidden="false" outlineLevel="0" max="3" min="3" style="0" width="13.85"/>
    <col collapsed="false" customWidth="true" hidden="false" outlineLevel="0" max="4" min="4" style="0" width="13.14"/>
    <col collapsed="false" customWidth="true" hidden="false" outlineLevel="0" max="5" min="5" style="0" width="14.41"/>
    <col collapsed="false" customWidth="true" hidden="false" outlineLevel="0" max="6" min="6" style="0" width="13.85"/>
    <col collapsed="false" customWidth="true" hidden="false" outlineLevel="0" max="7" min="7" style="7" width="14.41"/>
    <col collapsed="false" customWidth="true" hidden="false" outlineLevel="0" max="8" min="8" style="7" width="13.14"/>
    <col collapsed="false" customWidth="true" hidden="false" outlineLevel="0" max="10" min="9" style="0" width="11.99"/>
    <col collapsed="false" customWidth="true" hidden="false" outlineLevel="0" max="12" min="11" style="0" width="10.41"/>
    <col collapsed="false" customWidth="true" hidden="false" outlineLevel="0" max="13" min="13" style="7" width="15.56"/>
    <col collapsed="false" customWidth="true" hidden="false" outlineLevel="0" max="14" min="14" style="0" width="15.56"/>
    <col collapsed="false" customWidth="true" hidden="false" outlineLevel="0" max="15" min="15" style="0" width="13.85"/>
    <col collapsed="false" customWidth="true" hidden="false" outlineLevel="0" max="17" min="16" style="7" width="9.14"/>
  </cols>
  <sheetData>
    <row r="1" customFormat="false" ht="15.75" hidden="false" customHeight="false" outlineLevel="0" collapsed="false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customFormat="false" ht="15.75" hidden="false" customHeight="false" outlineLevel="0" collapsed="false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customFormat="false" ht="15.75" hidden="false" customHeight="false" outlineLevel="0" collapsed="false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customFormat="false" ht="16.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customFormat="false" ht="13.5" hidden="false" customHeight="false" outlineLevel="0" collapsed="false">
      <c r="C5" s="27" t="n">
        <v>2000</v>
      </c>
      <c r="D5" s="27"/>
      <c r="E5" s="27"/>
      <c r="F5" s="27"/>
      <c r="G5" s="27"/>
      <c r="H5" s="27"/>
      <c r="I5" s="27"/>
      <c r="J5" s="27"/>
      <c r="K5" s="27"/>
      <c r="L5" s="73"/>
      <c r="O5" s="4" t="s">
        <v>32</v>
      </c>
      <c r="P5" s="5"/>
      <c r="Q5" s="5"/>
    </row>
    <row r="6" customFormat="false" ht="13.5" hidden="false" customHeight="false" outlineLevel="0" collapsed="false">
      <c r="A6" s="8"/>
      <c r="C6" s="4" t="s">
        <v>14</v>
      </c>
      <c r="D6" s="4"/>
      <c r="E6" s="28" t="s">
        <v>15</v>
      </c>
      <c r="F6" s="28"/>
      <c r="G6" s="4" t="s">
        <v>16</v>
      </c>
      <c r="H6" s="4"/>
      <c r="I6" s="4" t="s">
        <v>17</v>
      </c>
      <c r="J6" s="4"/>
      <c r="K6" s="28" t="s">
        <v>18</v>
      </c>
      <c r="L6" s="28"/>
      <c r="M6" s="28" t="s">
        <v>19</v>
      </c>
      <c r="N6" s="28"/>
      <c r="O6" s="9" t="s">
        <v>19</v>
      </c>
      <c r="P6" s="5"/>
      <c r="Q6" s="5"/>
    </row>
    <row r="7" customFormat="false" ht="13.5" hidden="false" customHeight="false" outlineLevel="0" collapsed="false">
      <c r="A7" s="9" t="s">
        <v>3</v>
      </c>
      <c r="C7" s="54" t="s">
        <v>44</v>
      </c>
      <c r="D7" s="74" t="s">
        <v>21</v>
      </c>
      <c r="E7" s="54" t="str">
        <f aca="false">C7</f>
        <v>Legal / NonD</v>
      </c>
      <c r="F7" s="74" t="s">
        <v>21</v>
      </c>
      <c r="G7" s="54" t="str">
        <f aca="false">E7</f>
        <v>Legal / NonD</v>
      </c>
      <c r="H7" s="55" t="s">
        <v>21</v>
      </c>
      <c r="I7" s="73" t="s">
        <v>45</v>
      </c>
      <c r="J7" s="28" t="s">
        <v>21</v>
      </c>
      <c r="K7" s="27" t="s">
        <v>45</v>
      </c>
      <c r="L7" s="28" t="s">
        <v>21</v>
      </c>
      <c r="M7" s="5" t="s">
        <v>45</v>
      </c>
      <c r="N7" s="55" t="s">
        <v>21</v>
      </c>
      <c r="O7" s="4"/>
      <c r="P7" s="5"/>
      <c r="Q7" s="5"/>
    </row>
    <row r="8" customFormat="false" ht="12.75" hidden="false" customHeight="false" outlineLevel="0" collapsed="false">
      <c r="C8" s="29"/>
      <c r="D8" s="30"/>
      <c r="E8" s="29"/>
      <c r="F8" s="30"/>
      <c r="G8" s="29"/>
      <c r="H8" s="31"/>
      <c r="I8" s="7"/>
      <c r="J8" s="35"/>
      <c r="K8" s="29"/>
      <c r="L8" s="31"/>
      <c r="M8" s="29"/>
      <c r="N8" s="31"/>
      <c r="O8" s="75"/>
      <c r="R8" s="7"/>
    </row>
    <row r="9" customFormat="false" ht="12.75" hidden="false" customHeight="false" outlineLevel="0" collapsed="false">
      <c r="A9" s="36" t="s">
        <v>46</v>
      </c>
      <c r="C9" s="32"/>
      <c r="D9" s="12"/>
      <c r="E9" s="32"/>
      <c r="F9" s="12"/>
      <c r="G9" s="32"/>
      <c r="H9" s="33"/>
      <c r="I9" s="12"/>
      <c r="J9" s="33"/>
      <c r="K9" s="32"/>
      <c r="L9" s="33"/>
      <c r="M9" s="32"/>
      <c r="N9" s="33"/>
      <c r="O9" s="15"/>
      <c r="R9" s="7"/>
    </row>
    <row r="10" customFormat="false" ht="12.75" hidden="false" customHeight="false" outlineLevel="0" collapsed="false">
      <c r="A10" s="16" t="s">
        <v>47</v>
      </c>
      <c r="C10" s="32"/>
      <c r="D10" s="12"/>
      <c r="E10" s="32"/>
      <c r="F10" s="12"/>
      <c r="G10" s="32"/>
      <c r="H10" s="33"/>
      <c r="I10" s="12"/>
      <c r="J10" s="33"/>
      <c r="K10" s="32"/>
      <c r="L10" s="33"/>
      <c r="M10" s="32"/>
      <c r="N10" s="33"/>
      <c r="O10" s="15"/>
      <c r="R10" s="7"/>
    </row>
    <row r="11" customFormat="false" ht="12.75" hidden="false" customHeight="false" outlineLevel="0" collapsed="false">
      <c r="A11" s="16" t="s">
        <v>48</v>
      </c>
      <c r="C11" s="32"/>
      <c r="D11" s="12" t="n">
        <f aca="false">76500*0.4861</f>
        <v>37186.65</v>
      </c>
      <c r="E11" s="34"/>
      <c r="F11" s="12" t="n">
        <f aca="false">76500*0.1722</f>
        <v>13173.3</v>
      </c>
      <c r="G11" s="34"/>
      <c r="H11" s="33" t="n">
        <f aca="false">76500*0.3417</f>
        <v>26140.05</v>
      </c>
      <c r="I11" s="12"/>
      <c r="J11" s="33"/>
      <c r="K11" s="32"/>
      <c r="L11" s="33"/>
      <c r="M11" s="32" t="n">
        <f aca="false">SUM(K11,I11,G11,E11,C11)</f>
        <v>0</v>
      </c>
      <c r="N11" s="33" t="n">
        <f aca="false">SUM(L11,J11,H11,F11,D11)</f>
        <v>76500</v>
      </c>
      <c r="O11" s="15"/>
      <c r="R11" s="7"/>
    </row>
    <row r="12" customFormat="false" ht="12.75" hidden="false" customHeight="false" outlineLevel="0" collapsed="false">
      <c r="A12" s="16" t="s">
        <v>49</v>
      </c>
      <c r="C12" s="76"/>
      <c r="D12" s="77" t="n">
        <f aca="false">18400*0.4861</f>
        <v>8944.24</v>
      </c>
      <c r="E12" s="34"/>
      <c r="F12" s="77" t="n">
        <f aca="false">18400*0.1722</f>
        <v>3168.48</v>
      </c>
      <c r="G12" s="34"/>
      <c r="H12" s="78" t="n">
        <f aca="false">18400*0.3417</f>
        <v>6287.28</v>
      </c>
      <c r="I12" s="12"/>
      <c r="J12" s="33"/>
      <c r="K12" s="32"/>
      <c r="L12" s="33"/>
      <c r="M12" s="32" t="n">
        <f aca="false">SUM(K12,I12,G12,E12,C12)</f>
        <v>0</v>
      </c>
      <c r="N12" s="33" t="n">
        <f aca="false">SUM(L12,J12,H12,F12,D12)</f>
        <v>18400</v>
      </c>
      <c r="O12" s="15"/>
      <c r="R12" s="7"/>
    </row>
    <row r="13" customFormat="false" ht="12.75" hidden="false" customHeight="false" outlineLevel="0" collapsed="false">
      <c r="A13" s="16" t="s">
        <v>50</v>
      </c>
      <c r="C13" s="76"/>
      <c r="D13" s="77" t="n">
        <f aca="false">165300*0.4861</f>
        <v>80352.33</v>
      </c>
      <c r="E13" s="34"/>
      <c r="F13" s="77" t="n">
        <f aca="false">165300*0.1722</f>
        <v>28464.66</v>
      </c>
      <c r="G13" s="34"/>
      <c r="H13" s="78" t="n">
        <f aca="false">165300*0.3417</f>
        <v>56483.01</v>
      </c>
      <c r="I13" s="12"/>
      <c r="J13" s="33"/>
      <c r="K13" s="32"/>
      <c r="L13" s="33"/>
      <c r="M13" s="32" t="n">
        <f aca="false">SUM(K13,I13,G13,E13,C13)</f>
        <v>0</v>
      </c>
      <c r="N13" s="33" t="n">
        <f aca="false">SUM(L13,J13,H13,F13,D13)</f>
        <v>165300</v>
      </c>
      <c r="O13" s="15"/>
      <c r="R13" s="7"/>
    </row>
    <row r="14" customFormat="false" ht="12.75" hidden="false" customHeight="false" outlineLevel="0" collapsed="false">
      <c r="A14" s="16" t="s">
        <v>51</v>
      </c>
      <c r="C14" s="76"/>
      <c r="D14" s="77" t="n">
        <f aca="false">91800*0.4861</f>
        <v>44623.98</v>
      </c>
      <c r="E14" s="34"/>
      <c r="F14" s="77" t="n">
        <f aca="false">91800*0.1722</f>
        <v>15807.96</v>
      </c>
      <c r="G14" s="34"/>
      <c r="H14" s="78" t="n">
        <f aca="false">91800*0.3417</f>
        <v>31368.06</v>
      </c>
      <c r="I14" s="12"/>
      <c r="J14" s="33"/>
      <c r="K14" s="32"/>
      <c r="L14" s="33"/>
      <c r="M14" s="32" t="n">
        <f aca="false">SUM(K14,I14,G14,E14,C14)</f>
        <v>0</v>
      </c>
      <c r="N14" s="33" t="n">
        <f aca="false">SUM(L14,J14,H14,F14,D14)</f>
        <v>91800</v>
      </c>
      <c r="O14" s="15"/>
      <c r="R14" s="7"/>
    </row>
    <row r="15" customFormat="false" ht="12.75" hidden="false" customHeight="false" outlineLevel="0" collapsed="false">
      <c r="A15" s="16" t="s">
        <v>52</v>
      </c>
      <c r="C15" s="76"/>
      <c r="D15" s="77" t="n">
        <f aca="false">289700*0.4861</f>
        <v>140823.17</v>
      </c>
      <c r="E15" s="34"/>
      <c r="F15" s="77" t="n">
        <f aca="false">289700*0.1722</f>
        <v>49886.34</v>
      </c>
      <c r="G15" s="34"/>
      <c r="H15" s="78" t="n">
        <f aca="false">289700*0.3417</f>
        <v>98990.49</v>
      </c>
      <c r="I15" s="12"/>
      <c r="J15" s="33"/>
      <c r="K15" s="32"/>
      <c r="L15" s="33"/>
      <c r="M15" s="32" t="n">
        <f aca="false">SUM(K15,I15,G15,E15,C15)</f>
        <v>0</v>
      </c>
      <c r="N15" s="33" t="n">
        <f aca="false">SUM(L15,J15,H15,F15,D15)</f>
        <v>289700</v>
      </c>
      <c r="O15" s="15"/>
      <c r="R15" s="7"/>
    </row>
    <row r="16" customFormat="false" ht="12.75" hidden="false" customHeight="false" outlineLevel="0" collapsed="false">
      <c r="A16" s="16" t="s">
        <v>53</v>
      </c>
      <c r="C16" s="34"/>
      <c r="D16" s="77" t="n">
        <f aca="false">42300*0.4861</f>
        <v>20562.03</v>
      </c>
      <c r="E16" s="76"/>
      <c r="F16" s="77" t="n">
        <f aca="false">42300*0.1722</f>
        <v>7284.06</v>
      </c>
      <c r="G16" s="76"/>
      <c r="H16" s="78" t="n">
        <f aca="false">42300*0.3417</f>
        <v>14453.91</v>
      </c>
      <c r="I16" s="12"/>
      <c r="J16" s="33"/>
      <c r="K16" s="32"/>
      <c r="L16" s="33"/>
      <c r="M16" s="32" t="n">
        <f aca="false">SUM(K16,I16,G16,E16,C16)</f>
        <v>0</v>
      </c>
      <c r="N16" s="33" t="n">
        <f aca="false">SUM(L16,J16,H16,F16,D16)</f>
        <v>42300</v>
      </c>
      <c r="O16" s="15"/>
      <c r="R16" s="7"/>
    </row>
    <row r="17" customFormat="false" ht="12.75" hidden="false" customHeight="false" outlineLevel="0" collapsed="false">
      <c r="A17" s="16" t="s">
        <v>54</v>
      </c>
      <c r="C17" s="76"/>
      <c r="D17" s="77" t="n">
        <v>203190</v>
      </c>
      <c r="E17" s="76"/>
      <c r="F17" s="77" t="n">
        <v>71980</v>
      </c>
      <c r="G17" s="76"/>
      <c r="H17" s="33" t="n">
        <v>142831</v>
      </c>
      <c r="I17" s="12"/>
      <c r="J17" s="33"/>
      <c r="K17" s="32"/>
      <c r="L17" s="33"/>
      <c r="M17" s="32" t="n">
        <f aca="false">SUM(K17,I17,G17,E17,C17)</f>
        <v>0</v>
      </c>
      <c r="N17" s="33" t="n">
        <f aca="false">SUM(L17,J17,H17,F17,D17)</f>
        <v>418001</v>
      </c>
      <c r="O17" s="15"/>
      <c r="R17" s="7"/>
    </row>
    <row r="18" customFormat="false" ht="12.75" hidden="false" customHeight="false" outlineLevel="0" collapsed="false">
      <c r="A18" s="16"/>
      <c r="C18" s="76"/>
      <c r="D18" s="77"/>
      <c r="E18" s="76"/>
      <c r="F18" s="77"/>
      <c r="G18" s="76"/>
      <c r="H18" s="33"/>
      <c r="I18" s="12"/>
      <c r="J18" s="33"/>
      <c r="K18" s="32"/>
      <c r="L18" s="33"/>
      <c r="M18" s="32" t="n">
        <f aca="false">SUM(K18,I18,G18,E18,C18)</f>
        <v>0</v>
      </c>
      <c r="N18" s="33" t="n">
        <f aca="false">SUM(L18,J18,H18,F18,D18)</f>
        <v>0</v>
      </c>
      <c r="O18" s="15"/>
      <c r="R18" s="7"/>
    </row>
    <row r="19" customFormat="false" ht="12.75" hidden="false" customHeight="false" outlineLevel="0" collapsed="false">
      <c r="A19" s="16" t="s">
        <v>55</v>
      </c>
      <c r="C19" s="32"/>
      <c r="D19" s="12"/>
      <c r="E19" s="32"/>
      <c r="F19" s="12"/>
      <c r="G19" s="32"/>
      <c r="H19" s="33"/>
      <c r="I19" s="12"/>
      <c r="J19" s="33"/>
      <c r="K19" s="32"/>
      <c r="L19" s="33"/>
      <c r="M19" s="32" t="n">
        <f aca="false">SUM(K19,I19,G19,E19,C19)</f>
        <v>0</v>
      </c>
      <c r="N19" s="33" t="n">
        <f aca="false">SUM(L19,J19,H19,F19,D19)</f>
        <v>0</v>
      </c>
      <c r="O19" s="15"/>
      <c r="P19" s="12"/>
      <c r="Q19" s="12"/>
    </row>
    <row r="20" customFormat="false" ht="12.75" hidden="false" customHeight="false" outlineLevel="0" collapsed="false">
      <c r="A20" s="16" t="s">
        <v>56</v>
      </c>
      <c r="C20" s="32"/>
      <c r="D20" s="12" t="n">
        <v>130000</v>
      </c>
      <c r="E20" s="32"/>
      <c r="F20" s="12" t="n">
        <v>300000</v>
      </c>
      <c r="G20" s="32"/>
      <c r="H20" s="33"/>
      <c r="I20" s="12"/>
      <c r="J20" s="33"/>
      <c r="K20" s="32"/>
      <c r="L20" s="33"/>
      <c r="M20" s="32" t="n">
        <f aca="false">SUM(K20,I20,G20,E20,C20)</f>
        <v>0</v>
      </c>
      <c r="N20" s="33" t="n">
        <f aca="false">SUM(L20,J20,H20,F20,D20)</f>
        <v>430000</v>
      </c>
      <c r="O20" s="15"/>
      <c r="P20" s="12"/>
      <c r="Q20" s="12"/>
    </row>
    <row r="21" customFormat="false" ht="12.75" hidden="false" customHeight="false" outlineLevel="0" collapsed="false">
      <c r="A21" s="16" t="s">
        <v>57</v>
      </c>
      <c r="C21" s="76"/>
      <c r="D21" s="77" t="n">
        <v>2398111</v>
      </c>
      <c r="E21" s="76"/>
      <c r="F21" s="77" t="n">
        <v>1702666</v>
      </c>
      <c r="G21" s="32"/>
      <c r="H21" s="33" t="n">
        <v>1384667</v>
      </c>
      <c r="I21" s="12"/>
      <c r="J21" s="33"/>
      <c r="K21" s="32"/>
      <c r="L21" s="33"/>
      <c r="M21" s="32" t="n">
        <f aca="false">SUM(K21,I21,G21,E21,C21)</f>
        <v>0</v>
      </c>
      <c r="N21" s="33" t="n">
        <f aca="false">SUM(L21,J21,H21,F21,D21)</f>
        <v>5485444</v>
      </c>
      <c r="O21" s="15"/>
      <c r="P21" s="12"/>
      <c r="Q21" s="12"/>
    </row>
    <row r="22" customFormat="false" ht="12.75" hidden="false" customHeight="false" outlineLevel="0" collapsed="false">
      <c r="A22" s="16" t="s">
        <v>58</v>
      </c>
      <c r="C22" s="34"/>
      <c r="D22" s="77" t="n">
        <v>408335</v>
      </c>
      <c r="E22" s="34"/>
      <c r="F22" s="77" t="n">
        <v>117180</v>
      </c>
      <c r="G22" s="34"/>
      <c r="H22" s="78" t="n">
        <v>211018</v>
      </c>
      <c r="I22" s="7"/>
      <c r="J22" s="33" t="n">
        <v>195142</v>
      </c>
      <c r="K22" s="34"/>
      <c r="L22" s="33" t="n">
        <v>13325</v>
      </c>
      <c r="M22" s="32" t="n">
        <f aca="false">SUM(K22,I22,G22,E22,C22)</f>
        <v>0</v>
      </c>
      <c r="N22" s="33" t="n">
        <f aca="false">SUM(L22,J22,H22,F22,D22)</f>
        <v>945000</v>
      </c>
      <c r="O22" s="15"/>
      <c r="P22" s="12"/>
      <c r="Q22" s="12"/>
    </row>
    <row r="23" customFormat="false" ht="12.75" hidden="false" customHeight="false" outlineLevel="0" collapsed="false">
      <c r="A23" s="16" t="s">
        <v>59</v>
      </c>
      <c r="C23" s="76"/>
      <c r="D23" s="77" t="n">
        <v>54000</v>
      </c>
      <c r="E23" s="76"/>
      <c r="F23" s="77" t="n">
        <v>54000</v>
      </c>
      <c r="G23" s="76"/>
      <c r="H23" s="78" t="n">
        <v>324000</v>
      </c>
      <c r="I23" s="12"/>
      <c r="J23" s="33"/>
      <c r="K23" s="32"/>
      <c r="L23" s="33"/>
      <c r="M23" s="32" t="n">
        <f aca="false">SUM(K23,I23,G23,E23,C23)</f>
        <v>0</v>
      </c>
      <c r="N23" s="33" t="n">
        <f aca="false">SUM(L23,J23,H23,F23,D23)</f>
        <v>432000</v>
      </c>
      <c r="O23" s="15"/>
      <c r="P23" s="12"/>
      <c r="Q23" s="12"/>
    </row>
    <row r="24" customFormat="false" ht="12.75" hidden="false" customHeight="false" outlineLevel="0" collapsed="false">
      <c r="A24" s="16" t="s">
        <v>60</v>
      </c>
      <c r="C24" s="76" t="n">
        <v>530712</v>
      </c>
      <c r="D24" s="12"/>
      <c r="E24" s="76" t="n">
        <v>155034</v>
      </c>
      <c r="F24" s="12"/>
      <c r="G24" s="76" t="n">
        <v>286254</v>
      </c>
      <c r="H24" s="33"/>
      <c r="I24" s="12"/>
      <c r="J24" s="33"/>
      <c r="K24" s="32"/>
      <c r="L24" s="33"/>
      <c r="M24" s="32" t="n">
        <f aca="false">SUM(K24,I24,G24,E24,C24)</f>
        <v>972000</v>
      </c>
      <c r="N24" s="33" t="n">
        <f aca="false">SUM(L24,J24,H24,F24,D24)</f>
        <v>0</v>
      </c>
      <c r="O24" s="15"/>
      <c r="P24" s="12"/>
      <c r="Q24" s="12"/>
    </row>
    <row r="25" customFormat="false" ht="12.75" hidden="false" customHeight="false" outlineLevel="0" collapsed="false">
      <c r="A25" s="16" t="s">
        <v>61</v>
      </c>
      <c r="C25" s="76" t="n">
        <v>338771</v>
      </c>
      <c r="D25" s="12"/>
      <c r="E25" s="76" t="n">
        <v>98963</v>
      </c>
      <c r="F25" s="12"/>
      <c r="G25" s="76" t="n">
        <v>182726</v>
      </c>
      <c r="H25" s="33"/>
      <c r="I25" s="12"/>
      <c r="J25" s="33"/>
      <c r="K25" s="32"/>
      <c r="L25" s="33"/>
      <c r="M25" s="32" t="n">
        <f aca="false">SUM(K25,I25,G25,E25,C25)</f>
        <v>620460</v>
      </c>
      <c r="N25" s="33" t="n">
        <f aca="false">SUM(L25,J25,H25,F25,D25)</f>
        <v>0</v>
      </c>
      <c r="O25" s="15"/>
      <c r="P25" s="12"/>
      <c r="Q25" s="12"/>
    </row>
    <row r="26" customFormat="false" ht="12.75" hidden="false" customHeight="false" outlineLevel="0" collapsed="false">
      <c r="A26" s="16" t="s">
        <v>62</v>
      </c>
      <c r="C26" s="76"/>
      <c r="D26" s="77" t="n">
        <v>288500</v>
      </c>
      <c r="E26" s="76"/>
      <c r="F26" s="77" t="n">
        <v>84279</v>
      </c>
      <c r="G26" s="76"/>
      <c r="H26" s="78" t="n">
        <v>155611</v>
      </c>
      <c r="I26" s="12"/>
      <c r="J26" s="33"/>
      <c r="K26" s="32"/>
      <c r="L26" s="33"/>
      <c r="M26" s="32" t="n">
        <f aca="false">SUM(K26,I26,G26,E26,C26)</f>
        <v>0</v>
      </c>
      <c r="N26" s="33" t="n">
        <f aca="false">SUM(L26,J26,H26,F26,D26)</f>
        <v>528390</v>
      </c>
      <c r="O26" s="15"/>
      <c r="P26" s="12"/>
      <c r="Q26" s="12"/>
    </row>
    <row r="27" customFormat="false" ht="12.75" hidden="false" customHeight="false" outlineLevel="0" collapsed="false">
      <c r="A27" s="16" t="s">
        <v>63</v>
      </c>
      <c r="C27" s="32"/>
      <c r="D27" s="12" t="n">
        <v>140434</v>
      </c>
      <c r="E27" s="32"/>
      <c r="F27" s="12" t="n">
        <v>40300</v>
      </c>
      <c r="G27" s="32"/>
      <c r="H27" s="33" t="n">
        <v>72572</v>
      </c>
      <c r="I27" s="12"/>
      <c r="J27" s="33" t="n">
        <v>67112</v>
      </c>
      <c r="K27" s="32"/>
      <c r="L27" s="33" t="n">
        <v>4582</v>
      </c>
      <c r="M27" s="32" t="n">
        <f aca="false">SUM(K27,I27,G27,E27,C27)</f>
        <v>0</v>
      </c>
      <c r="N27" s="33" t="n">
        <f aca="false">SUM(L27,J27,H27,F27,D27)</f>
        <v>325000</v>
      </c>
      <c r="O27" s="15"/>
      <c r="P27" s="12"/>
      <c r="Q27" s="12"/>
    </row>
    <row r="28" customFormat="false" ht="12.75" hidden="false" customHeight="false" outlineLevel="0" collapsed="false">
      <c r="A28" s="16" t="s">
        <v>64</v>
      </c>
      <c r="C28" s="32"/>
      <c r="D28" s="77" t="n">
        <v>50713</v>
      </c>
      <c r="E28" s="76"/>
      <c r="F28" s="77" t="n">
        <v>14814</v>
      </c>
      <c r="G28" s="76"/>
      <c r="H28" s="78" t="n">
        <v>27353</v>
      </c>
      <c r="I28" s="12"/>
      <c r="J28" s="33"/>
      <c r="K28" s="32"/>
      <c r="L28" s="33"/>
      <c r="M28" s="32" t="n">
        <f aca="false">SUM(K28,I28,G28,E28,C28)</f>
        <v>0</v>
      </c>
      <c r="N28" s="33" t="n">
        <f aca="false">SUM(L28,J28,H28,F28,D28)</f>
        <v>92880</v>
      </c>
      <c r="O28" s="15"/>
      <c r="P28" s="12"/>
      <c r="Q28" s="12"/>
    </row>
    <row r="29" customFormat="false" ht="12.75" hidden="false" customHeight="false" outlineLevel="0" collapsed="false">
      <c r="A29" s="16" t="s">
        <v>65</v>
      </c>
      <c r="C29" s="32"/>
      <c r="D29" s="77" t="n">
        <v>60060</v>
      </c>
      <c r="E29" s="76"/>
      <c r="F29" s="77" t="n">
        <v>17545</v>
      </c>
      <c r="G29" s="76"/>
      <c r="H29" s="78" t="n">
        <v>32395</v>
      </c>
      <c r="I29" s="12"/>
      <c r="J29" s="33"/>
      <c r="K29" s="32"/>
      <c r="L29" s="33"/>
      <c r="M29" s="32" t="n">
        <f aca="false">SUM(K29,I29,G29,E29,C29)</f>
        <v>0</v>
      </c>
      <c r="N29" s="33" t="n">
        <f aca="false">SUM(L29,J29,H29,F29,D29)</f>
        <v>110000</v>
      </c>
      <c r="O29" s="15"/>
      <c r="P29" s="12"/>
      <c r="Q29" s="12"/>
    </row>
    <row r="30" customFormat="false" ht="12.75" hidden="false" customHeight="false" outlineLevel="0" collapsed="false">
      <c r="A30" s="16"/>
      <c r="C30" s="34"/>
      <c r="D30" s="7"/>
      <c r="E30" s="34"/>
      <c r="F30" s="7"/>
      <c r="G30" s="34"/>
      <c r="H30" s="35"/>
      <c r="I30" s="7"/>
      <c r="J30" s="35"/>
      <c r="K30" s="34"/>
      <c r="L30" s="35"/>
      <c r="M30" s="32" t="n">
        <f aca="false">SUM(K30,I30,G30,E30,C30)</f>
        <v>0</v>
      </c>
      <c r="N30" s="33" t="n">
        <f aca="false">SUM(L30,J30,H30,F30,D30)</f>
        <v>0</v>
      </c>
      <c r="O30" s="15"/>
    </row>
    <row r="31" customFormat="false" ht="12.75" hidden="false" customHeight="false" outlineLevel="0" collapsed="false">
      <c r="C31" s="34"/>
      <c r="D31" s="7"/>
      <c r="E31" s="34"/>
      <c r="F31" s="7"/>
      <c r="G31" s="34"/>
      <c r="H31" s="35"/>
      <c r="I31" s="7"/>
      <c r="J31" s="35"/>
      <c r="K31" s="34"/>
      <c r="L31" s="35"/>
      <c r="M31" s="32" t="n">
        <f aca="false">SUM(K31,I31,G31,E31,C31)</f>
        <v>0</v>
      </c>
      <c r="N31" s="33" t="n">
        <f aca="false">SUM(L31,J31,H31,F31,D31)</f>
        <v>0</v>
      </c>
      <c r="O31" s="15"/>
    </row>
    <row r="32" customFormat="false" ht="12.75" hidden="false" customHeight="false" outlineLevel="0" collapsed="false">
      <c r="A32" s="16" t="s">
        <v>66</v>
      </c>
      <c r="C32" s="34"/>
      <c r="D32" s="12" t="n">
        <f aca="false">2074000*0.4245</f>
        <v>880413</v>
      </c>
      <c r="E32" s="34"/>
      <c r="F32" s="12" t="n">
        <f aca="false">2074000*0.1722</f>
        <v>357142.8</v>
      </c>
      <c r="G32" s="34"/>
      <c r="H32" s="33" t="n">
        <f aca="false">2074000*0.3417</f>
        <v>708685.8</v>
      </c>
      <c r="I32" s="7"/>
      <c r="J32" s="33" t="n">
        <f aca="false">2074000*0.05</f>
        <v>103700</v>
      </c>
      <c r="K32" s="34"/>
      <c r="L32" s="33" t="n">
        <f aca="false">2074000*0.0116</f>
        <v>24058.4</v>
      </c>
      <c r="M32" s="32" t="n">
        <f aca="false">SUM(K32,I32,G32,E32,C32)</f>
        <v>0</v>
      </c>
      <c r="N32" s="33" t="n">
        <f aca="false">SUM(L32,J32,H32,F32,D32)</f>
        <v>2074000</v>
      </c>
      <c r="O32" s="15"/>
      <c r="P32" s="12"/>
      <c r="Q32" s="12"/>
      <c r="R32" s="12"/>
    </row>
    <row r="33" customFormat="false" ht="12.75" hidden="false" customHeight="false" outlineLevel="0" collapsed="false">
      <c r="C33" s="32"/>
      <c r="D33" s="12"/>
      <c r="E33" s="32"/>
      <c r="F33" s="12"/>
      <c r="G33" s="32"/>
      <c r="H33" s="33"/>
      <c r="I33" s="12"/>
      <c r="J33" s="33"/>
      <c r="K33" s="32"/>
      <c r="L33" s="33"/>
      <c r="M33" s="32" t="n">
        <f aca="false">SUM(K33,I33,G33,E33,C33)</f>
        <v>0</v>
      </c>
      <c r="N33" s="33" t="n">
        <f aca="false">SUM(L33,J33,H33,F33,D33)</f>
        <v>0</v>
      </c>
      <c r="O33" s="15"/>
      <c r="P33" s="12"/>
      <c r="Q33" s="12"/>
      <c r="R33" s="12"/>
    </row>
    <row r="34" customFormat="false" ht="12.75" hidden="false" customHeight="false" outlineLevel="0" collapsed="false">
      <c r="A34" s="16" t="s">
        <v>67</v>
      </c>
      <c r="C34" s="32"/>
      <c r="D34" s="12"/>
      <c r="E34" s="32" t="n">
        <v>65000</v>
      </c>
      <c r="F34" s="12"/>
      <c r="G34" s="32"/>
      <c r="H34" s="33"/>
      <c r="I34" s="12"/>
      <c r="J34" s="33"/>
      <c r="K34" s="32"/>
      <c r="L34" s="33"/>
      <c r="M34" s="32" t="n">
        <f aca="false">SUM(K34,I34,G34,E34,C34)</f>
        <v>65000</v>
      </c>
      <c r="N34" s="33" t="n">
        <f aca="false">SUM(L34,J34,H34,F34,D34)</f>
        <v>0</v>
      </c>
      <c r="O34" s="15"/>
    </row>
    <row r="35" customFormat="false" ht="12.75" hidden="false" customHeight="false" outlineLevel="0" collapsed="false">
      <c r="A35" s="16" t="s">
        <v>68</v>
      </c>
      <c r="C35" s="32" t="n">
        <v>650000</v>
      </c>
      <c r="D35" s="12"/>
      <c r="E35" s="32"/>
      <c r="F35" s="12"/>
      <c r="G35" s="32"/>
      <c r="H35" s="33"/>
      <c r="I35" s="12"/>
      <c r="J35" s="33"/>
      <c r="K35" s="32"/>
      <c r="L35" s="33"/>
      <c r="M35" s="32" t="n">
        <f aca="false">SUM(K35,I35,G35,E35,C35)</f>
        <v>650000</v>
      </c>
      <c r="N35" s="33" t="n">
        <f aca="false">SUM(L35,J35,H35,F35,D35)</f>
        <v>0</v>
      </c>
      <c r="O35" s="15"/>
      <c r="P35" s="12"/>
      <c r="Q35" s="12"/>
    </row>
    <row r="36" customFormat="false" ht="12.75" hidden="false" customHeight="false" outlineLevel="0" collapsed="false">
      <c r="A36" s="16" t="s">
        <v>69</v>
      </c>
      <c r="C36" s="34"/>
      <c r="D36" s="12" t="n">
        <v>205000</v>
      </c>
      <c r="E36" s="32"/>
      <c r="F36" s="12"/>
      <c r="G36" s="32"/>
      <c r="H36" s="33"/>
      <c r="I36" s="12"/>
      <c r="J36" s="33"/>
      <c r="K36" s="32"/>
      <c r="L36" s="33"/>
      <c r="M36" s="32" t="n">
        <f aca="false">SUM(K36,I36,G36,E36,C36)</f>
        <v>0</v>
      </c>
      <c r="N36" s="33" t="n">
        <f aca="false">SUM(L36,J36,H36,F36,D36)</f>
        <v>205000</v>
      </c>
      <c r="O36" s="15"/>
      <c r="P36" s="12"/>
      <c r="Q36" s="12"/>
    </row>
    <row r="37" customFormat="false" ht="12.75" hidden="false" customHeight="false" outlineLevel="0" collapsed="false">
      <c r="A37" s="16" t="s">
        <v>70</v>
      </c>
      <c r="C37" s="34"/>
      <c r="D37" s="12" t="n">
        <v>198900</v>
      </c>
      <c r="E37" s="32"/>
      <c r="F37" s="12"/>
      <c r="G37" s="32"/>
      <c r="H37" s="33"/>
      <c r="I37" s="12"/>
      <c r="J37" s="33"/>
      <c r="K37" s="32"/>
      <c r="L37" s="33"/>
      <c r="M37" s="32" t="n">
        <f aca="false">SUM(K37,I37,G37,E37,C37)</f>
        <v>0</v>
      </c>
      <c r="N37" s="33" t="n">
        <f aca="false">SUM(L37,J37,H37,F37,D37)</f>
        <v>198900</v>
      </c>
      <c r="O37" s="15"/>
      <c r="P37" s="12"/>
      <c r="Q37" s="12"/>
    </row>
    <row r="38" customFormat="false" ht="12.75" hidden="false" customHeight="false" outlineLevel="0" collapsed="false">
      <c r="A38" s="16" t="s">
        <v>71</v>
      </c>
      <c r="C38" s="34"/>
      <c r="D38" s="12" t="n">
        <v>175000</v>
      </c>
      <c r="E38" s="32"/>
      <c r="F38" s="12"/>
      <c r="G38" s="32"/>
      <c r="H38" s="33"/>
      <c r="I38" s="12"/>
      <c r="J38" s="33"/>
      <c r="K38" s="32"/>
      <c r="L38" s="33"/>
      <c r="M38" s="32" t="n">
        <f aca="false">SUM(K38,I38,G38,E38,C38)</f>
        <v>0</v>
      </c>
      <c r="N38" s="33" t="n">
        <f aca="false">SUM(L38,J38,H38,F38,D38)</f>
        <v>175000</v>
      </c>
      <c r="O38" s="15"/>
      <c r="P38" s="12"/>
      <c r="Q38" s="12"/>
    </row>
    <row r="39" customFormat="false" ht="12.75" hidden="false" customHeight="false" outlineLevel="0" collapsed="false">
      <c r="A39" s="16" t="s">
        <v>72</v>
      </c>
      <c r="C39" s="34"/>
      <c r="D39" s="12"/>
      <c r="E39" s="32"/>
      <c r="F39" s="12"/>
      <c r="G39" s="32" t="n">
        <v>142500</v>
      </c>
      <c r="H39" s="33"/>
      <c r="I39" s="12"/>
      <c r="J39" s="33"/>
      <c r="K39" s="32"/>
      <c r="L39" s="33"/>
      <c r="M39" s="32" t="n">
        <f aca="false">SUM(K39,I39,G39,E39,C39)</f>
        <v>142500</v>
      </c>
      <c r="N39" s="33" t="n">
        <f aca="false">SUM(L39,J39,H39,F39,D39)</f>
        <v>0</v>
      </c>
      <c r="O39" s="15"/>
      <c r="P39" s="12"/>
      <c r="Q39" s="12"/>
    </row>
    <row r="40" customFormat="false" ht="12.75" hidden="false" customHeight="false" outlineLevel="0" collapsed="false">
      <c r="A40" s="16"/>
      <c r="C40" s="32"/>
      <c r="D40" s="12"/>
      <c r="E40" s="32"/>
      <c r="F40" s="12"/>
      <c r="G40" s="32"/>
      <c r="H40" s="33"/>
      <c r="I40" s="12"/>
      <c r="J40" s="33"/>
      <c r="K40" s="32"/>
      <c r="L40" s="33"/>
      <c r="M40" s="32" t="n">
        <f aca="false">SUM(K40,I40,G40,E40,C40)</f>
        <v>0</v>
      </c>
      <c r="N40" s="33" t="n">
        <f aca="false">SUM(L40,J40,H40,F40,D40)</f>
        <v>0</v>
      </c>
      <c r="O40" s="15"/>
      <c r="P40" s="12"/>
      <c r="Q40" s="12"/>
    </row>
    <row r="41" customFormat="false" ht="12.75" hidden="false" customHeight="false" outlineLevel="0" collapsed="false">
      <c r="A41" s="16" t="s">
        <v>73</v>
      </c>
      <c r="C41" s="32"/>
      <c r="D41" s="12"/>
      <c r="E41" s="34"/>
      <c r="F41" s="12" t="n">
        <f aca="false">20000</f>
        <v>20000</v>
      </c>
      <c r="G41" s="32"/>
      <c r="H41" s="33"/>
      <c r="I41" s="12"/>
      <c r="J41" s="33"/>
      <c r="K41" s="32"/>
      <c r="L41" s="33"/>
      <c r="M41" s="32" t="n">
        <f aca="false">SUM(K41,I41,G41,E41,C41)</f>
        <v>0</v>
      </c>
      <c r="N41" s="33" t="n">
        <f aca="false">SUM(L41,J41,H41,F41,D41)</f>
        <v>20000</v>
      </c>
      <c r="O41" s="15"/>
      <c r="P41" s="12"/>
      <c r="Q41" s="12"/>
    </row>
    <row r="42" customFormat="false" ht="12.75" hidden="false" customHeight="false" outlineLevel="0" collapsed="false">
      <c r="A42" s="79" t="s">
        <v>73</v>
      </c>
      <c r="C42" s="34"/>
      <c r="D42" s="12" t="n">
        <f aca="false">70000</f>
        <v>70000</v>
      </c>
      <c r="E42" s="32"/>
      <c r="F42" s="12"/>
      <c r="G42" s="32"/>
      <c r="H42" s="33"/>
      <c r="I42" s="12"/>
      <c r="J42" s="33"/>
      <c r="K42" s="32"/>
      <c r="L42" s="33"/>
      <c r="M42" s="32" t="n">
        <f aca="false">SUM(K42,I42,G42,E42,C42)</f>
        <v>0</v>
      </c>
      <c r="N42" s="33" t="n">
        <f aca="false">SUM(L42,J42,H42,F42,D42)</f>
        <v>70000</v>
      </c>
      <c r="O42" s="15"/>
      <c r="P42" s="12"/>
      <c r="Q42" s="12"/>
    </row>
    <row r="43" customFormat="false" ht="13.5" hidden="false" customHeight="false" outlineLevel="0" collapsed="false">
      <c r="A43" s="80" t="s">
        <v>73</v>
      </c>
      <c r="B43" s="81"/>
      <c r="C43" s="37"/>
      <c r="D43" s="38"/>
      <c r="E43" s="37"/>
      <c r="F43" s="38"/>
      <c r="G43" s="82"/>
      <c r="H43" s="39" t="n">
        <f aca="false">25000</f>
        <v>25000</v>
      </c>
      <c r="I43" s="38"/>
      <c r="J43" s="39"/>
      <c r="K43" s="37"/>
      <c r="L43" s="39"/>
      <c r="M43" s="37" t="n">
        <f aca="false">SUM(K43,I43,G43,E43,C43)</f>
        <v>0</v>
      </c>
      <c r="N43" s="39" t="n">
        <f aca="false">SUM(L43,J43,H43,F43,D43)</f>
        <v>25000</v>
      </c>
      <c r="O43" s="17"/>
      <c r="P43" s="12"/>
      <c r="Q43" s="12"/>
    </row>
    <row r="44" customFormat="false" ht="12.75" hidden="false" customHeight="false" outlineLevel="0" collapsed="false">
      <c r="A44" s="16"/>
      <c r="C44" s="32"/>
      <c r="D44" s="33"/>
      <c r="E44" s="83"/>
      <c r="F44" s="84"/>
      <c r="G44" s="29"/>
      <c r="H44" s="84"/>
      <c r="I44" s="12"/>
      <c r="J44" s="33"/>
      <c r="K44" s="12"/>
      <c r="L44" s="12"/>
      <c r="M44" s="12" t="n">
        <f aca="false">SUM(K44,I44,G44,E44,C44)</f>
        <v>0</v>
      </c>
      <c r="N44" s="33" t="n">
        <f aca="false">SUM(L44,J44,H44,F44,D44)</f>
        <v>0</v>
      </c>
      <c r="O44" s="15"/>
      <c r="P44" s="12"/>
      <c r="Q44" s="12"/>
    </row>
    <row r="45" customFormat="false" ht="12.75" hidden="false" customHeight="false" outlineLevel="0" collapsed="false">
      <c r="A45" s="85" t="s">
        <v>32</v>
      </c>
      <c r="C45" s="32"/>
      <c r="D45" s="33"/>
      <c r="E45" s="32"/>
      <c r="F45" s="33"/>
      <c r="G45" s="34"/>
      <c r="H45" s="33"/>
      <c r="I45" s="12"/>
      <c r="J45" s="33"/>
      <c r="K45" s="12"/>
      <c r="L45" s="12"/>
      <c r="M45" s="12" t="n">
        <f aca="false">SUM(K45,I45,G45,E45,C45)</f>
        <v>0</v>
      </c>
      <c r="N45" s="33" t="n">
        <f aca="false">SUM(L45,J45,H45,F45,D45)</f>
        <v>0</v>
      </c>
      <c r="O45" s="15"/>
      <c r="P45" s="12"/>
      <c r="Q45" s="12"/>
    </row>
    <row r="46" customFormat="false" ht="12.75" hidden="false" customHeight="false" outlineLevel="0" collapsed="false">
      <c r="A46" s="16"/>
      <c r="C46" s="32"/>
      <c r="D46" s="33"/>
      <c r="E46" s="32"/>
      <c r="F46" s="33"/>
      <c r="G46" s="34"/>
      <c r="H46" s="33"/>
      <c r="I46" s="12"/>
      <c r="J46" s="33"/>
      <c r="K46" s="12"/>
      <c r="L46" s="12"/>
      <c r="M46" s="12" t="n">
        <f aca="false">SUM(K46,I46,G46,E46,C46)</f>
        <v>0</v>
      </c>
      <c r="N46" s="33" t="n">
        <f aca="false">SUM(L46,J46,H46,F46,D46)</f>
        <v>0</v>
      </c>
      <c r="O46" s="15"/>
      <c r="P46" s="12"/>
      <c r="Q46" s="12"/>
    </row>
    <row r="47" customFormat="false" ht="12.75" hidden="false" customHeight="false" outlineLevel="0" collapsed="false">
      <c r="A47" s="16" t="s">
        <v>74</v>
      </c>
      <c r="C47" s="32"/>
      <c r="D47" s="33"/>
      <c r="E47" s="32"/>
      <c r="F47" s="33"/>
      <c r="G47" s="34"/>
      <c r="H47" s="33"/>
      <c r="I47" s="12"/>
      <c r="J47" s="33"/>
      <c r="K47" s="12"/>
      <c r="L47" s="12"/>
      <c r="M47" s="12" t="n">
        <f aca="false">SUM(K47,I47,G47,E47,C47)</f>
        <v>0</v>
      </c>
      <c r="N47" s="33" t="n">
        <f aca="false">SUM(L47,J47,H47,F47,D47)</f>
        <v>0</v>
      </c>
      <c r="O47" s="15" t="n">
        <v>10500</v>
      </c>
      <c r="P47" s="12"/>
      <c r="Q47" s="12"/>
    </row>
    <row r="48" customFormat="false" ht="12.75" hidden="false" customHeight="false" outlineLevel="0" collapsed="false">
      <c r="A48" s="16" t="s">
        <v>75</v>
      </c>
      <c r="C48" s="32"/>
      <c r="D48" s="33"/>
      <c r="E48" s="32"/>
      <c r="F48" s="33"/>
      <c r="G48" s="32"/>
      <c r="H48" s="33"/>
      <c r="I48" s="12"/>
      <c r="J48" s="33"/>
      <c r="K48" s="12"/>
      <c r="L48" s="12"/>
      <c r="M48" s="12" t="n">
        <f aca="false">SUM(K48,I48,G48,E48,C48)</f>
        <v>0</v>
      </c>
      <c r="N48" s="33" t="n">
        <f aca="false">SUM(L48,J48,H48,F48,D48)</f>
        <v>0</v>
      </c>
      <c r="O48" s="15" t="n">
        <v>30000</v>
      </c>
      <c r="P48" s="12"/>
      <c r="Q48" s="12"/>
    </row>
    <row r="49" customFormat="false" ht="12.75" hidden="false" customHeight="false" outlineLevel="0" collapsed="false">
      <c r="A49" s="16" t="s">
        <v>76</v>
      </c>
      <c r="C49" s="32"/>
      <c r="D49" s="33"/>
      <c r="E49" s="32"/>
      <c r="F49" s="33"/>
      <c r="G49" s="32"/>
      <c r="H49" s="33"/>
      <c r="I49" s="12"/>
      <c r="J49" s="33"/>
      <c r="K49" s="12" t="n">
        <f aca="false">SUM(I49,G49,E49,C49,A49)</f>
        <v>0</v>
      </c>
      <c r="L49" s="12"/>
      <c r="M49" s="12" t="n">
        <f aca="false">SUM(K49,I49,G49,E49,C49)</f>
        <v>0</v>
      </c>
      <c r="N49" s="33" t="n">
        <f aca="false">SUM(L49,J49,H49,F49,D49)</f>
        <v>0</v>
      </c>
      <c r="O49" s="15" t="n">
        <v>10500</v>
      </c>
      <c r="P49" s="12"/>
      <c r="Q49" s="12"/>
    </row>
    <row r="50" customFormat="false" ht="12.75" hidden="false" customHeight="false" outlineLevel="0" collapsed="false">
      <c r="A50" s="16" t="s">
        <v>77</v>
      </c>
      <c r="C50" s="32"/>
      <c r="D50" s="33"/>
      <c r="E50" s="32"/>
      <c r="F50" s="33"/>
      <c r="G50" s="32"/>
      <c r="H50" s="33"/>
      <c r="I50" s="12"/>
      <c r="J50" s="33"/>
      <c r="K50" s="12"/>
      <c r="L50" s="12"/>
      <c r="M50" s="12" t="n">
        <f aca="false">SUM(K50,I50,G50,E50,C50)</f>
        <v>0</v>
      </c>
      <c r="N50" s="33" t="n">
        <f aca="false">SUM(L50,J50,H50,F50,D50)</f>
        <v>0</v>
      </c>
      <c r="O50" s="15" t="n">
        <v>202000</v>
      </c>
      <c r="P50" s="12"/>
      <c r="Q50" s="12"/>
    </row>
    <row r="51" customFormat="false" ht="12.75" hidden="false" customHeight="false" outlineLevel="0" collapsed="false">
      <c r="A51" s="16" t="s">
        <v>78</v>
      </c>
      <c r="C51" s="32"/>
      <c r="D51" s="33"/>
      <c r="E51" s="32"/>
      <c r="F51" s="33"/>
      <c r="G51" s="32"/>
      <c r="H51" s="33"/>
      <c r="I51" s="12"/>
      <c r="J51" s="33"/>
      <c r="K51" s="12"/>
      <c r="L51" s="12"/>
      <c r="M51" s="12" t="n">
        <f aca="false">SUM(K51,I51,G51,E51,C51)</f>
        <v>0</v>
      </c>
      <c r="N51" s="33" t="n">
        <f aca="false">SUM(L51,J51,H51,F51,D51)</f>
        <v>0</v>
      </c>
      <c r="O51" s="15" t="n">
        <v>15500</v>
      </c>
      <c r="P51" s="12"/>
      <c r="Q51" s="12"/>
    </row>
    <row r="52" customFormat="false" ht="12.75" hidden="false" customHeight="false" outlineLevel="0" collapsed="false">
      <c r="A52" s="16" t="s">
        <v>79</v>
      </c>
      <c r="C52" s="32"/>
      <c r="D52" s="33"/>
      <c r="E52" s="32"/>
      <c r="F52" s="33"/>
      <c r="G52" s="32"/>
      <c r="H52" s="33"/>
      <c r="I52" s="12"/>
      <c r="J52" s="33"/>
      <c r="K52" s="12"/>
      <c r="L52" s="12"/>
      <c r="M52" s="12" t="n">
        <f aca="false">SUM(K52,I52,G52,E52,C52)</f>
        <v>0</v>
      </c>
      <c r="N52" s="33" t="n">
        <f aca="false">SUM(L52,J52,H52,F52,D52)</f>
        <v>0</v>
      </c>
      <c r="O52" s="15" t="n">
        <v>10448419</v>
      </c>
      <c r="P52" s="12"/>
      <c r="Q52" s="12"/>
    </row>
    <row r="53" customFormat="false" ht="12.75" hidden="false" customHeight="false" outlineLevel="0" collapsed="false">
      <c r="A53" s="16" t="s">
        <v>80</v>
      </c>
      <c r="C53" s="32"/>
      <c r="D53" s="33"/>
      <c r="E53" s="32"/>
      <c r="F53" s="33"/>
      <c r="G53" s="32"/>
      <c r="H53" s="33"/>
      <c r="I53" s="12"/>
      <c r="J53" s="33"/>
      <c r="K53" s="12"/>
      <c r="L53" s="12"/>
      <c r="M53" s="12" t="n">
        <f aca="false">SUM(K53,I53,G53,E53,C53)</f>
        <v>0</v>
      </c>
      <c r="N53" s="33" t="n">
        <f aca="false">SUM(L53,J53,H53,F53,D53)</f>
        <v>0</v>
      </c>
      <c r="O53" s="15" t="n">
        <v>18129359</v>
      </c>
      <c r="P53" s="12"/>
      <c r="Q53" s="12"/>
    </row>
    <row r="54" customFormat="false" ht="12.75" hidden="false" customHeight="false" outlineLevel="0" collapsed="false">
      <c r="A54" s="16" t="s">
        <v>81</v>
      </c>
      <c r="C54" s="32"/>
      <c r="D54" s="33"/>
      <c r="E54" s="32"/>
      <c r="F54" s="33"/>
      <c r="G54" s="32"/>
      <c r="H54" s="33"/>
      <c r="I54" s="12"/>
      <c r="J54" s="33"/>
      <c r="K54" s="12"/>
      <c r="L54" s="12"/>
      <c r="M54" s="12" t="n">
        <f aca="false">SUM(K54,I54,G54,E54,C54)</f>
        <v>0</v>
      </c>
      <c r="N54" s="33" t="n">
        <f aca="false">SUM(L54,J54,H54,F54,D54)</f>
        <v>0</v>
      </c>
      <c r="O54" s="15" t="n">
        <v>268891</v>
      </c>
      <c r="P54" s="12"/>
      <c r="Q54" s="12"/>
    </row>
    <row r="55" customFormat="false" ht="13.5" hidden="false" customHeight="false" outlineLevel="0" collapsed="false">
      <c r="C55" s="82"/>
      <c r="D55" s="86"/>
      <c r="E55" s="82"/>
      <c r="F55" s="86"/>
      <c r="G55" s="82"/>
      <c r="H55" s="86"/>
      <c r="I55" s="48"/>
      <c r="J55" s="35"/>
      <c r="K55" s="48"/>
      <c r="L55" s="7"/>
      <c r="M55" s="12" t="n">
        <f aca="false">SUM(K55,I55,G55,E55,C55)</f>
        <v>0</v>
      </c>
      <c r="N55" s="33" t="n">
        <f aca="false">SUM(L55,J55,H55,F55,D55)</f>
        <v>0</v>
      </c>
      <c r="O55" s="17"/>
    </row>
    <row r="56" customFormat="false" ht="21" hidden="false" customHeight="true" outlineLevel="0" collapsed="false">
      <c r="A56" s="16" t="s">
        <v>82</v>
      </c>
      <c r="B56" s="36"/>
      <c r="C56" s="87" t="n">
        <f aca="false">SUM(C11:C55)</f>
        <v>1519483</v>
      </c>
      <c r="D56" s="87" t="n">
        <f aca="false">SUM(D11:D55)</f>
        <v>5595148.4</v>
      </c>
      <c r="E56" s="87" t="n">
        <f aca="false">SUM(E11:E55)</f>
        <v>318997</v>
      </c>
      <c r="F56" s="87" t="n">
        <f aca="false">SUM(F11:F55)</f>
        <v>2897691.6</v>
      </c>
      <c r="G56" s="87" t="n">
        <f aca="false">SUM(G11:G55)</f>
        <v>611480</v>
      </c>
      <c r="H56" s="87" t="n">
        <f aca="false">SUM(H11:H55)</f>
        <v>3317855.6</v>
      </c>
      <c r="I56" s="87" t="n">
        <f aca="false">SUM(I11:I55)</f>
        <v>0</v>
      </c>
      <c r="J56" s="87" t="n">
        <f aca="false">SUM(J11:J55)</f>
        <v>365954</v>
      </c>
      <c r="K56" s="87" t="n">
        <f aca="false">SUM(K11:K55)</f>
        <v>0</v>
      </c>
      <c r="L56" s="87" t="n">
        <f aca="false">SUM(L11:L55)</f>
        <v>41965.4</v>
      </c>
      <c r="M56" s="87" t="n">
        <f aca="false">SUM(M11:M55)</f>
        <v>2449960</v>
      </c>
      <c r="N56" s="87" t="n">
        <f aca="false">SUM(N11:N55)</f>
        <v>12218615</v>
      </c>
      <c r="O56" s="87" t="n">
        <f aca="false">SUM(O11:O55)</f>
        <v>29115169</v>
      </c>
      <c r="P56" s="88"/>
      <c r="Q56" s="88"/>
    </row>
    <row r="57" customFormat="false" ht="12.75" hidden="false" customHeight="false" outlineLevel="0" collapsed="false">
      <c r="J57" s="7"/>
      <c r="K57" s="7"/>
      <c r="L57" s="7"/>
    </row>
    <row r="58" customFormat="false" ht="12.75" hidden="false" customHeight="false" outlineLevel="0" collapsed="false">
      <c r="A58" s="47" t="str">
        <f aca="true">CELL("filename")</f>
        <v>'file:///mnt/12tb/@roms/datasets/enron/EDRM Enron Email Data Set v2 XML/filtered-attachments/xls/CAPITAL_WORKSHEET.xls'#$Gas Logistics</v>
      </c>
      <c r="J58" s="7"/>
      <c r="K58" s="7"/>
      <c r="L58" s="7"/>
    </row>
    <row r="59" customFormat="false" ht="12.75" hidden="false" customHeight="false" outlineLevel="0" collapsed="false">
      <c r="A59" s="0" t="s">
        <v>30</v>
      </c>
      <c r="J59" s="7"/>
      <c r="K59" s="7"/>
      <c r="L59" s="7"/>
      <c r="M59" s="13"/>
      <c r="N59" s="46"/>
    </row>
    <row r="60" customFormat="false" ht="12.75" hidden="false" customHeight="false" outlineLevel="0" collapsed="false">
      <c r="J60" s="7"/>
      <c r="K60" s="7"/>
      <c r="L60" s="7"/>
    </row>
    <row r="61" customFormat="false" ht="12.75" hidden="false" customHeight="false" outlineLevel="0" collapsed="false">
      <c r="J61" s="7"/>
      <c r="K61" s="7"/>
      <c r="L61" s="7"/>
    </row>
    <row r="62" customFormat="false" ht="12.75" hidden="false" customHeight="false" outlineLevel="0" collapsed="false">
      <c r="J62" s="7"/>
      <c r="K62" s="7"/>
      <c r="L62" s="7"/>
    </row>
    <row r="63" customFormat="false" ht="12.75" hidden="false" customHeight="false" outlineLevel="0" collapsed="false">
      <c r="J63" s="7"/>
      <c r="K63" s="7"/>
      <c r="L63" s="7"/>
    </row>
    <row r="64" customFormat="false" ht="12.75" hidden="false" customHeight="false" outlineLevel="0" collapsed="false">
      <c r="J64" s="7"/>
      <c r="K64" s="7"/>
      <c r="L64" s="7"/>
    </row>
    <row r="65" customFormat="false" ht="12.75" hidden="false" customHeight="false" outlineLevel="0" collapsed="false">
      <c r="J65" s="7"/>
      <c r="K65" s="7"/>
      <c r="L65" s="7"/>
    </row>
    <row r="66" customFormat="false" ht="12.75" hidden="false" customHeight="false" outlineLevel="0" collapsed="false">
      <c r="J66" s="7"/>
      <c r="K66" s="7"/>
      <c r="L66" s="7"/>
    </row>
    <row r="67" customFormat="false" ht="12.75" hidden="false" customHeight="false" outlineLevel="0" collapsed="false">
      <c r="J67" s="7"/>
      <c r="K67" s="7"/>
      <c r="L67" s="7"/>
    </row>
    <row r="68" customFormat="false" ht="12.75" hidden="false" customHeight="false" outlineLevel="0" collapsed="false">
      <c r="J68" s="7"/>
      <c r="K68" s="7"/>
      <c r="L68" s="7"/>
    </row>
    <row r="69" customFormat="false" ht="12.75" hidden="false" customHeight="false" outlineLevel="0" collapsed="false">
      <c r="J69" s="7"/>
      <c r="K69" s="7"/>
      <c r="L69" s="7"/>
    </row>
    <row r="70" customFormat="false" ht="12.75" hidden="false" customHeight="false" outlineLevel="0" collapsed="false">
      <c r="J70" s="7"/>
      <c r="K70" s="7"/>
      <c r="L70" s="7"/>
    </row>
    <row r="71" customFormat="false" ht="12.75" hidden="false" customHeight="false" outlineLevel="0" collapsed="false">
      <c r="J71" s="7"/>
      <c r="K71" s="7"/>
      <c r="L71" s="7"/>
    </row>
    <row r="72" customFormat="false" ht="12.75" hidden="false" customHeight="false" outlineLevel="0" collapsed="false">
      <c r="J72" s="7"/>
      <c r="K72" s="7"/>
      <c r="L72" s="7"/>
    </row>
    <row r="73" customFormat="false" ht="12.75" hidden="false" customHeight="false" outlineLevel="0" collapsed="false">
      <c r="J73" s="7"/>
      <c r="K73" s="7"/>
      <c r="L73" s="7"/>
    </row>
    <row r="74" customFormat="false" ht="12.75" hidden="false" customHeight="false" outlineLevel="0" collapsed="false">
      <c r="J74" s="7"/>
      <c r="K74" s="7"/>
      <c r="L74" s="7"/>
    </row>
    <row r="75" customFormat="false" ht="12.75" hidden="false" customHeight="false" outlineLevel="0" collapsed="false">
      <c r="J75" s="7"/>
      <c r="K75" s="7"/>
      <c r="L75" s="7"/>
    </row>
    <row r="76" customFormat="false" ht="12.75" hidden="false" customHeight="false" outlineLevel="0" collapsed="false">
      <c r="J76" s="7"/>
      <c r="K76" s="7"/>
      <c r="L76" s="7"/>
    </row>
    <row r="77" customFormat="false" ht="12.75" hidden="false" customHeight="false" outlineLevel="0" collapsed="false">
      <c r="J77" s="7"/>
      <c r="K77" s="7"/>
      <c r="L77" s="7"/>
    </row>
    <row r="78" customFormat="false" ht="12.75" hidden="false" customHeight="false" outlineLevel="0" collapsed="false">
      <c r="J78" s="7"/>
      <c r="K78" s="7"/>
      <c r="L78" s="7"/>
    </row>
    <row r="79" customFormat="false" ht="12.75" hidden="false" customHeight="false" outlineLevel="0" collapsed="false">
      <c r="J79" s="7"/>
      <c r="K79" s="7"/>
      <c r="L79" s="7"/>
    </row>
    <row r="80" customFormat="false" ht="12.75" hidden="false" customHeight="false" outlineLevel="0" collapsed="false">
      <c r="J80" s="7"/>
      <c r="K80" s="7"/>
      <c r="L80" s="7"/>
    </row>
    <row r="81" customFormat="false" ht="12.75" hidden="false" customHeight="false" outlineLevel="0" collapsed="false">
      <c r="J81" s="7"/>
      <c r="K81" s="7"/>
      <c r="L81" s="7"/>
    </row>
    <row r="82" customFormat="false" ht="12.75" hidden="false" customHeight="false" outlineLevel="0" collapsed="false">
      <c r="J82" s="7"/>
      <c r="K82" s="7"/>
      <c r="L82" s="7"/>
    </row>
    <row r="83" customFormat="false" ht="12.75" hidden="false" customHeight="false" outlineLevel="0" collapsed="false">
      <c r="J83" s="7"/>
      <c r="K83" s="7"/>
      <c r="L83" s="7"/>
    </row>
    <row r="84" customFormat="false" ht="12.75" hidden="false" customHeight="false" outlineLevel="0" collapsed="false">
      <c r="J84" s="7"/>
      <c r="K84" s="7"/>
      <c r="L84" s="7"/>
    </row>
    <row r="85" customFormat="false" ht="12.75" hidden="false" customHeight="false" outlineLevel="0" collapsed="false">
      <c r="J85" s="7"/>
      <c r="K85" s="7"/>
      <c r="L85" s="7"/>
    </row>
    <row r="86" customFormat="false" ht="12.75" hidden="false" customHeight="false" outlineLevel="0" collapsed="false">
      <c r="J86" s="7"/>
      <c r="K86" s="7"/>
      <c r="L86" s="7"/>
    </row>
    <row r="87" customFormat="false" ht="12.75" hidden="false" customHeight="false" outlineLevel="0" collapsed="false">
      <c r="J87" s="7"/>
      <c r="K87" s="7"/>
      <c r="L87" s="7"/>
    </row>
    <row r="88" customFormat="false" ht="12.75" hidden="false" customHeight="false" outlineLevel="0" collapsed="false">
      <c r="J88" s="7"/>
      <c r="K88" s="7"/>
      <c r="L88" s="7"/>
    </row>
    <row r="89" customFormat="false" ht="12.75" hidden="false" customHeight="false" outlineLevel="0" collapsed="false">
      <c r="J89" s="7"/>
      <c r="K89" s="7"/>
      <c r="L89" s="7"/>
    </row>
    <row r="90" customFormat="false" ht="12.75" hidden="false" customHeight="false" outlineLevel="0" collapsed="false">
      <c r="J90" s="7"/>
      <c r="K90" s="7"/>
      <c r="L90" s="7"/>
    </row>
    <row r="91" customFormat="false" ht="12.75" hidden="false" customHeight="false" outlineLevel="0" collapsed="false">
      <c r="J91" s="7"/>
      <c r="K91" s="7"/>
      <c r="L91" s="7"/>
    </row>
    <row r="92" customFormat="false" ht="12.75" hidden="false" customHeight="false" outlineLevel="0" collapsed="false">
      <c r="J92" s="7"/>
      <c r="K92" s="7"/>
      <c r="L92" s="7"/>
    </row>
    <row r="93" customFormat="false" ht="12.75" hidden="false" customHeight="false" outlineLevel="0" collapsed="false">
      <c r="J93" s="7"/>
      <c r="K93" s="7"/>
      <c r="L93" s="7"/>
    </row>
    <row r="94" customFormat="false" ht="12.75" hidden="false" customHeight="false" outlineLevel="0" collapsed="false">
      <c r="J94" s="7"/>
      <c r="K94" s="7"/>
      <c r="L94" s="7"/>
    </row>
    <row r="95" customFormat="false" ht="12.75" hidden="false" customHeight="false" outlineLevel="0" collapsed="false">
      <c r="J95" s="7"/>
      <c r="K95" s="7"/>
      <c r="L95" s="7"/>
    </row>
    <row r="96" customFormat="false" ht="12.75" hidden="false" customHeight="false" outlineLevel="0" collapsed="false">
      <c r="J96" s="7"/>
      <c r="K96" s="7"/>
      <c r="L96" s="7"/>
    </row>
    <row r="97" customFormat="false" ht="12.75" hidden="false" customHeight="false" outlineLevel="0" collapsed="false">
      <c r="J97" s="7"/>
      <c r="K97" s="7"/>
      <c r="L97" s="7"/>
    </row>
    <row r="98" customFormat="false" ht="12.75" hidden="false" customHeight="false" outlineLevel="0" collapsed="false">
      <c r="J98" s="7"/>
      <c r="K98" s="7"/>
      <c r="L98" s="7"/>
    </row>
    <row r="99" customFormat="false" ht="12.75" hidden="false" customHeight="false" outlineLevel="0" collapsed="false">
      <c r="J99" s="7"/>
      <c r="K99" s="7"/>
      <c r="L99" s="7"/>
    </row>
    <row r="100" customFormat="false" ht="12.75" hidden="false" customHeight="false" outlineLevel="0" collapsed="false">
      <c r="J100" s="7"/>
      <c r="K100" s="7"/>
      <c r="L100" s="7"/>
    </row>
    <row r="101" customFormat="false" ht="12.75" hidden="false" customHeight="false" outlineLevel="0" collapsed="false">
      <c r="J101" s="7"/>
      <c r="K101" s="7"/>
      <c r="L101" s="7"/>
    </row>
    <row r="102" customFormat="false" ht="12.75" hidden="false" customHeight="false" outlineLevel="0" collapsed="false">
      <c r="J102" s="7"/>
      <c r="K102" s="7"/>
      <c r="L102" s="7"/>
    </row>
    <row r="103" customFormat="false" ht="12.75" hidden="false" customHeight="false" outlineLevel="0" collapsed="false">
      <c r="J103" s="7"/>
      <c r="K103" s="7"/>
      <c r="L103" s="7"/>
    </row>
    <row r="104" customFormat="false" ht="12.75" hidden="false" customHeight="false" outlineLevel="0" collapsed="false">
      <c r="J104" s="7"/>
      <c r="K104" s="7"/>
      <c r="L104" s="7"/>
    </row>
    <row r="105" customFormat="false" ht="12.75" hidden="false" customHeight="false" outlineLevel="0" collapsed="false">
      <c r="J105" s="7"/>
      <c r="K105" s="7"/>
      <c r="L105" s="7"/>
    </row>
    <row r="106" customFormat="false" ht="12.75" hidden="false" customHeight="false" outlineLevel="0" collapsed="false">
      <c r="J106" s="7"/>
      <c r="K106" s="7"/>
      <c r="L106" s="7"/>
    </row>
    <row r="107" customFormat="false" ht="12.75" hidden="false" customHeight="false" outlineLevel="0" collapsed="false">
      <c r="J107" s="7"/>
      <c r="K107" s="7"/>
      <c r="L107" s="7"/>
    </row>
    <row r="108" customFormat="false" ht="12.75" hidden="false" customHeight="false" outlineLevel="0" collapsed="false">
      <c r="J108" s="7"/>
      <c r="K108" s="7"/>
      <c r="L108" s="7"/>
    </row>
    <row r="109" customFormat="false" ht="12.75" hidden="false" customHeight="false" outlineLevel="0" collapsed="false">
      <c r="J109" s="7"/>
      <c r="K109" s="7"/>
      <c r="L109" s="7"/>
    </row>
  </sheetData>
  <mergeCells count="13">
    <mergeCell ref="A1:N1"/>
    <mergeCell ref="A2:N2"/>
    <mergeCell ref="A3:N3"/>
    <mergeCell ref="A4:N4"/>
    <mergeCell ref="C5:J5"/>
    <mergeCell ref="P5:Q5"/>
    <mergeCell ref="C6:D6"/>
    <mergeCell ref="E6:F6"/>
    <mergeCell ref="G6:H6"/>
    <mergeCell ref="I6:J6"/>
    <mergeCell ref="K6:L6"/>
    <mergeCell ref="M6:N6"/>
    <mergeCell ref="P6:Q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6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2.13"/>
    <col collapsed="false" customWidth="true" hidden="false" outlineLevel="0" max="3" min="3" style="0" width="11.7"/>
    <col collapsed="false" customWidth="true" hidden="false" outlineLevel="0" max="4" min="4" style="0" width="12.14"/>
    <col collapsed="false" customWidth="true" hidden="false" outlineLevel="0" max="5" min="5" style="0" width="11.42"/>
    <col collapsed="false" customWidth="true" hidden="false" outlineLevel="0" max="6" min="6" style="0" width="9.7"/>
    <col collapsed="false" customWidth="true" hidden="false" outlineLevel="0" max="7" min="7" style="7" width="12.28"/>
    <col collapsed="false" customWidth="true" hidden="false" outlineLevel="0" max="8" min="8" style="7" width="10.41"/>
    <col collapsed="false" customWidth="true" hidden="false" outlineLevel="0" max="9" min="9" style="0" width="10.41"/>
    <col collapsed="false" customWidth="true" hidden="false" outlineLevel="0" max="10" min="10" style="0" width="10.28"/>
    <col collapsed="false" customWidth="true" hidden="false" outlineLevel="0" max="13" min="13" style="7" width="15.28"/>
    <col collapsed="false" customWidth="true" hidden="false" outlineLevel="0" max="14" min="14" style="0" width="11.56"/>
    <col collapsed="false" customWidth="true" hidden="false" outlineLevel="0" max="15" min="15" style="0" width="12.28"/>
  </cols>
  <sheetData>
    <row r="1" customFormat="false" ht="15.75" hidden="false" customHeight="false" outlineLevel="0" collapsed="false">
      <c r="A1" s="23" t="s">
        <v>83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customFormat="false" ht="15.75" hidden="false" customHeight="false" outlineLevel="0" collapsed="false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customFormat="false" ht="15.75" hidden="false" customHeight="false" outlineLevel="0" collapsed="false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customFormat="false" ht="16.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customFormat="false" ht="13.5" hidden="false" customHeight="false" outlineLevel="0" collapsed="false">
      <c r="C5" s="27" t="n">
        <v>2002</v>
      </c>
      <c r="D5" s="27"/>
      <c r="E5" s="27"/>
      <c r="F5" s="27"/>
      <c r="G5" s="27"/>
      <c r="H5" s="27"/>
      <c r="I5" s="27"/>
      <c r="J5" s="27"/>
      <c r="K5" s="27"/>
      <c r="L5" s="27"/>
      <c r="M5" s="89"/>
      <c r="N5" s="90"/>
      <c r="O5" s="90"/>
    </row>
    <row r="6" customFormat="false" ht="13.5" hidden="false" customHeight="false" outlineLevel="0" collapsed="false">
      <c r="A6" s="8"/>
      <c r="C6" s="4" t="s">
        <v>14</v>
      </c>
      <c r="D6" s="4"/>
      <c r="E6" s="52" t="s">
        <v>15</v>
      </c>
      <c r="F6" s="52"/>
      <c r="G6" s="4" t="s">
        <v>16</v>
      </c>
      <c r="H6" s="4"/>
      <c r="I6" s="9" t="s">
        <v>17</v>
      </c>
      <c r="J6" s="9"/>
      <c r="K6" s="9" t="s">
        <v>18</v>
      </c>
      <c r="L6" s="9"/>
      <c r="M6" s="27" t="s">
        <v>19</v>
      </c>
      <c r="N6" s="27"/>
      <c r="O6" s="9" t="s">
        <v>32</v>
      </c>
    </row>
    <row r="7" customFormat="false" ht="13.5" hidden="false" customHeight="false" outlineLevel="0" collapsed="false">
      <c r="A7" s="9" t="s">
        <v>3</v>
      </c>
      <c r="C7" s="54" t="s">
        <v>20</v>
      </c>
      <c r="D7" s="55" t="s">
        <v>21</v>
      </c>
      <c r="E7" s="5" t="s">
        <v>20</v>
      </c>
      <c r="F7" s="5" t="s">
        <v>21</v>
      </c>
      <c r="G7" s="54" t="s">
        <v>20</v>
      </c>
      <c r="H7" s="55" t="s">
        <v>21</v>
      </c>
      <c r="I7" s="5" t="s">
        <v>20</v>
      </c>
      <c r="J7" s="26" t="s">
        <v>21</v>
      </c>
      <c r="K7" s="25" t="s">
        <v>20</v>
      </c>
      <c r="L7" s="5" t="s">
        <v>21</v>
      </c>
      <c r="M7" s="5" t="s">
        <v>20</v>
      </c>
      <c r="N7" s="5" t="s">
        <v>21</v>
      </c>
      <c r="O7" s="9"/>
    </row>
    <row r="8" customFormat="false" ht="12.75" hidden="false" customHeight="false" outlineLevel="0" collapsed="false">
      <c r="C8" s="29"/>
      <c r="D8" s="30"/>
      <c r="E8" s="29"/>
      <c r="F8" s="30"/>
      <c r="G8" s="29"/>
      <c r="H8" s="31"/>
      <c r="I8" s="30"/>
      <c r="J8" s="30"/>
      <c r="K8" s="29"/>
      <c r="L8" s="30"/>
      <c r="M8" s="29"/>
      <c r="N8" s="31"/>
      <c r="O8" s="31"/>
    </row>
    <row r="9" customFormat="false" ht="12.75" hidden="false" customHeight="false" outlineLevel="0" collapsed="false">
      <c r="A9" s="36" t="s">
        <v>84</v>
      </c>
      <c r="C9" s="32"/>
      <c r="D9" s="12"/>
      <c r="E9" s="32"/>
      <c r="F9" s="12"/>
      <c r="G9" s="34"/>
      <c r="H9" s="33" t="n">
        <f aca="false">50000*0.75</f>
        <v>37500</v>
      </c>
      <c r="I9" s="12"/>
      <c r="J9" s="12" t="n">
        <v>9500</v>
      </c>
      <c r="K9" s="32"/>
      <c r="L9" s="12" t="n">
        <f aca="false">50000*0.06</f>
        <v>3000</v>
      </c>
      <c r="M9" s="56" t="n">
        <f aca="false">SUM(K9,I9,G9,E9,C9)</f>
        <v>0</v>
      </c>
      <c r="N9" s="57" t="n">
        <f aca="false">SUM(L9,J9,H9,F9,D9)</f>
        <v>50000</v>
      </c>
      <c r="O9" s="33" t="n">
        <v>0</v>
      </c>
    </row>
    <row r="10" customFormat="false" ht="12.75" hidden="false" customHeight="false" outlineLevel="0" collapsed="false">
      <c r="A10" s="36"/>
      <c r="C10" s="32"/>
      <c r="D10" s="12"/>
      <c r="E10" s="32"/>
      <c r="F10" s="12"/>
      <c r="G10" s="34"/>
      <c r="H10" s="33"/>
      <c r="I10" s="12"/>
      <c r="J10" s="12"/>
      <c r="K10" s="32"/>
      <c r="L10" s="12"/>
      <c r="M10" s="56" t="n">
        <f aca="false">SUM(K10,I10,G10,E10,C10)</f>
        <v>0</v>
      </c>
      <c r="N10" s="57" t="n">
        <f aca="false">SUM(L10,J10,H10,F10,D10)</f>
        <v>0</v>
      </c>
      <c r="O10" s="33"/>
    </row>
    <row r="11" customFormat="false" ht="12.75" hidden="false" customHeight="false" outlineLevel="0" collapsed="false">
      <c r="A11" s="36" t="s">
        <v>28</v>
      </c>
      <c r="C11" s="32"/>
      <c r="D11" s="12"/>
      <c r="E11" s="34"/>
      <c r="F11" s="12" t="n">
        <f aca="false">20000</f>
        <v>20000</v>
      </c>
      <c r="G11" s="34"/>
      <c r="H11" s="33"/>
      <c r="I11" s="12"/>
      <c r="J11" s="12"/>
      <c r="K11" s="32"/>
      <c r="L11" s="12"/>
      <c r="M11" s="56" t="n">
        <f aca="false">SUM(K11,I11,G11,E11,C11)</f>
        <v>0</v>
      </c>
      <c r="N11" s="57" t="n">
        <f aca="false">SUM(L11,J11,H11,F11,D11)</f>
        <v>20000</v>
      </c>
      <c r="O11" s="33"/>
    </row>
    <row r="12" customFormat="false" ht="12.75" hidden="false" customHeight="false" outlineLevel="0" collapsed="false">
      <c r="A12" s="36" t="s">
        <v>28</v>
      </c>
      <c r="C12" s="34"/>
      <c r="D12" s="12" t="n">
        <f aca="false">80000</f>
        <v>80000</v>
      </c>
      <c r="E12" s="32"/>
      <c r="F12" s="12"/>
      <c r="G12" s="34"/>
      <c r="H12" s="33"/>
      <c r="I12" s="12"/>
      <c r="J12" s="12"/>
      <c r="K12" s="32"/>
      <c r="L12" s="12"/>
      <c r="M12" s="56" t="n">
        <f aca="false">SUM(K12,I12,G12,E12,C12)</f>
        <v>0</v>
      </c>
      <c r="N12" s="57" t="n">
        <f aca="false">SUM(L12,J12,H12,F12,D12)</f>
        <v>80000</v>
      </c>
      <c r="O12" s="33"/>
    </row>
    <row r="13" customFormat="false" ht="12.75" hidden="false" customHeight="true" outlineLevel="0" collapsed="false">
      <c r="A13" s="36" t="s">
        <v>28</v>
      </c>
      <c r="C13" s="32"/>
      <c r="D13" s="12"/>
      <c r="E13" s="32"/>
      <c r="F13" s="12"/>
      <c r="G13" s="34"/>
      <c r="H13" s="33" t="n">
        <f aca="false">35000</f>
        <v>35000</v>
      </c>
      <c r="I13" s="12"/>
      <c r="J13" s="12"/>
      <c r="K13" s="32"/>
      <c r="L13" s="12"/>
      <c r="M13" s="56" t="n">
        <f aca="false">SUM(K13,I13,G13,E13,C13)</f>
        <v>0</v>
      </c>
      <c r="N13" s="57" t="n">
        <f aca="false">SUM(L13,J13,H13,F13,D13)</f>
        <v>35000</v>
      </c>
      <c r="O13" s="33"/>
    </row>
    <row r="14" customFormat="false" ht="12.75" hidden="false" customHeight="true" outlineLevel="0" collapsed="false">
      <c r="A14" s="36" t="s">
        <v>28</v>
      </c>
      <c r="C14" s="34"/>
      <c r="D14" s="12" t="n">
        <f aca="false">200000</f>
        <v>200000</v>
      </c>
      <c r="E14" s="32"/>
      <c r="F14" s="12"/>
      <c r="G14" s="32"/>
      <c r="H14" s="33"/>
      <c r="I14" s="12"/>
      <c r="J14" s="12"/>
      <c r="K14" s="32"/>
      <c r="L14" s="12"/>
      <c r="M14" s="56" t="n">
        <f aca="false">SUM(K14,I14,G14,E14,C14)</f>
        <v>0</v>
      </c>
      <c r="N14" s="57" t="n">
        <f aca="false">SUM(L14,J14,H14,F14,D14)</f>
        <v>200000</v>
      </c>
      <c r="O14" s="33"/>
    </row>
    <row r="15" customFormat="false" ht="9" hidden="false" customHeight="true" outlineLevel="0" collapsed="false">
      <c r="A15" s="36"/>
      <c r="C15" s="32"/>
      <c r="D15" s="12"/>
      <c r="E15" s="32"/>
      <c r="F15" s="12"/>
      <c r="G15" s="32"/>
      <c r="H15" s="33"/>
      <c r="I15" s="12"/>
      <c r="J15" s="12"/>
      <c r="K15" s="32"/>
      <c r="L15" s="12"/>
      <c r="M15" s="56" t="n">
        <f aca="false">SUM(K15,I15,G15,E15,C15)</f>
        <v>0</v>
      </c>
      <c r="N15" s="57" t="n">
        <f aca="false">SUM(L15,J15,H15,F15,D15)</f>
        <v>0</v>
      </c>
      <c r="O15" s="33"/>
      <c r="P15" s="12"/>
    </row>
    <row r="16" customFormat="false" ht="12.75" hidden="false" customHeight="false" outlineLevel="0" collapsed="false">
      <c r="A16" s="36" t="s">
        <v>85</v>
      </c>
      <c r="C16" s="32"/>
      <c r="D16" s="12"/>
      <c r="E16" s="32"/>
      <c r="F16" s="12"/>
      <c r="G16" s="32" t="n">
        <v>362600</v>
      </c>
      <c r="H16" s="33"/>
      <c r="I16" s="12"/>
      <c r="J16" s="12"/>
      <c r="K16" s="32"/>
      <c r="L16" s="12"/>
      <c r="M16" s="56" t="n">
        <f aca="false">SUM(K16,I16,G16,E16,C16)</f>
        <v>362600</v>
      </c>
      <c r="N16" s="57" t="n">
        <f aca="false">SUM(L16,J16,H16,F16,D16)</f>
        <v>0</v>
      </c>
      <c r="O16" s="33" t="n">
        <v>114475</v>
      </c>
      <c r="P16" s="12"/>
    </row>
    <row r="17" customFormat="false" ht="12.75" hidden="false" customHeight="false" outlineLevel="0" collapsed="false">
      <c r="A17" s="36" t="s">
        <v>86</v>
      </c>
      <c r="C17" s="32" t="n">
        <v>295500</v>
      </c>
      <c r="D17" s="12"/>
      <c r="E17" s="32" t="n">
        <v>201050</v>
      </c>
      <c r="F17" s="12"/>
      <c r="G17" s="32"/>
      <c r="H17" s="33"/>
      <c r="I17" s="12"/>
      <c r="J17" s="12"/>
      <c r="K17" s="32"/>
      <c r="L17" s="12"/>
      <c r="M17" s="56" t="n">
        <f aca="false">SUM(K17,I17,G17,E17,C17)</f>
        <v>496550</v>
      </c>
      <c r="N17" s="57" t="n">
        <f aca="false">SUM(L17,J17,H17,F17,D17)</f>
        <v>0</v>
      </c>
      <c r="O17" s="33" t="n">
        <v>238300</v>
      </c>
      <c r="P17" s="12"/>
    </row>
    <row r="18" customFormat="false" ht="12.75" hidden="false" customHeight="false" outlineLevel="0" collapsed="false">
      <c r="A18" s="36" t="s">
        <v>87</v>
      </c>
      <c r="C18" s="32" t="n">
        <v>697750</v>
      </c>
      <c r="D18" s="12"/>
      <c r="E18" s="32"/>
      <c r="F18" s="12"/>
      <c r="G18" s="32"/>
      <c r="H18" s="33"/>
      <c r="I18" s="12" t="n">
        <v>126800</v>
      </c>
      <c r="J18" s="12"/>
      <c r="K18" s="32" t="n">
        <v>25575</v>
      </c>
      <c r="L18" s="12"/>
      <c r="M18" s="56" t="n">
        <f aca="false">SUM(K18,I18,G18,E18,C18)</f>
        <v>850125</v>
      </c>
      <c r="N18" s="57" t="n">
        <f aca="false">SUM(L18,J18,H18,F18,D18)</f>
        <v>0</v>
      </c>
      <c r="O18" s="33" t="n">
        <v>36300</v>
      </c>
      <c r="P18" s="12"/>
    </row>
    <row r="19" customFormat="false" ht="12.75" hidden="false" customHeight="false" outlineLevel="0" collapsed="false">
      <c r="A19" s="36" t="s">
        <v>88</v>
      </c>
      <c r="C19" s="34"/>
      <c r="D19" s="12" t="n">
        <f aca="false">49000</f>
        <v>49000</v>
      </c>
      <c r="E19" s="34"/>
      <c r="F19" s="12" t="n">
        <f aca="false">50950</f>
        <v>50950</v>
      </c>
      <c r="G19" s="34"/>
      <c r="H19" s="33" t="n">
        <f aca="false">49364</f>
        <v>49364</v>
      </c>
      <c r="I19" s="12"/>
      <c r="J19" s="12"/>
      <c r="K19" s="32"/>
      <c r="L19" s="12"/>
      <c r="M19" s="56" t="n">
        <f aca="false">SUM(K19,I19,G19,E19,C19)</f>
        <v>0</v>
      </c>
      <c r="N19" s="57" t="n">
        <f aca="false">SUM(L19,J19,H19,F19,D19)</f>
        <v>149314</v>
      </c>
      <c r="O19" s="33"/>
      <c r="P19" s="12"/>
    </row>
    <row r="20" customFormat="false" ht="12.75" hidden="false" customHeight="false" outlineLevel="0" collapsed="false">
      <c r="A20" s="85"/>
      <c r="C20" s="32"/>
      <c r="D20" s="12"/>
      <c r="E20" s="32"/>
      <c r="F20" s="12"/>
      <c r="G20" s="32"/>
      <c r="H20" s="33"/>
      <c r="I20" s="12"/>
      <c r="J20" s="12"/>
      <c r="K20" s="32"/>
      <c r="L20" s="12"/>
      <c r="M20" s="56" t="n">
        <f aca="false">SUM(K20,I20,G20,E20,C20)</f>
        <v>0</v>
      </c>
      <c r="N20" s="57" t="n">
        <f aca="false">SUM(L20,J20,H20,F20,D20)</f>
        <v>0</v>
      </c>
      <c r="O20" s="33"/>
      <c r="P20" s="12"/>
    </row>
    <row r="21" customFormat="false" ht="12.75" hidden="false" customHeight="false" outlineLevel="0" collapsed="false">
      <c r="A21" s="36" t="s">
        <v>55</v>
      </c>
      <c r="C21" s="32"/>
      <c r="D21" s="12"/>
      <c r="E21" s="32"/>
      <c r="F21" s="12"/>
      <c r="G21" s="32"/>
      <c r="H21" s="33"/>
      <c r="I21" s="12"/>
      <c r="J21" s="12"/>
      <c r="K21" s="32"/>
      <c r="L21" s="12"/>
      <c r="M21" s="56" t="n">
        <f aca="false">SUM(K21,I21,G21,E21,C21)</f>
        <v>0</v>
      </c>
      <c r="N21" s="57" t="n">
        <f aca="false">SUM(L21,J21,H21,F21,D21)</f>
        <v>0</v>
      </c>
      <c r="O21" s="33"/>
      <c r="P21" s="12"/>
    </row>
    <row r="22" customFormat="false" ht="12.75" hidden="false" customHeight="false" outlineLevel="0" collapsed="false">
      <c r="A22" s="36" t="s">
        <v>89</v>
      </c>
      <c r="C22" s="32"/>
      <c r="D22" s="12" t="n">
        <f aca="false">302600*0.65</f>
        <v>196690</v>
      </c>
      <c r="E22" s="32"/>
      <c r="F22" s="12" t="n">
        <f aca="false">302600*0.1</f>
        <v>30260</v>
      </c>
      <c r="G22" s="32"/>
      <c r="H22" s="33" t="n">
        <f aca="false">302600*0.19</f>
        <v>57494</v>
      </c>
      <c r="I22" s="12"/>
      <c r="J22" s="12" t="n">
        <f aca="false">302600*0.05</f>
        <v>15130</v>
      </c>
      <c r="K22" s="32"/>
      <c r="L22" s="12" t="n">
        <f aca="false">302600*0.01</f>
        <v>3026</v>
      </c>
      <c r="M22" s="56" t="n">
        <f aca="false">SUM(K22,I22,G22,E22,C22)</f>
        <v>0</v>
      </c>
      <c r="N22" s="57" t="n">
        <f aca="false">SUM(L22,J22,H22,F22,D22)</f>
        <v>302600</v>
      </c>
      <c r="O22" s="33"/>
    </row>
    <row r="23" customFormat="false" ht="12.75" hidden="false" customHeight="false" outlineLevel="0" collapsed="false">
      <c r="A23" s="36" t="s">
        <v>90</v>
      </c>
      <c r="C23" s="76"/>
      <c r="D23" s="77" t="n">
        <f aca="false">60000*0.49</f>
        <v>29400</v>
      </c>
      <c r="E23" s="76"/>
      <c r="F23" s="77" t="n">
        <f aca="false">60000*0.07</f>
        <v>4200</v>
      </c>
      <c r="G23" s="76"/>
      <c r="H23" s="78" t="n">
        <f aca="false">60000*0.14</f>
        <v>8400</v>
      </c>
      <c r="I23" s="77"/>
      <c r="J23" s="77" t="n">
        <f aca="false">60000*0.04</f>
        <v>2400</v>
      </c>
      <c r="K23" s="32"/>
      <c r="L23" s="12" t="n">
        <f aca="false">60000*0.01</f>
        <v>600</v>
      </c>
      <c r="M23" s="56" t="n">
        <f aca="false">SUM(K23,I23,G23,E23,C23)</f>
        <v>0</v>
      </c>
      <c r="N23" s="57" t="n">
        <f aca="false">SUM(L23,J23,H23,F23,D23)</f>
        <v>45000</v>
      </c>
      <c r="O23" s="33" t="n">
        <f aca="false">60000*0.25</f>
        <v>15000</v>
      </c>
    </row>
    <row r="24" customFormat="false" ht="12.75" hidden="false" customHeight="false" outlineLevel="0" collapsed="false">
      <c r="A24" s="36" t="s">
        <v>91</v>
      </c>
      <c r="C24" s="76"/>
      <c r="D24" s="77" t="n">
        <f aca="false">332000*0.49</f>
        <v>162680</v>
      </c>
      <c r="E24" s="76"/>
      <c r="F24" s="77" t="n">
        <f aca="false">332000*0.07</f>
        <v>23240</v>
      </c>
      <c r="G24" s="76"/>
      <c r="H24" s="78" t="n">
        <f aca="false">332000*0.14</f>
        <v>46480</v>
      </c>
      <c r="I24" s="77"/>
      <c r="J24" s="77" t="n">
        <f aca="false">332000*0.04</f>
        <v>13280</v>
      </c>
      <c r="K24" s="32"/>
      <c r="L24" s="12" t="n">
        <f aca="false">332000*0.01</f>
        <v>3320</v>
      </c>
      <c r="M24" s="56" t="n">
        <f aca="false">SUM(K24,I24,G24,E24,C24)</f>
        <v>0</v>
      </c>
      <c r="N24" s="57" t="n">
        <f aca="false">SUM(L24,J24,H24,F24,D24)</f>
        <v>249000</v>
      </c>
      <c r="O24" s="33" t="n">
        <f aca="false">332000*0.25</f>
        <v>83000</v>
      </c>
    </row>
    <row r="25" customFormat="false" ht="12.75" hidden="false" customHeight="false" outlineLevel="0" collapsed="false">
      <c r="A25" s="36" t="s">
        <v>92</v>
      </c>
      <c r="C25" s="76"/>
      <c r="D25" s="77" t="n">
        <f aca="false">275000*0.69</f>
        <v>189750</v>
      </c>
      <c r="E25" s="76"/>
      <c r="F25" s="77" t="n">
        <f aca="false">275000*0.11</f>
        <v>30250</v>
      </c>
      <c r="G25" s="76"/>
      <c r="H25" s="78" t="n">
        <f aca="false">275000*0.2</f>
        <v>55000</v>
      </c>
      <c r="I25" s="77"/>
      <c r="J25" s="77"/>
      <c r="K25" s="32"/>
      <c r="L25" s="12"/>
      <c r="M25" s="56" t="n">
        <f aca="false">SUM(K25,I25,G25,E25,C25)</f>
        <v>0</v>
      </c>
      <c r="N25" s="57" t="n">
        <f aca="false">SUM(L25,J25,H25,F25,D25)</f>
        <v>275000</v>
      </c>
      <c r="O25" s="33"/>
    </row>
    <row r="26" customFormat="false" ht="12.75" hidden="false" customHeight="false" outlineLevel="0" collapsed="false">
      <c r="A26" s="36" t="s">
        <v>93</v>
      </c>
      <c r="C26" s="76"/>
      <c r="D26" s="77" t="n">
        <f aca="false">218000*0.65</f>
        <v>141700</v>
      </c>
      <c r="E26" s="76"/>
      <c r="F26" s="77" t="n">
        <f aca="false">218000*0.1</f>
        <v>21800</v>
      </c>
      <c r="G26" s="76"/>
      <c r="H26" s="78" t="n">
        <f aca="false">218000*0.19</f>
        <v>41420</v>
      </c>
      <c r="I26" s="77"/>
      <c r="J26" s="77" t="n">
        <f aca="false">218000*0.05</f>
        <v>10900</v>
      </c>
      <c r="K26" s="32"/>
      <c r="L26" s="12" t="n">
        <f aca="false">218000*0.01</f>
        <v>2180</v>
      </c>
      <c r="M26" s="56"/>
      <c r="N26" s="57" t="n">
        <f aca="false">SUM(L26,J26,H26,F26,D26)</f>
        <v>218000</v>
      </c>
      <c r="O26" s="33"/>
    </row>
    <row r="27" customFormat="false" ht="12.75" hidden="false" customHeight="false" outlineLevel="0" collapsed="false">
      <c r="A27" s="36" t="s">
        <v>94</v>
      </c>
      <c r="C27" s="34"/>
      <c r="D27" s="91" t="n">
        <f aca="false">1270000*0.65</f>
        <v>825500</v>
      </c>
      <c r="E27" s="34"/>
      <c r="F27" s="91" t="n">
        <f aca="false">1270000*0.1</f>
        <v>127000</v>
      </c>
      <c r="G27" s="34"/>
      <c r="H27" s="92" t="n">
        <f aca="false">1270000*0.19</f>
        <v>241300</v>
      </c>
      <c r="I27" s="7"/>
      <c r="J27" s="91" t="n">
        <f aca="false">1270000*0.05</f>
        <v>63500</v>
      </c>
      <c r="K27" s="34"/>
      <c r="L27" s="59" t="n">
        <f aca="false">1270000*0.01</f>
        <v>12700</v>
      </c>
      <c r="M27" s="56"/>
      <c r="N27" s="57" t="n">
        <f aca="false">SUM(L27,J27,H27,F27,D27)</f>
        <v>1270000</v>
      </c>
      <c r="O27" s="33"/>
    </row>
    <row r="28" customFormat="false" ht="13.5" hidden="false" customHeight="false" outlineLevel="0" collapsed="false">
      <c r="A28" s="93"/>
      <c r="B28" s="48"/>
      <c r="C28" s="82"/>
      <c r="D28" s="94"/>
      <c r="E28" s="82"/>
      <c r="F28" s="94"/>
      <c r="G28" s="82"/>
      <c r="H28" s="95"/>
      <c r="I28" s="48"/>
      <c r="J28" s="94"/>
      <c r="K28" s="82"/>
      <c r="L28" s="65"/>
      <c r="M28" s="66"/>
      <c r="N28" s="67" t="n">
        <f aca="false">SUM(L28,J28,H28,F28,D28)</f>
        <v>0</v>
      </c>
      <c r="O28" s="39"/>
    </row>
    <row r="29" customFormat="false" ht="12.75" hidden="false" customHeight="false" outlineLevel="0" collapsed="false">
      <c r="A29" s="85" t="s">
        <v>32</v>
      </c>
      <c r="C29" s="34"/>
      <c r="D29" s="91"/>
      <c r="E29" s="34"/>
      <c r="F29" s="91"/>
      <c r="G29" s="29"/>
      <c r="H29" s="96"/>
      <c r="I29" s="29"/>
      <c r="J29" s="96"/>
      <c r="K29" s="29"/>
      <c r="L29" s="97"/>
      <c r="M29" s="13"/>
      <c r="N29" s="57"/>
      <c r="O29" s="15"/>
    </row>
    <row r="30" customFormat="false" ht="12.75" hidden="false" customHeight="false" outlineLevel="0" collapsed="false">
      <c r="A30" s="36" t="s">
        <v>95</v>
      </c>
      <c r="C30" s="34"/>
      <c r="D30" s="91"/>
      <c r="E30" s="34"/>
      <c r="F30" s="91"/>
      <c r="G30" s="34"/>
      <c r="H30" s="92"/>
      <c r="I30" s="34"/>
      <c r="J30" s="92"/>
      <c r="K30" s="34"/>
      <c r="L30" s="63"/>
      <c r="M30" s="13"/>
      <c r="N30" s="57"/>
      <c r="O30" s="15" t="n">
        <v>10000</v>
      </c>
    </row>
    <row r="31" customFormat="false" ht="13.5" hidden="false" customHeight="false" outlineLevel="0" collapsed="false">
      <c r="A31" s="36"/>
      <c r="C31" s="82"/>
      <c r="D31" s="94"/>
      <c r="E31" s="82"/>
      <c r="F31" s="94"/>
      <c r="G31" s="82"/>
      <c r="H31" s="95"/>
      <c r="I31" s="82"/>
      <c r="J31" s="95"/>
      <c r="K31" s="82"/>
      <c r="L31" s="98"/>
      <c r="M31" s="13"/>
      <c r="N31" s="67"/>
      <c r="O31" s="15"/>
    </row>
    <row r="32" customFormat="false" ht="21.75" hidden="false" customHeight="true" outlineLevel="0" collapsed="false">
      <c r="A32" s="40" t="s">
        <v>96</v>
      </c>
      <c r="C32" s="17" t="n">
        <f aca="false">SUM(C9:C27)</f>
        <v>993250</v>
      </c>
      <c r="D32" s="17" t="n">
        <f aca="false">SUM(D9:D27)</f>
        <v>1874720</v>
      </c>
      <c r="E32" s="17" t="n">
        <f aca="false">SUM(E9:E27)</f>
        <v>201050</v>
      </c>
      <c r="F32" s="37" t="n">
        <f aca="false">SUM(F9:F27)</f>
        <v>307700</v>
      </c>
      <c r="G32" s="68" t="n">
        <f aca="false">SUM(G9:G27)</f>
        <v>362600</v>
      </c>
      <c r="H32" s="69" t="n">
        <f aca="false">SUM(H9:H27)</f>
        <v>571958</v>
      </c>
      <c r="I32" s="39" t="n">
        <f aca="false">SUM(I9:I27)</f>
        <v>126800</v>
      </c>
      <c r="J32" s="17" t="n">
        <f aca="false">SUM(J9:J27)</f>
        <v>114710</v>
      </c>
      <c r="K32" s="17" t="n">
        <f aca="false">SUM(K9:K27)</f>
        <v>25575</v>
      </c>
      <c r="L32" s="37" t="n">
        <f aca="false">SUM(L9:L27)</f>
        <v>24826</v>
      </c>
      <c r="M32" s="99" t="n">
        <f aca="false">SUM(M9:M31)</f>
        <v>1709275</v>
      </c>
      <c r="N32" s="100" t="n">
        <f aca="false">SUM(N9:N31)</f>
        <v>2893914</v>
      </c>
      <c r="O32" s="44" t="n">
        <f aca="false">SUM(O8:O30)</f>
        <v>497075</v>
      </c>
    </row>
    <row r="33" customFormat="false" ht="12.75" hidden="false" customHeight="false" outlineLevel="0" collapsed="false">
      <c r="C33" s="12"/>
      <c r="D33" s="12"/>
      <c r="E33" s="12"/>
      <c r="F33" s="12"/>
      <c r="G33" s="12"/>
      <c r="H33" s="12"/>
      <c r="I33" s="12"/>
      <c r="J33" s="12"/>
      <c r="M33" s="13"/>
    </row>
    <row r="34" customFormat="false" ht="12.75" hidden="false" customHeight="false" outlineLevel="0" collapsed="false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customFormat="false" ht="12.75" hidden="false" customHeight="false" outlineLevel="0" collapsed="false">
      <c r="A35" s="47" t="str">
        <f aca="true">CELL("filename")</f>
        <v>'file:///mnt/12tb/@roms/datasets/enron/EDRM Enron Email Data Set v2 XML/filtered-attachments/xls/CAPITAL_WORKSHEET.xls'#$OPs</v>
      </c>
      <c r="B35" s="2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</row>
    <row r="36" customFormat="false" ht="12.75" hidden="false" customHeight="false" outlineLevel="0" collapsed="false">
      <c r="A36" s="22" t="s">
        <v>30</v>
      </c>
      <c r="B36" s="2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customFormat="false" ht="12.75" hidden="false" customHeight="false" outlineLevel="0" collapsed="false">
      <c r="A37" s="22"/>
      <c r="B37" s="2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</row>
    <row r="38" customFormat="false" ht="12.75" hidden="false" customHeight="false" outlineLevel="0" collapsed="false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</row>
    <row r="39" customFormat="false" ht="12.75" hidden="false" customHeight="false" outlineLevel="0" collapsed="false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</row>
    <row r="40" customFormat="false" ht="12.75" hidden="false" customHeight="false" outlineLevel="0" collapsed="false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</row>
    <row r="41" customFormat="false" ht="12.75" hidden="false" customHeight="false" outlineLevel="0" collapsed="false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</row>
    <row r="42" customFormat="false" ht="12.75" hidden="false" customHeight="false" outlineLevel="0" collapsed="false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3"/>
    </row>
    <row r="43" customFormat="false" ht="12.75" hidden="false" customHeight="false" outlineLevel="0" collapsed="false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</row>
    <row r="44" customFormat="false" ht="12.75" hidden="false" customHeight="false" outlineLevel="0" collapsed="false"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customFormat="false" ht="12.75" hidden="false" customHeight="false" outlineLevel="0" collapsed="false"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customFormat="false" ht="12.75" hidden="false" customHeight="false" outlineLevel="0" collapsed="false"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customFormat="false" ht="12.75" hidden="false" customHeight="false" outlineLevel="0" collapsed="false"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customFormat="false" ht="12.75" hidden="false" customHeight="false" outlineLevel="0" collapsed="false"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customFormat="false" ht="12.75" hidden="false" customHeight="false" outlineLevel="0" collapsed="false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customFormat="false" ht="12.75" hidden="false" customHeight="false" outlineLevel="0" collapsed="false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6" customFormat="false" ht="12.75" hidden="false" customHeight="false" outlineLevel="0" collapsed="false">
      <c r="M56" s="13"/>
    </row>
  </sheetData>
  <mergeCells count="12">
    <mergeCell ref="A1:L1"/>
    <mergeCell ref="A2:L2"/>
    <mergeCell ref="A3:L3"/>
    <mergeCell ref="A4:L4"/>
    <mergeCell ref="C5:L5"/>
    <mergeCell ref="N5:O5"/>
    <mergeCell ref="C6:D6"/>
    <mergeCell ref="E6:F6"/>
    <mergeCell ref="G6:H6"/>
    <mergeCell ref="I6:J6"/>
    <mergeCell ref="K6:L6"/>
    <mergeCell ref="M6:N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2.13"/>
    <col collapsed="false" customWidth="true" hidden="false" outlineLevel="0" max="3" min="3" style="0" width="10.85"/>
    <col collapsed="false" customWidth="true" hidden="false" outlineLevel="0" max="5" min="4" style="0" width="9.99"/>
    <col collapsed="false" customWidth="true" hidden="false" outlineLevel="0" max="6" min="6" style="0" width="7.56"/>
    <col collapsed="false" customWidth="true" hidden="false" outlineLevel="0" max="8" min="7" style="7" width="9.14"/>
    <col collapsed="false" customWidth="true" hidden="false" outlineLevel="0" max="9" min="9" style="0" width="10.41"/>
    <col collapsed="false" customWidth="true" hidden="false" outlineLevel="0" max="11" min="11" style="0" width="9.99"/>
    <col collapsed="false" customWidth="true" hidden="false" outlineLevel="0" max="12" min="12" style="0" width="7.56"/>
    <col collapsed="false" customWidth="true" hidden="false" outlineLevel="0" max="13" min="13" style="7" width="10.85"/>
    <col collapsed="false" customWidth="true" hidden="false" outlineLevel="0" max="14" min="14" style="0" width="9.99"/>
  </cols>
  <sheetData>
    <row r="1" customFormat="false" ht="15.75" hidden="false" customHeight="false" outlineLevel="0" collapsed="false">
      <c r="A1" s="23" t="s">
        <v>97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customFormat="false" ht="15.75" hidden="false" customHeight="false" outlineLevel="0" collapsed="false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customFormat="false" ht="15.75" hidden="false" customHeight="false" outlineLevel="0" collapsed="false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customFormat="false" ht="16.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customFormat="false" ht="13.5" hidden="false" customHeight="false" outlineLevel="0" collapsed="false">
      <c r="C5" s="4" t="n">
        <v>2002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3.5" hidden="false" customHeight="false" outlineLevel="0" collapsed="false">
      <c r="A6" s="8"/>
      <c r="C6" s="4" t="s">
        <v>14</v>
      </c>
      <c r="D6" s="4"/>
      <c r="E6" s="4" t="s">
        <v>15</v>
      </c>
      <c r="F6" s="4"/>
      <c r="G6" s="4" t="s">
        <v>16</v>
      </c>
      <c r="H6" s="4"/>
      <c r="I6" s="4" t="s">
        <v>17</v>
      </c>
      <c r="J6" s="4"/>
      <c r="K6" s="4" t="s">
        <v>18</v>
      </c>
      <c r="L6" s="4"/>
      <c r="M6" s="4" t="s">
        <v>19</v>
      </c>
      <c r="N6" s="4"/>
    </row>
    <row r="7" customFormat="false" ht="13.5" hidden="false" customHeight="false" outlineLevel="0" collapsed="false">
      <c r="A7" s="9" t="s">
        <v>3</v>
      </c>
      <c r="C7" s="27" t="s">
        <v>20</v>
      </c>
      <c r="D7" s="28" t="s">
        <v>21</v>
      </c>
      <c r="E7" s="27" t="s">
        <v>20</v>
      </c>
      <c r="F7" s="73" t="s">
        <v>21</v>
      </c>
      <c r="G7" s="54" t="s">
        <v>20</v>
      </c>
      <c r="H7" s="55" t="s">
        <v>21</v>
      </c>
      <c r="I7" s="73" t="s">
        <v>20</v>
      </c>
      <c r="J7" s="28" t="s">
        <v>21</v>
      </c>
      <c r="K7" s="27" t="s">
        <v>20</v>
      </c>
      <c r="L7" s="73" t="s">
        <v>21</v>
      </c>
      <c r="M7" s="27" t="s">
        <v>20</v>
      </c>
      <c r="N7" s="28" t="s">
        <v>21</v>
      </c>
    </row>
    <row r="8" customFormat="false" ht="12.75" hidden="false" customHeight="false" outlineLevel="0" collapsed="false">
      <c r="C8" s="34"/>
      <c r="D8" s="35"/>
      <c r="E8" s="34"/>
      <c r="F8" s="7"/>
      <c r="G8" s="29"/>
      <c r="H8" s="31"/>
      <c r="I8" s="7"/>
      <c r="J8" s="35"/>
      <c r="K8" s="34"/>
      <c r="L8" s="7"/>
      <c r="M8" s="29"/>
      <c r="N8" s="31"/>
      <c r="O8" s="7"/>
    </row>
    <row r="9" customFormat="false" ht="12.75" hidden="false" customHeight="false" outlineLevel="0" collapsed="false">
      <c r="A9" s="36"/>
      <c r="C9" s="32"/>
      <c r="D9" s="33"/>
      <c r="E9" s="32"/>
      <c r="F9" s="12"/>
      <c r="G9" s="32"/>
      <c r="H9" s="33"/>
      <c r="I9" s="12"/>
      <c r="J9" s="33"/>
      <c r="K9" s="32"/>
      <c r="L9" s="12"/>
      <c r="M9" s="32"/>
      <c r="N9" s="33"/>
      <c r="O9" s="7"/>
    </row>
    <row r="10" customFormat="false" ht="12.75" hidden="false" customHeight="false" outlineLevel="0" collapsed="false">
      <c r="A10" s="36"/>
      <c r="C10" s="32"/>
      <c r="D10" s="33"/>
      <c r="E10" s="32"/>
      <c r="F10" s="12"/>
      <c r="G10" s="32"/>
      <c r="H10" s="33"/>
      <c r="I10" s="12"/>
      <c r="J10" s="33"/>
      <c r="K10" s="32"/>
      <c r="L10" s="12"/>
      <c r="M10" s="76" t="n">
        <f aca="false">C10+E10+G10+I10+K10</f>
        <v>0</v>
      </c>
      <c r="N10" s="78" t="n">
        <f aca="false">D10+F10+H10+J10+L10</f>
        <v>0</v>
      </c>
      <c r="O10" s="7"/>
    </row>
    <row r="11" customFormat="false" ht="12.75" hidden="false" customHeight="false" outlineLevel="0" collapsed="false">
      <c r="A11" s="36" t="s">
        <v>98</v>
      </c>
      <c r="C11" s="32"/>
      <c r="D11" s="33" t="n">
        <f aca="false">10000</f>
        <v>10000</v>
      </c>
      <c r="E11" s="32"/>
      <c r="F11" s="12"/>
      <c r="G11" s="32"/>
      <c r="H11" s="33"/>
      <c r="I11" s="12"/>
      <c r="J11" s="33"/>
      <c r="K11" s="32"/>
      <c r="L11" s="12"/>
      <c r="M11" s="76" t="n">
        <f aca="false">SUM(K11,I11,G11,E11,C11)</f>
        <v>0</v>
      </c>
      <c r="N11" s="78" t="n">
        <f aca="false">SUM(L11,J11,H11,F11,D11)</f>
        <v>10000</v>
      </c>
      <c r="O11" s="7"/>
    </row>
    <row r="12" customFormat="false" ht="13.5" hidden="false" customHeight="false" outlineLevel="0" collapsed="false">
      <c r="A12" s="85"/>
      <c r="C12" s="37"/>
      <c r="D12" s="39"/>
      <c r="E12" s="37"/>
      <c r="F12" s="38"/>
      <c r="G12" s="37"/>
      <c r="H12" s="39"/>
      <c r="I12" s="38"/>
      <c r="J12" s="39"/>
      <c r="K12" s="37"/>
      <c r="L12" s="38"/>
      <c r="M12" s="101" t="n">
        <f aca="false">SUM(K12,I12,G12,E12,C12)</f>
        <v>0</v>
      </c>
      <c r="N12" s="102" t="n">
        <f aca="false">D12+F12+H12+J12+L12</f>
        <v>0</v>
      </c>
      <c r="O12" s="7"/>
    </row>
    <row r="13" customFormat="false" ht="13.5" hidden="false" customHeight="false" outlineLevel="0" collapsed="false">
      <c r="A13" s="40" t="s">
        <v>99</v>
      </c>
      <c r="C13" s="19" t="n">
        <f aca="false">SUM(C9:C12)</f>
        <v>0</v>
      </c>
      <c r="D13" s="19" t="n">
        <f aca="false">SUM(D9:D12)</f>
        <v>10000</v>
      </c>
      <c r="E13" s="19" t="n">
        <f aca="false">SUM(E9:E12)</f>
        <v>0</v>
      </c>
      <c r="F13" s="103" t="n">
        <f aca="false">SUM(F9:F12)</f>
        <v>0</v>
      </c>
      <c r="G13" s="19" t="n">
        <f aca="false">SUM(G9:G12)</f>
        <v>0</v>
      </c>
      <c r="H13" s="19" t="n">
        <f aca="false">SUM(H9:H12)</f>
        <v>0</v>
      </c>
      <c r="I13" s="45" t="n">
        <f aca="false">SUM(I9:I12)</f>
        <v>0</v>
      </c>
      <c r="J13" s="19" t="n">
        <f aca="false">SUM(J9:J12)</f>
        <v>0</v>
      </c>
      <c r="K13" s="19" t="n">
        <f aca="false">SUM(K9:K12)</f>
        <v>0</v>
      </c>
      <c r="L13" s="103" t="n">
        <f aca="false">SUM(L9:L12)</f>
        <v>0</v>
      </c>
      <c r="M13" s="104" t="n">
        <f aca="false">SUM(K13,I13,G13,E13,C13)</f>
        <v>0</v>
      </c>
      <c r="N13" s="19" t="n">
        <f aca="false">SUM(N9:N12)</f>
        <v>10000</v>
      </c>
      <c r="O13" s="7"/>
    </row>
    <row r="14" customFormat="false" ht="12.75" hidden="false" customHeight="false" outlineLevel="0" collapsed="false">
      <c r="A14" s="3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77" t="n">
        <f aca="false">SUM(K14,I14,G14,E14,C14)</f>
        <v>0</v>
      </c>
      <c r="N14" s="12"/>
      <c r="O14" s="7"/>
    </row>
    <row r="15" customFormat="false" ht="12.75" hidden="false" customHeight="false" outlineLevel="0" collapsed="false">
      <c r="A15" s="47" t="str">
        <f aca="true">CELL("filename")</f>
        <v>'file:///mnt/12tb/@roms/datasets/enron/EDRM Enron Email Data Set v2 XML/filtered-attachments/xls/CAPITAL_WORKSHEET.xls'#$HR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77" t="n">
        <f aca="false">SUM(K15,I15,G15,E15,C15)</f>
        <v>0</v>
      </c>
      <c r="N15" s="12"/>
      <c r="O15" s="7"/>
    </row>
    <row r="16" customFormat="false" ht="12.75" hidden="false" customHeight="false" outlineLevel="0" collapsed="false">
      <c r="A16" s="36" t="s">
        <v>30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77" t="n">
        <f aca="false">SUM(K16,I16,G16,E16,C16)</f>
        <v>0</v>
      </c>
      <c r="N16" s="12"/>
      <c r="O16" s="7"/>
    </row>
    <row r="17" customFormat="false" ht="12.75" hidden="false" customHeight="false" outlineLevel="0" collapsed="false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77" t="n">
        <f aca="false">SUM(K17,I17,G17,E17,C17)</f>
        <v>0</v>
      </c>
      <c r="N17" s="12"/>
      <c r="O17" s="7"/>
    </row>
    <row r="18" customFormat="false" ht="12.75" hidden="false" customHeight="false" outlineLevel="0" collapsed="false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77" t="n">
        <f aca="false">SUM(K18,I18,G18,E18,C18)</f>
        <v>0</v>
      </c>
      <c r="N18" s="12"/>
      <c r="O18" s="7"/>
    </row>
    <row r="19" customFormat="false" ht="12.75" hidden="false" customHeight="false" outlineLevel="0" collapsed="false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77" t="n">
        <f aca="false">SUM(K19,I19,G19,E19,C19)</f>
        <v>0</v>
      </c>
      <c r="N19" s="12"/>
      <c r="O19" s="7"/>
    </row>
    <row r="20" customFormat="false" ht="12.75" hidden="false" customHeight="false" outlineLevel="0" collapsed="false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77" t="n">
        <f aca="false">SUM(K20,I20,G20,E20,C20)</f>
        <v>0</v>
      </c>
      <c r="N20" s="12"/>
      <c r="O20" s="7"/>
    </row>
    <row r="21" customFormat="false" ht="12.75" hidden="false" customHeight="false" outlineLevel="0" collapsed="false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77" t="n">
        <f aca="false">SUM(K21,I21,G21,E21,C21)</f>
        <v>0</v>
      </c>
      <c r="N21" s="12"/>
      <c r="O21" s="7"/>
    </row>
    <row r="22" customFormat="false" ht="12.75" hidden="false" customHeight="false" outlineLevel="0" collapsed="false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77" t="n">
        <f aca="false">SUM(K22,I22,G22,E22,C22)</f>
        <v>0</v>
      </c>
      <c r="N22" s="12"/>
      <c r="O22" s="7"/>
      <c r="P22" s="7"/>
      <c r="Q22" s="7"/>
      <c r="R22" s="7"/>
      <c r="S22" s="7"/>
    </row>
    <row r="23" customFormat="false" ht="12.75" hidden="false" customHeight="false" outlineLevel="0" collapsed="false">
      <c r="C23" s="12"/>
      <c r="D23" s="12"/>
      <c r="E23" s="12"/>
      <c r="F23" s="12"/>
      <c r="G23" s="12"/>
      <c r="H23" s="12"/>
      <c r="I23" s="12"/>
      <c r="J23" s="12"/>
      <c r="M23" s="77" t="n">
        <f aca="false">SUM(K23,I23,G23,E23,C23)</f>
        <v>0</v>
      </c>
      <c r="N23" s="7"/>
    </row>
    <row r="24" customFormat="false" ht="12.75" hidden="false" customHeight="false" outlineLevel="0" collapsed="false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77" t="n">
        <f aca="false">SUM(K24,I24,G24,E24,C24)</f>
        <v>0</v>
      </c>
      <c r="N24" s="7"/>
    </row>
    <row r="25" customFormat="false" ht="12.75" hidden="false" customHeight="false" outlineLevel="0" collapsed="false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77" t="n">
        <f aca="false">SUM(K25,I25,G25,E25,C25)</f>
        <v>0</v>
      </c>
      <c r="N25" s="7"/>
    </row>
    <row r="26" customFormat="false" ht="12.75" hidden="false" customHeight="false" outlineLevel="0" collapsed="false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77"/>
    </row>
    <row r="27" customFormat="false" ht="12.75" hidden="false" customHeight="false" outlineLevel="0" collapsed="false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77"/>
    </row>
    <row r="28" customFormat="false" ht="12.75" hidden="false" customHeight="false" outlineLevel="0" collapsed="false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77"/>
    </row>
    <row r="29" customFormat="false" ht="12.75" hidden="false" customHeight="false" outlineLevel="0" collapsed="false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77"/>
    </row>
    <row r="30" customFormat="false" ht="12.75" hidden="false" customHeight="false" outlineLevel="0" collapsed="false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77"/>
    </row>
    <row r="31" customFormat="false" ht="12.75" hidden="false" customHeight="false" outlineLevel="0" collapsed="false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77"/>
    </row>
    <row r="32" customFormat="false" ht="12.75" hidden="false" customHeight="false" outlineLevel="0" collapsed="false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77"/>
    </row>
    <row r="33" customFormat="false" ht="12.75" hidden="false" customHeight="false" outlineLevel="0" collapsed="false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77"/>
    </row>
    <row r="34" customFormat="false" ht="12.75" hidden="false" customHeight="false" outlineLevel="0" collapsed="false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77"/>
    </row>
    <row r="35" customFormat="false" ht="12.75" hidden="false" customHeight="false" outlineLevel="0" collapsed="false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77"/>
    </row>
    <row r="36" customFormat="false" ht="12.75" hidden="false" customHeight="false" outlineLevel="0" collapsed="false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77"/>
    </row>
    <row r="37" customFormat="false" ht="12.75" hidden="false" customHeight="false" outlineLevel="0" collapsed="false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77"/>
    </row>
    <row r="38" customFormat="false" ht="12.75" hidden="false" customHeight="false" outlineLevel="0" collapsed="false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77"/>
    </row>
    <row r="39" customFormat="false" ht="12.75" hidden="false" customHeight="false" outlineLevel="0" collapsed="false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77"/>
    </row>
    <row r="40" customFormat="false" ht="12.75" hidden="false" customHeight="false" outlineLevel="0" collapsed="false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77"/>
    </row>
    <row r="41" customFormat="false" ht="12.75" hidden="false" customHeight="false" outlineLevel="0" collapsed="false">
      <c r="M41" s="77"/>
    </row>
    <row r="42" customFormat="false" ht="12.75" hidden="false" customHeight="false" outlineLevel="0" collapsed="false">
      <c r="M42" s="77"/>
    </row>
    <row r="43" customFormat="false" ht="12.75" hidden="false" customHeight="false" outlineLevel="0" collapsed="false">
      <c r="M43" s="77"/>
    </row>
    <row r="56" customFormat="false" ht="12.75" hidden="false" customHeight="false" outlineLevel="0" collapsed="false">
      <c r="M56" s="105"/>
    </row>
  </sheetData>
  <mergeCells count="11">
    <mergeCell ref="A1:N1"/>
    <mergeCell ref="A2:N2"/>
    <mergeCell ref="A3:N3"/>
    <mergeCell ref="A4:L4"/>
    <mergeCell ref="C5:N5"/>
    <mergeCell ref="C6:D6"/>
    <mergeCell ref="E6:F6"/>
    <mergeCell ref="G6:H6"/>
    <mergeCell ref="I6:J6"/>
    <mergeCell ref="K6:L6"/>
    <mergeCell ref="M6:N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2.13"/>
    <col collapsed="false" customWidth="true" hidden="false" outlineLevel="0" max="3" min="3" style="0" width="10.85"/>
    <col collapsed="false" customWidth="true" hidden="false" outlineLevel="0" max="4" min="4" style="0" width="11.13"/>
    <col collapsed="false" customWidth="true" hidden="false" outlineLevel="0" max="5" min="5" style="0" width="9.99"/>
    <col collapsed="false" customWidth="true" hidden="false" outlineLevel="0" max="6" min="6" style="0" width="10.85"/>
    <col collapsed="false" customWidth="true" hidden="false" outlineLevel="0" max="7" min="7" style="7" width="10.85"/>
    <col collapsed="false" customWidth="true" hidden="false" outlineLevel="0" max="8" min="8" style="7" width="10.41"/>
    <col collapsed="false" customWidth="true" hidden="false" outlineLevel="0" max="9" min="9" style="0" width="10.41"/>
    <col collapsed="false" customWidth="true" hidden="false" outlineLevel="0" max="11" min="11" style="0" width="9.99"/>
    <col collapsed="false" customWidth="true" hidden="false" outlineLevel="0" max="12" min="12" style="0" width="7.56"/>
    <col collapsed="false" customWidth="true" hidden="false" outlineLevel="0" max="13" min="13" style="7" width="10.85"/>
    <col collapsed="false" customWidth="true" hidden="false" outlineLevel="0" max="14" min="14" style="0" width="11.56"/>
  </cols>
  <sheetData>
    <row r="1" customFormat="false" ht="15.75" hidden="false" customHeight="false" outlineLevel="0" collapsed="false">
      <c r="A1" s="23" t="s">
        <v>100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customFormat="false" ht="15.75" hidden="false" customHeight="false" outlineLevel="0" collapsed="false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customFormat="false" ht="15.75" hidden="false" customHeight="false" outlineLevel="0" collapsed="false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customFormat="false" ht="16.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customFormat="false" ht="13.5" hidden="false" customHeight="false" outlineLevel="0" collapsed="false">
      <c r="C5" s="4" t="n">
        <v>2002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3.5" hidden="false" customHeight="false" outlineLevel="0" collapsed="false">
      <c r="A6" s="8"/>
      <c r="C6" s="4" t="s">
        <v>14</v>
      </c>
      <c r="D6" s="4"/>
      <c r="E6" s="4" t="s">
        <v>15</v>
      </c>
      <c r="F6" s="4"/>
      <c r="G6" s="4" t="s">
        <v>16</v>
      </c>
      <c r="H6" s="4"/>
      <c r="I6" s="4" t="s">
        <v>17</v>
      </c>
      <c r="J6" s="4"/>
      <c r="K6" s="4" t="s">
        <v>18</v>
      </c>
      <c r="L6" s="4"/>
      <c r="M6" s="4" t="s">
        <v>19</v>
      </c>
      <c r="N6" s="4"/>
    </row>
    <row r="7" customFormat="false" ht="13.5" hidden="false" customHeight="false" outlineLevel="0" collapsed="false">
      <c r="A7" s="9" t="s">
        <v>3</v>
      </c>
      <c r="C7" s="27" t="s">
        <v>20</v>
      </c>
      <c r="D7" s="28" t="s">
        <v>21</v>
      </c>
      <c r="E7" s="27" t="s">
        <v>20</v>
      </c>
      <c r="F7" s="73" t="s">
        <v>21</v>
      </c>
      <c r="G7" s="54" t="s">
        <v>20</v>
      </c>
      <c r="H7" s="55" t="s">
        <v>21</v>
      </c>
      <c r="I7" s="73" t="s">
        <v>20</v>
      </c>
      <c r="J7" s="28" t="s">
        <v>21</v>
      </c>
      <c r="K7" s="54" t="s">
        <v>20</v>
      </c>
      <c r="L7" s="74" t="s">
        <v>21</v>
      </c>
      <c r="M7" s="27" t="s">
        <v>20</v>
      </c>
      <c r="N7" s="28" t="s">
        <v>21</v>
      </c>
    </row>
    <row r="8" customFormat="false" ht="12.75" hidden="false" customHeight="false" outlineLevel="0" collapsed="false">
      <c r="C8" s="34"/>
      <c r="D8" s="35"/>
      <c r="E8" s="34"/>
      <c r="F8" s="7"/>
      <c r="G8" s="29"/>
      <c r="H8" s="31"/>
      <c r="I8" s="7"/>
      <c r="J8" s="7"/>
      <c r="K8" s="29"/>
      <c r="L8" s="30"/>
      <c r="M8" s="29"/>
      <c r="N8" s="31"/>
      <c r="O8" s="7"/>
    </row>
    <row r="9" customFormat="false" ht="12.75" hidden="false" customHeight="false" outlineLevel="0" collapsed="false">
      <c r="A9" s="36" t="s">
        <v>101</v>
      </c>
      <c r="C9" s="32"/>
      <c r="D9" s="33"/>
      <c r="E9" s="34"/>
      <c r="F9" s="12" t="n">
        <f aca="false">5000</f>
        <v>5000</v>
      </c>
      <c r="G9" s="32" t="n">
        <v>0</v>
      </c>
      <c r="H9" s="33"/>
      <c r="I9" s="12" t="n">
        <v>0</v>
      </c>
      <c r="J9" s="12"/>
      <c r="K9" s="32" t="n">
        <v>0</v>
      </c>
      <c r="L9" s="12"/>
      <c r="M9" s="32" t="n">
        <f aca="false">SUM(K9,I9,G9,E9,C9)</f>
        <v>0</v>
      </c>
      <c r="N9" s="33" t="n">
        <f aca="false">SUM(L9,J9,H9,F9,D9)</f>
        <v>5000</v>
      </c>
      <c r="O9" s="7"/>
    </row>
    <row r="10" customFormat="false" ht="12.75" hidden="false" customHeight="false" outlineLevel="0" collapsed="false">
      <c r="A10" s="36" t="s">
        <v>101</v>
      </c>
      <c r="C10" s="34"/>
      <c r="D10" s="33" t="n">
        <f aca="false">5000</f>
        <v>5000</v>
      </c>
      <c r="E10" s="32"/>
      <c r="F10" s="12"/>
      <c r="G10" s="32"/>
      <c r="H10" s="33"/>
      <c r="I10" s="12"/>
      <c r="J10" s="12"/>
      <c r="K10" s="32"/>
      <c r="L10" s="12"/>
      <c r="M10" s="32" t="n">
        <f aca="false">SUM(K10,I10,G10,E10,C10)</f>
        <v>0</v>
      </c>
      <c r="N10" s="33" t="n">
        <f aca="false">SUM(L10,J10,H10,F10,D10)</f>
        <v>5000</v>
      </c>
      <c r="O10" s="7"/>
    </row>
    <row r="11" customFormat="false" ht="12.75" hidden="false" customHeight="false" outlineLevel="0" collapsed="false">
      <c r="A11" s="36" t="s">
        <v>101</v>
      </c>
      <c r="C11" s="34"/>
      <c r="D11" s="33" t="n">
        <f aca="false">25000</f>
        <v>25000</v>
      </c>
      <c r="E11" s="32"/>
      <c r="F11" s="12"/>
      <c r="G11" s="32"/>
      <c r="H11" s="33"/>
      <c r="I11" s="12"/>
      <c r="J11" s="12"/>
      <c r="K11" s="32"/>
      <c r="L11" s="12"/>
      <c r="M11" s="32" t="n">
        <f aca="false">SUM(K11,I11,G11,E11,C11)</f>
        <v>0</v>
      </c>
      <c r="N11" s="33" t="n">
        <f aca="false">SUM(L11,J11,H11,F11,D11)</f>
        <v>25000</v>
      </c>
      <c r="O11" s="7"/>
    </row>
    <row r="12" customFormat="false" ht="12.75" hidden="false" customHeight="false" outlineLevel="0" collapsed="false">
      <c r="A12" s="36"/>
      <c r="C12" s="32"/>
      <c r="D12" s="33"/>
      <c r="E12" s="32"/>
      <c r="F12" s="12"/>
      <c r="G12" s="32"/>
      <c r="H12" s="33"/>
      <c r="I12" s="12"/>
      <c r="J12" s="12"/>
      <c r="K12" s="32"/>
      <c r="L12" s="12"/>
      <c r="M12" s="32" t="n">
        <f aca="false">SUM(K12,I12,G12,E12,C12)</f>
        <v>0</v>
      </c>
      <c r="N12" s="33" t="n">
        <f aca="false">SUM(L12,J12,H12,F12,D12)</f>
        <v>0</v>
      </c>
      <c r="O12" s="7"/>
    </row>
    <row r="13" customFormat="false" ht="12.75" hidden="false" customHeight="false" outlineLevel="0" collapsed="false">
      <c r="A13" s="36" t="s">
        <v>101</v>
      </c>
      <c r="C13" s="34"/>
      <c r="D13" s="33" t="n">
        <f aca="false">15000</f>
        <v>15000</v>
      </c>
      <c r="E13" s="32"/>
      <c r="F13" s="12"/>
      <c r="G13" s="32"/>
      <c r="H13" s="33"/>
      <c r="I13" s="12"/>
      <c r="J13" s="12"/>
      <c r="K13" s="32"/>
      <c r="L13" s="12"/>
      <c r="M13" s="32" t="n">
        <f aca="false">SUM(K13,I13,G13,E13,C13)</f>
        <v>0</v>
      </c>
      <c r="N13" s="33" t="n">
        <f aca="false">SUM(L13,J13,H13,F13,D13)</f>
        <v>15000</v>
      </c>
      <c r="O13" s="7"/>
    </row>
    <row r="14" customFormat="false" ht="12.75" hidden="false" customHeight="false" outlineLevel="0" collapsed="false">
      <c r="A14" s="36" t="s">
        <v>101</v>
      </c>
      <c r="C14" s="32"/>
      <c r="D14" s="33"/>
      <c r="E14" s="32"/>
      <c r="F14" s="12"/>
      <c r="G14" s="34"/>
      <c r="H14" s="33" t="n">
        <f aca="false">40000</f>
        <v>40000</v>
      </c>
      <c r="I14" s="12"/>
      <c r="J14" s="12"/>
      <c r="K14" s="32"/>
      <c r="L14" s="12"/>
      <c r="M14" s="32" t="n">
        <f aca="false">SUM(K14,I14,G14,E14,C14)</f>
        <v>0</v>
      </c>
      <c r="N14" s="33" t="n">
        <f aca="false">SUM(L14,J14,H14,F14,D14)</f>
        <v>40000</v>
      </c>
      <c r="O14" s="7"/>
    </row>
    <row r="15" customFormat="false" ht="12.75" hidden="false" customHeight="false" outlineLevel="0" collapsed="false">
      <c r="A15" s="36" t="s">
        <v>102</v>
      </c>
      <c r="C15" s="32"/>
      <c r="D15" s="33" t="n">
        <f aca="false">54000*0.546</f>
        <v>29484</v>
      </c>
      <c r="E15" s="32"/>
      <c r="F15" s="12" t="n">
        <f aca="false">54000*0.1595</f>
        <v>8613</v>
      </c>
      <c r="G15" s="32"/>
      <c r="H15" s="33" t="n">
        <f aca="false">54000*0.2945</f>
        <v>15903</v>
      </c>
      <c r="I15" s="12"/>
      <c r="J15" s="12"/>
      <c r="K15" s="32"/>
      <c r="L15" s="12"/>
      <c r="M15" s="32" t="n">
        <f aca="false">SUM(K15,I15,G15,E15,C15)</f>
        <v>0</v>
      </c>
      <c r="N15" s="33" t="n">
        <f aca="false">SUM(L15,J15,H15,F15,D15)</f>
        <v>54000</v>
      </c>
    </row>
    <row r="16" customFormat="false" ht="12.75" hidden="false" customHeight="false" outlineLevel="0" collapsed="false">
      <c r="A16" s="36" t="s">
        <v>103</v>
      </c>
      <c r="C16" s="34"/>
      <c r="D16" s="33" t="n">
        <f aca="false">50000/3</f>
        <v>16666.6666666667</v>
      </c>
      <c r="E16" s="32"/>
      <c r="F16" s="12" t="n">
        <f aca="false">50000/3</f>
        <v>16666.6666666667</v>
      </c>
      <c r="G16" s="32"/>
      <c r="H16" s="33" t="n">
        <f aca="false">50000/3</f>
        <v>16666.6666666667</v>
      </c>
      <c r="I16" s="12"/>
      <c r="J16" s="12"/>
      <c r="K16" s="32"/>
      <c r="L16" s="12"/>
      <c r="M16" s="32" t="n">
        <f aca="false">SUM(K16,I16,G16,E16,C16)</f>
        <v>0</v>
      </c>
      <c r="N16" s="33" t="n">
        <f aca="false">SUM(L16,J16,H16,F16,D16)</f>
        <v>50000</v>
      </c>
      <c r="O16" s="7"/>
    </row>
    <row r="17" customFormat="false" ht="13.5" hidden="false" customHeight="false" outlineLevel="0" collapsed="false">
      <c r="A17" s="36" t="s">
        <v>104</v>
      </c>
      <c r="C17" s="64" t="n">
        <v>0</v>
      </c>
      <c r="D17" s="98" t="n">
        <v>216000</v>
      </c>
      <c r="E17" s="64" t="n">
        <v>0</v>
      </c>
      <c r="F17" s="65" t="n">
        <v>0</v>
      </c>
      <c r="G17" s="64" t="n">
        <v>0</v>
      </c>
      <c r="H17" s="98" t="n">
        <v>0</v>
      </c>
      <c r="I17" s="65" t="n">
        <v>0</v>
      </c>
      <c r="J17" s="65" t="n">
        <v>0</v>
      </c>
      <c r="K17" s="64" t="n">
        <v>0</v>
      </c>
      <c r="L17" s="65" t="n">
        <v>0</v>
      </c>
      <c r="M17" s="37" t="n">
        <f aca="false">SUM(K17,I17,G17,E17,C17)</f>
        <v>0</v>
      </c>
      <c r="N17" s="39" t="n">
        <f aca="false">SUM(L17,J17,H17,F17,D17)</f>
        <v>216000</v>
      </c>
    </row>
    <row r="18" customFormat="false" ht="13.5" hidden="false" customHeight="false" outlineLevel="0" collapsed="false">
      <c r="A18" s="36" t="s">
        <v>105</v>
      </c>
      <c r="C18" s="19" t="n">
        <f aca="false">SUM(C9:C17)</f>
        <v>0</v>
      </c>
      <c r="D18" s="19" t="n">
        <f aca="false">SUM(D9:D17)</f>
        <v>307150.666666667</v>
      </c>
      <c r="E18" s="19" t="n">
        <f aca="false">SUM(E9:E17)</f>
        <v>0</v>
      </c>
      <c r="F18" s="103" t="n">
        <f aca="false">SUM(F9:F17)</f>
        <v>30279.6666666667</v>
      </c>
      <c r="G18" s="106" t="n">
        <f aca="false">SUM(G9:G17)</f>
        <v>0</v>
      </c>
      <c r="H18" s="106" t="n">
        <f aca="false">SUM(H9:H17)</f>
        <v>72569.6666666667</v>
      </c>
      <c r="I18" s="45" t="n">
        <f aca="false">SUM(I9:I17)</f>
        <v>0</v>
      </c>
      <c r="J18" s="19" t="n">
        <f aca="false">SUM(J9:J17)</f>
        <v>0</v>
      </c>
      <c r="K18" s="106" t="n">
        <f aca="false">SUM(K9:K17)</f>
        <v>0</v>
      </c>
      <c r="L18" s="107" t="n">
        <f aca="false">SUM(L9:L17)</f>
        <v>0</v>
      </c>
      <c r="M18" s="107" t="n">
        <f aca="false">SUM(M9:M17)</f>
        <v>0</v>
      </c>
      <c r="N18" s="19" t="n">
        <f aca="false">SUM(N9:N17)</f>
        <v>410000</v>
      </c>
      <c r="O18" s="7"/>
    </row>
    <row r="19" customFormat="false" ht="12.75" hidden="false" customHeight="false" outlineLevel="0" collapsed="false">
      <c r="A19" s="3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7"/>
    </row>
    <row r="20" customFormat="false" ht="12.75" hidden="false" customHeight="false" outlineLevel="0" collapsed="false">
      <c r="A20" s="47" t="str">
        <f aca="true">CELL("filename")</f>
        <v>'file:///mnt/12tb/@roms/datasets/enron/EDRM Enron Email Data Set v2 XML/filtered-attachments/xls/CAPITAL_WORKSHEET.xls'#$F &amp; A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7"/>
    </row>
    <row r="21" customFormat="false" ht="12.75" hidden="false" customHeight="false" outlineLevel="0" collapsed="false">
      <c r="A21" s="36" t="s">
        <v>30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7"/>
    </row>
    <row r="22" customFormat="false" ht="12.75" hidden="false" customHeight="false" outlineLevel="0" collapsed="false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7"/>
    </row>
    <row r="23" customFormat="false" ht="12.75" hidden="false" customHeight="false" outlineLevel="0" collapsed="false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7"/>
    </row>
    <row r="24" customFormat="false" ht="12.75" hidden="false" customHeight="false" outlineLevel="0" collapsed="false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7"/>
    </row>
    <row r="25" customFormat="false" ht="12.75" hidden="false" customHeight="false" outlineLevel="0" collapsed="false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7"/>
    </row>
    <row r="26" customFormat="false" ht="12.75" hidden="false" customHeight="false" outlineLevel="0" collapsed="false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7"/>
    </row>
    <row r="27" customFormat="false" ht="12.75" hidden="false" customHeight="false" outlineLevel="0" collapsed="false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7"/>
      <c r="P27" s="7"/>
      <c r="Q27" s="7"/>
      <c r="R27" s="7"/>
      <c r="S27" s="7"/>
    </row>
    <row r="28" customFormat="false" ht="12.75" hidden="false" customHeight="false" outlineLevel="0" collapsed="false">
      <c r="C28" s="12"/>
      <c r="D28" s="12"/>
      <c r="E28" s="12"/>
      <c r="F28" s="12"/>
      <c r="G28" s="12"/>
      <c r="H28" s="12"/>
      <c r="I28" s="12"/>
      <c r="J28" s="12"/>
      <c r="M28" s="12"/>
    </row>
    <row r="29" customFormat="false" ht="12.75" hidden="false" customHeight="false" outlineLevel="0" collapsed="false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customFormat="false" ht="12.75" hidden="false" customHeight="false" outlineLevel="0" collapsed="false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customFormat="false" ht="12.75" hidden="false" customHeight="false" outlineLevel="0" collapsed="false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customFormat="false" ht="12.75" hidden="false" customHeight="false" outlineLevel="0" collapsed="false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customFormat="false" ht="12.75" hidden="false" customHeight="false" outlineLevel="0" collapsed="false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customFormat="false" ht="12.75" hidden="false" customHeight="false" outlineLevel="0" collapsed="false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customFormat="false" ht="12.75" hidden="false" customHeight="false" outlineLevel="0" collapsed="false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customFormat="false" ht="12.75" hidden="false" customHeight="false" outlineLevel="0" collapsed="false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customFormat="false" ht="12.75" hidden="false" customHeight="false" outlineLevel="0" collapsed="false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customFormat="false" ht="12.75" hidden="false" customHeight="false" outlineLevel="0" collapsed="false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customFormat="false" ht="12.75" hidden="false" customHeight="false" outlineLevel="0" collapsed="false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customFormat="false" ht="12.75" hidden="false" customHeight="false" outlineLevel="0" collapsed="false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customFormat="false" ht="12.75" hidden="false" customHeight="false" outlineLevel="0" collapsed="false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customFormat="false" ht="12.75" hidden="false" customHeight="false" outlineLevel="0" collapsed="false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customFormat="false" ht="12.75" hidden="false" customHeight="false" outlineLevel="0" collapsed="false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customFormat="false" ht="12.75" hidden="false" customHeight="false" outlineLevel="0" collapsed="false"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customFormat="false" ht="12.75" hidden="false" customHeight="false" outlineLevel="0" collapsed="false"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56" customFormat="false" ht="12.75" hidden="false" customHeight="false" outlineLevel="0" collapsed="false">
      <c r="M56" s="13"/>
    </row>
  </sheetData>
  <mergeCells count="11">
    <mergeCell ref="A1:L1"/>
    <mergeCell ref="A2:L2"/>
    <mergeCell ref="A3:L3"/>
    <mergeCell ref="A4:L4"/>
    <mergeCell ref="C5:N5"/>
    <mergeCell ref="C6:D6"/>
    <mergeCell ref="E6:F6"/>
    <mergeCell ref="G6:H6"/>
    <mergeCell ref="I6:J6"/>
    <mergeCell ref="K6:L6"/>
    <mergeCell ref="M6:N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2001-08-22T15:28:29Z</dcterms:created>
  <dc:creator>ncarpen</dc:creator>
  <dc:description/>
  <dc:language>en-US</dc:language>
  <cp:lastModifiedBy>cbarnes</cp:lastModifiedBy>
  <cp:lastPrinted>2001-08-27T13:07:07Z</cp:lastPrinted>
  <dcterms:modified xsi:type="dcterms:W3CDTF">2001-08-27T13:09:53Z</dcterms:modified>
  <cp:revision>0</cp:revision>
  <dc:subject/>
  <dc:title/>
</cp:coreProperties>
</file>